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defaultThemeVersion="202300"/>
  <mc:AlternateContent xmlns:mc="http://schemas.openxmlformats.org/markup-compatibility/2006">
    <mc:Choice Requires="x15">
      <x15ac:absPath xmlns:x15ac="http://schemas.microsoft.com/office/spreadsheetml/2010/11/ac" url="C:\Users\astri\Documents\EM2024\TIPPS\"/>
    </mc:Choice>
  </mc:AlternateContent>
  <xr:revisionPtr revIDLastSave="0" documentId="8_{14B5E748-DDEF-424A-BF43-F861CA935FCA}" xr6:coauthVersionLast="47" xr6:coauthVersionMax="47" xr10:uidLastSave="{00000000-0000-0000-0000-000000000000}"/>
  <bookViews>
    <workbookView xWindow="-108" yWindow="-108" windowWidth="23256" windowHeight="12576" activeTab="3" xr2:uid="{96891A42-6217-4213-A8EB-876BDEC1EA47}"/>
  </bookViews>
  <sheets>
    <sheet name="Hinweise" sheetId="1" r:id="rId1"/>
    <sheet name="Hinweise Extratipps" sheetId="2" r:id="rId2"/>
    <sheet name="Eigene Hinweise" sheetId="3" r:id="rId3"/>
    <sheet name="Tippabgabe" sheetId="4" r:id="rId4"/>
    <sheet name="tipps" sheetId="5" state="veryHidden" r:id="rId5"/>
    <sheet name="settings" sheetId="6" state="veryHidden" r:id="rId6"/>
    <sheet name="daten" sheetId="7" state="veryHidden" r:id="rId7"/>
    <sheet name="tabbermsp" sheetId="8" state="veryHidden" r:id="rId8"/>
    <sheet name="tabber" sheetId="9" state="veryHidden" r:id="rId9"/>
  </sheets>
  <definedNames>
    <definedName name="auswahl_ew" localSheetId="8">OFFSET(Tippabgabe!$DT$4,0,0,Tippabgabe!$DT$2,1)</definedName>
    <definedName name="auswahl_ew" localSheetId="7">OFFSET(Tippabgabe!$DT$4,0,0,Tippabgabe!$DT$2,1)</definedName>
    <definedName name="auswahl_ew">OFFSET(Tippabgabe!$CS$10,0,0,Tippabgabe!$CS$7,1)</definedName>
    <definedName name="auswahl_hc" localSheetId="8">OFFSET(Tippabgabe!$DS$4,0,0,Tippabgabe!$DS$2,1)</definedName>
    <definedName name="auswahl_hc" localSheetId="7">OFFSET(Tippabgabe!$DS$4,0,0,Tippabgabe!$DS$2,1)</definedName>
    <definedName name="auswahl_hc">OFFSET(Tippabgabe!$DS$4,0,0,Tippabgabe!$DS$2,1)</definedName>
    <definedName name="auswahl_j" localSheetId="8">OFFSET(Tippabgabe!$DR$4,0,0,Tippabgabe!$DR$2,1)</definedName>
    <definedName name="auswahl_j" localSheetId="7">OFFSET(Tippabgabe!$DR$4,0,0,Tippabgabe!$DR$2,1)</definedName>
    <definedName name="auswahl_j">OFFSET(Tippabgabe!$DR$4,0,0,Tippabgabe!$DR$2,1)</definedName>
    <definedName name="auswahl_ko">Tippabgabe!$V$325:$V$350</definedName>
    <definedName name="auswahl_lo">Tippabgabe!$X$292:$X$317</definedName>
    <definedName name="auswahl_win">Tippabgabe!$DI$14:$DI$17</definedName>
    <definedName name="dritterreal">Tippabgabe!$BY$1:$BY$90</definedName>
    <definedName name="drittertipp">Tippabgabe!$BX$1:$BX$90</definedName>
    <definedName name="_xlnm.Print_Area" localSheetId="0">Hinweise!$C$6:$Q$104</definedName>
    <definedName name="_xlnm.Print_Area" localSheetId="3">Tippabgabe!$S$27:$BQ$278</definedName>
    <definedName name="einsatzedit">Tippabgabe!$CH$1:$CH$111</definedName>
    <definedName name="einsatzfehler">Tippabgabe!$FI$1:$FI$166</definedName>
    <definedName name="einsatzkorr">Tippabgabe!$FL$1:$FL$129</definedName>
    <definedName name="etauswahl_alle">Tippabgabe!$Y$292:$Y$317</definedName>
    <definedName name="etauswahl_gra">Tippabgabe!$Z$235:$Z$240</definedName>
    <definedName name="etauswahl_grb">Tippabgabe!$AA$235:$AA$240</definedName>
    <definedName name="etauswahl_grc">Tippabgabe!$AB$235:$AB$240</definedName>
    <definedName name="etauswahl_grd">Tippabgabe!$AC$235:$AC$240</definedName>
    <definedName name="etauswahl_gre">Tippabgabe!$AD$235:$AD$240</definedName>
    <definedName name="etauswahl_grf">Tippabgabe!$AE$235:$AE$240</definedName>
    <definedName name="etauswahl_grg">Tippabgabe!$AF$235:$AF$240</definedName>
    <definedName name="etauswahl_grh">Tippabgabe!$AG$235:$AG$240</definedName>
    <definedName name="etauswahl_gru">Tippabgabe!$AF$292:$AF$299</definedName>
    <definedName name="etauswahl_grua">Tippabgabe!$Z$292:$Z$297</definedName>
    <definedName name="etauswahl_grub">Tippabgabe!$AA$292:$AA$297</definedName>
    <definedName name="etauswahl_gruc">Tippabgabe!$AB$292:$AB$297</definedName>
    <definedName name="etauswahl_grud">Tippabgabe!$AC$292:$AC$297</definedName>
    <definedName name="etauswahl_grue">Tippabgabe!$AD$292:$AD$297</definedName>
    <definedName name="etauswahl_gruf">Tippabgabe!$AE$292:$AE$297</definedName>
    <definedName name="etauswahl_gruppen">Tippabgabe!$AH$235:$AH$244</definedName>
    <definedName name="etauswahl_ru">Tippabgabe!$AG$292:$AG$298</definedName>
    <definedName name="etauswahl_runden">Tippabgabe!$AI$235:$AI$241</definedName>
    <definedName name="etauswahl_teams">Tippabgabe!$Y$235:$Y$268</definedName>
    <definedName name="etauswahl_vgl">Tippabgabe!$W$293:$W$316</definedName>
    <definedName name="fehler_ew">Tippabgabe!$EB$1:$EB$166</definedName>
    <definedName name="fehler_hcw">Tippabgabe!$CY$1:$CY$166</definedName>
    <definedName name="fehler_jok">Tippabgabe!$DC$1:$DC$166</definedName>
    <definedName name="fehler_joker">Tippabgabe!$DC$1:$DC$166</definedName>
    <definedName name="fehler_win">Tippabgabe!$EA$1:$EA$166</definedName>
    <definedName name="fehlermantab1">Tippabgabe!$BR$1:$BR$90</definedName>
    <definedName name="fehlermantab2">Tippabgabe!$BS$1:$BS$90</definedName>
    <definedName name="gesperrt">Tippabgabe!$CD$1:$CD$160</definedName>
    <definedName name="gesperrt_erg">Tippabgabe!$CZ$1:$CZ$166</definedName>
    <definedName name="gesperrt_et">Tippabgabe!$DR$1:$DR$278</definedName>
    <definedName name="grua_k">Tippabgabe!$BU$39:$BU$44</definedName>
    <definedName name="grub_k">Tippabgabe!$BU$46:$BU$51</definedName>
    <definedName name="gruc_k">Tippabgabe!$BU$58:$BU$63</definedName>
    <definedName name="grud_k">Tippabgabe!$BU$65:$BU$70</definedName>
    <definedName name="grue_k">Tippabgabe!$BU$77:$BU$82</definedName>
    <definedName name="gruf_k">Tippabgabe!$BU$84:$BU$89</definedName>
    <definedName name="jokertyp">Tippabgabe!$DP$4</definedName>
    <definedName name="jokerwahl">Tippabgabe!$DP$4</definedName>
    <definedName name="kuerzel">daten!$D$9:$D$56</definedName>
    <definedName name="mandra">Tippabgabe!$DP$81</definedName>
    <definedName name="mandra2">Tippabgabe!$DT$122</definedName>
    <definedName name="mandrb">Tippabgabe!$DP$82</definedName>
    <definedName name="mandrb2">Tippabgabe!$DT$123</definedName>
    <definedName name="mandrc">Tippabgabe!$DP$83</definedName>
    <definedName name="mandrc2">Tippabgabe!$DT$124</definedName>
    <definedName name="mandrd">Tippabgabe!$DP$84</definedName>
    <definedName name="mandrd2">Tippabgabe!$DT$125</definedName>
    <definedName name="mandre">Tippabgabe!$DP$85</definedName>
    <definedName name="mandre2">Tippabgabe!$DT$126</definedName>
    <definedName name="mandrf">Tippabgabe!$DP$86</definedName>
    <definedName name="mandrf2">Tippabgabe!$DT$127</definedName>
    <definedName name="mandrtipp">Tippabgabe!$DP$80</definedName>
    <definedName name="manrealtab">Tippabgabe!$FV$18:$FW$25</definedName>
    <definedName name="mantipptab">Tippabgabe!$ET$18:$EU$25</definedName>
    <definedName name="markierung">Tippabgabe!$DS$9</definedName>
    <definedName name="markierungdritter">Tippabgabe!$DD$1:$DD$3</definedName>
    <definedName name="mspname">Tippabgabe!$T$27</definedName>
    <definedName name="neuet">Tippabgabe!$ED$1:$ED$220</definedName>
    <definedName name="realtab">Tippabgabe!$CA$10</definedName>
    <definedName name="sieger_pflicht">Tippabgabe!$DP$11</definedName>
    <definedName name="siegerfehlt">Tippabgabe!$EY$1:$EY$129</definedName>
    <definedName name="siegerspalte">Tippabgabe!$EP$1:$EP$129</definedName>
    <definedName name="teamliste_k">daten!$E$6:$E$29</definedName>
    <definedName name="teams" localSheetId="8">daten!$C$9:$C$56</definedName>
    <definedName name="teams" localSheetId="7">daten!$C$9:$C$56</definedName>
    <definedName name="teams">daten!$C$9:$C$56</definedName>
    <definedName name="teams_alpha">Tippabgabe!$CG$236:$CI$267</definedName>
    <definedName name="teams_k" localSheetId="8">daten!$D$9:$D$56</definedName>
    <definedName name="teams_k" localSheetId="7">daten!$D$9:$D$56</definedName>
    <definedName name="teams_k">daten!$D$9:$D$56</definedName>
    <definedName name="teams_kuerzel">daten!$D$9:$D$56</definedName>
    <definedName name="teamsmitk">Tippabgabe!$W$293:$W$316</definedName>
    <definedName name="test_et">Tippabgabe!$EH$1:$EH$278</definedName>
    <definedName name="test_et2">Tippabgabe!$EC$1:$EC$278</definedName>
    <definedName name="test_kopaarungen">Tippabgabe!$FC$1:$FD$129</definedName>
    <definedName name="test_siegererf">Tippabgabe!$EL$1:$EL$166</definedName>
    <definedName name="testkoat">Tippabgabe!$BV$1:$BV$159</definedName>
    <definedName name="testkoht">Tippabgabe!$BU$1:$BU$159</definedName>
    <definedName name="testmanat">Tippabgabe!$BY$1:$BY$167</definedName>
    <definedName name="testmandr">Tippabgabe!$DO$80</definedName>
    <definedName name="testmandr2">Tippabgabe!$DS$121</definedName>
    <definedName name="testmanht">Tippabgabe!$BX$1:$BX$167</definedName>
    <definedName name="tipps_af">Tippabgabe!$E$96:$F$103</definedName>
    <definedName name="wahl_tsk">OFFSET(Tippabgabe!$O$253,0,0,Tippabgabe!$L$250+1,1)</definedName>
    <definedName name="werg">settings!$C$4</definedName>
    <definedName name="zeichen_gesperrt">Tippabgabe!$U$6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T180" i="4" l="1"/>
  <c r="DT179" i="4"/>
  <c r="DV179" i="4"/>
  <c r="EC178" i="4"/>
  <c r="DD278" i="4"/>
  <c r="DD277" i="4"/>
  <c r="DD276" i="4"/>
  <c r="DD275" i="4"/>
  <c r="AF275" i="4" s="1"/>
  <c r="CJ155" i="4"/>
  <c r="CJ152" i="4"/>
  <c r="CJ99" i="4"/>
  <c r="CJ102" i="4"/>
  <c r="CJ105" i="4"/>
  <c r="CJ108" i="4"/>
  <c r="CJ111" i="4"/>
  <c r="CJ114" i="4"/>
  <c r="CJ117" i="4"/>
  <c r="CJ120" i="4"/>
  <c r="CJ130" i="4"/>
  <c r="CJ133" i="4"/>
  <c r="CJ136" i="4"/>
  <c r="CJ139" i="4"/>
  <c r="CJ149" i="4"/>
  <c r="DD272" i="4"/>
  <c r="AF272" i="4" s="1"/>
  <c r="S421" i="8"/>
  <c r="T421" i="8"/>
  <c r="CE155" i="4"/>
  <c r="S422" i="8" s="1"/>
  <c r="CF155" i="4"/>
  <c r="CE152" i="4"/>
  <c r="S420" i="8" s="1"/>
  <c r="CF152" i="4"/>
  <c r="T420" i="8" s="1"/>
  <c r="EF136" i="4"/>
  <c r="EG136" i="4" s="1"/>
  <c r="P420" i="8"/>
  <c r="EF139" i="4"/>
  <c r="EG139" i="4" s="1"/>
  <c r="O420" i="8"/>
  <c r="EF133" i="4"/>
  <c r="EG133" i="4" s="1"/>
  <c r="EF130" i="4"/>
  <c r="EG130" i="4" s="1"/>
  <c r="EF120" i="4"/>
  <c r="EG120" i="4" s="1"/>
  <c r="EF117" i="4"/>
  <c r="EG117" i="4"/>
  <c r="EF99" i="4"/>
  <c r="EG99" i="4" s="1"/>
  <c r="EF105" i="4"/>
  <c r="EG105" i="4"/>
  <c r="EF111" i="4"/>
  <c r="EG111" i="4" s="1"/>
  <c r="EF114" i="4"/>
  <c r="EG114" i="4" s="1"/>
  <c r="EF102" i="4"/>
  <c r="EG102" i="4" s="1"/>
  <c r="EF108" i="4"/>
  <c r="EG108" i="4" s="1"/>
  <c r="EF152" i="4"/>
  <c r="EG152" i="4" s="1"/>
  <c r="EE152" i="4"/>
  <c r="EC152" i="4"/>
  <c r="ED152" i="4" s="1"/>
  <c r="EF149" i="4"/>
  <c r="EG149" i="4"/>
  <c r="N421" i="8"/>
  <c r="EF155" i="4"/>
  <c r="EG155" i="4"/>
  <c r="EC155" i="4"/>
  <c r="ED155" i="4" s="1"/>
  <c r="DD178" i="4"/>
  <c r="D1" i="5"/>
  <c r="DH40" i="4"/>
  <c r="FH37" i="4"/>
  <c r="FB40" i="4"/>
  <c r="FE40" i="4" s="1"/>
  <c r="FI37" i="4"/>
  <c r="FE41" i="4" s="1"/>
  <c r="FG37" i="4"/>
  <c r="DH39" i="4"/>
  <c r="FB39" i="4" s="1"/>
  <c r="FD39" i="4"/>
  <c r="FD40" i="4" s="1"/>
  <c r="FD41" i="4" s="1"/>
  <c r="FD42" i="4" s="1"/>
  <c r="FD43" i="4" s="1"/>
  <c r="FD44" i="4" s="1"/>
  <c r="FD45" i="4" s="1"/>
  <c r="FD46" i="4" s="1"/>
  <c r="FD47" i="4" s="1"/>
  <c r="FD48" i="4" s="1"/>
  <c r="FD49" i="4" s="1"/>
  <c r="FD50" i="4" s="1"/>
  <c r="E1" i="5"/>
  <c r="DH41" i="4"/>
  <c r="FB41" i="4" s="1"/>
  <c r="F1" i="5"/>
  <c r="DH42" i="4"/>
  <c r="FB42" i="4" s="1"/>
  <c r="FE42" i="4" s="1"/>
  <c r="G1" i="5"/>
  <c r="DH43" i="4"/>
  <c r="FB43" i="4" s="1"/>
  <c r="H1" i="5"/>
  <c r="DH44" i="4"/>
  <c r="FB44" i="4"/>
  <c r="I1" i="5"/>
  <c r="DH45" i="4"/>
  <c r="FB45" i="4" s="1"/>
  <c r="J1" i="5"/>
  <c r="DH46" i="4"/>
  <c r="FB46" i="4" s="1"/>
  <c r="FE46" i="4" s="1"/>
  <c r="K1" i="5"/>
  <c r="DH47" i="4"/>
  <c r="FB47" i="4" s="1"/>
  <c r="L1" i="5"/>
  <c r="L8" i="5" s="1"/>
  <c r="DH48" i="4"/>
  <c r="FB48" i="4" s="1"/>
  <c r="FE48" i="4" s="1"/>
  <c r="M1" i="5"/>
  <c r="DH49" i="4"/>
  <c r="FB49" i="4" s="1"/>
  <c r="N1" i="5"/>
  <c r="DH50" i="4"/>
  <c r="FB50" i="4"/>
  <c r="FE50" i="4" s="1"/>
  <c r="O1" i="5"/>
  <c r="DH58" i="4"/>
  <c r="FH56" i="4"/>
  <c r="FD58" i="4" s="1"/>
  <c r="FD59" i="4" s="1"/>
  <c r="FD60" i="4" s="1"/>
  <c r="FD61" i="4" s="1"/>
  <c r="FD62" i="4" s="1"/>
  <c r="FD63" i="4" s="1"/>
  <c r="FD64" i="4" s="1"/>
  <c r="FD65" i="4" s="1"/>
  <c r="FD66" i="4" s="1"/>
  <c r="FD67" i="4" s="1"/>
  <c r="FD68" i="4" s="1"/>
  <c r="FD69" i="4" s="1"/>
  <c r="FB58" i="4"/>
  <c r="FE58" i="4" s="1"/>
  <c r="FG58" i="4" s="1"/>
  <c r="FI56" i="4"/>
  <c r="P1" i="5"/>
  <c r="DH59" i="4"/>
  <c r="FB59" i="4" s="1"/>
  <c r="FE59" i="4"/>
  <c r="FG56" i="4"/>
  <c r="Q1" i="5"/>
  <c r="DH60" i="4"/>
  <c r="R1" i="5"/>
  <c r="DH61" i="4"/>
  <c r="FB61" i="4" s="1"/>
  <c r="FE61" i="4" s="1"/>
  <c r="S1" i="5"/>
  <c r="DH62" i="4"/>
  <c r="FB62" i="4" s="1"/>
  <c r="FE62" i="4" s="1"/>
  <c r="T1" i="5"/>
  <c r="DH63" i="4"/>
  <c r="FB63" i="4" s="1"/>
  <c r="FE63" i="4" s="1"/>
  <c r="U1" i="5"/>
  <c r="DH64" i="4"/>
  <c r="FB64" i="4" s="1"/>
  <c r="FE64" i="4" s="1"/>
  <c r="V1" i="5"/>
  <c r="DH65" i="4"/>
  <c r="FB65" i="4"/>
  <c r="FE65" i="4" s="1"/>
  <c r="W1" i="5"/>
  <c r="DH66" i="4"/>
  <c r="X1" i="5"/>
  <c r="DH67" i="4"/>
  <c r="FB67" i="4" s="1"/>
  <c r="FE67" i="4" s="1"/>
  <c r="Y1" i="5"/>
  <c r="DH68" i="4"/>
  <c r="FB68" i="4" s="1"/>
  <c r="FE68" i="4" s="1"/>
  <c r="Z1" i="5"/>
  <c r="DH69" i="4"/>
  <c r="FB69" i="4"/>
  <c r="FE69" i="4" s="1"/>
  <c r="AA1" i="5"/>
  <c r="DH77" i="4"/>
  <c r="FB77" i="4" s="1"/>
  <c r="FH75" i="4"/>
  <c r="FD77" i="4" s="1"/>
  <c r="FD78" i="4" s="1"/>
  <c r="FD79" i="4" s="1"/>
  <c r="FD80" i="4" s="1"/>
  <c r="FD81" i="4" s="1"/>
  <c r="FD82" i="4" s="1"/>
  <c r="FD83" i="4" s="1"/>
  <c r="FD84" i="4" s="1"/>
  <c r="FD85" i="4" s="1"/>
  <c r="FD86" i="4" s="1"/>
  <c r="FD87" i="4" s="1"/>
  <c r="FD88" i="4" s="1"/>
  <c r="FI75" i="4"/>
  <c r="AB1" i="5"/>
  <c r="DH78" i="4"/>
  <c r="FB78" i="4"/>
  <c r="FG75" i="4"/>
  <c r="AC1" i="5"/>
  <c r="DH79" i="4"/>
  <c r="FB79" i="4" s="1"/>
  <c r="AD1" i="5"/>
  <c r="DH80" i="4"/>
  <c r="FB80" i="4"/>
  <c r="FE80" i="4" s="1"/>
  <c r="AE1" i="5"/>
  <c r="DH81" i="4"/>
  <c r="FB81" i="4" s="1"/>
  <c r="AF1" i="5"/>
  <c r="DH82" i="4"/>
  <c r="FB82" i="4" s="1"/>
  <c r="FE82" i="4" s="1"/>
  <c r="AG1" i="5"/>
  <c r="DH83" i="4"/>
  <c r="FB83" i="4" s="1"/>
  <c r="FE83" i="4" s="1"/>
  <c r="AH1" i="5"/>
  <c r="DH84" i="4"/>
  <c r="FB84" i="4"/>
  <c r="AI1" i="5"/>
  <c r="DH85" i="4"/>
  <c r="FB85" i="4" s="1"/>
  <c r="FE85" i="4" s="1"/>
  <c r="AJ1" i="5"/>
  <c r="DH86" i="4"/>
  <c r="FB86" i="4"/>
  <c r="FE86" i="4" s="1"/>
  <c r="AK1" i="5"/>
  <c r="DH87" i="4"/>
  <c r="FB87" i="4" s="1"/>
  <c r="AL1" i="5"/>
  <c r="DH88" i="4"/>
  <c r="FB88" i="4" s="1"/>
  <c r="FE88" i="4" s="1"/>
  <c r="AM1" i="5"/>
  <c r="DH99" i="4"/>
  <c r="FB99" i="4" s="1"/>
  <c r="FE99" i="4" s="1"/>
  <c r="FG99" i="4" s="1"/>
  <c r="FH97" i="4"/>
  <c r="FI97" i="4"/>
  <c r="AM6" i="5"/>
  <c r="AN1" i="5"/>
  <c r="DH102" i="4"/>
  <c r="FG97" i="4"/>
  <c r="FD99" i="4"/>
  <c r="FD102" i="4" s="1"/>
  <c r="FD105" i="4" s="1"/>
  <c r="FD108" i="4" s="1"/>
  <c r="FD111" i="4" s="1"/>
  <c r="FD114" i="4" s="1"/>
  <c r="FD117" i="4" s="1"/>
  <c r="FD120" i="4" s="1"/>
  <c r="AO1" i="5"/>
  <c r="DH105" i="4"/>
  <c r="FB105" i="4" s="1"/>
  <c r="FE105" i="4" s="1"/>
  <c r="AP1" i="5"/>
  <c r="DH108" i="4"/>
  <c r="FB108" i="4" s="1"/>
  <c r="FE108" i="4" s="1"/>
  <c r="AQ1" i="5"/>
  <c r="DH111" i="4"/>
  <c r="AR1" i="5"/>
  <c r="DH114" i="4"/>
  <c r="FB114" i="4"/>
  <c r="FE114" i="4" s="1"/>
  <c r="AS1" i="5"/>
  <c r="DH117" i="4"/>
  <c r="AT1" i="5"/>
  <c r="DH120" i="4"/>
  <c r="FB120" i="4" s="1"/>
  <c r="FE120" i="4" s="1"/>
  <c r="AU1" i="5"/>
  <c r="DH130" i="4"/>
  <c r="FH128" i="4"/>
  <c r="FI128" i="4"/>
  <c r="AV1" i="5"/>
  <c r="DH133" i="4"/>
  <c r="FB133" i="4" s="1"/>
  <c r="FE133" i="4" s="1"/>
  <c r="FG128" i="4"/>
  <c r="AW1" i="5"/>
  <c r="DH136" i="4"/>
  <c r="AX1" i="5"/>
  <c r="AX9" i="5" s="1"/>
  <c r="DH139" i="4"/>
  <c r="AY1" i="5"/>
  <c r="DH149" i="4"/>
  <c r="FB149" i="4" s="1"/>
  <c r="FH147" i="4"/>
  <c r="FI147" i="4"/>
  <c r="AZ1" i="5"/>
  <c r="DH152" i="4"/>
  <c r="FB152" i="4" s="1"/>
  <c r="FG147" i="4"/>
  <c r="FD149" i="4"/>
  <c r="FD152" i="4" s="1"/>
  <c r="FD155" i="4" s="1"/>
  <c r="BA1" i="5"/>
  <c r="DH155" i="4"/>
  <c r="FB155" i="4" s="1"/>
  <c r="C1" i="5"/>
  <c r="AK41" i="9"/>
  <c r="AK42" i="9"/>
  <c r="AK43" i="9"/>
  <c r="AK44" i="9"/>
  <c r="G59" i="7"/>
  <c r="G60" i="7"/>
  <c r="G61" i="7"/>
  <c r="G62" i="7"/>
  <c r="G63" i="7"/>
  <c r="CB43" i="4" s="1"/>
  <c r="G64" i="7"/>
  <c r="G65" i="7"/>
  <c r="CB45" i="4" s="1"/>
  <c r="G66" i="7"/>
  <c r="G67" i="7"/>
  <c r="CB47" i="4" s="1"/>
  <c r="G68" i="7"/>
  <c r="G69" i="7"/>
  <c r="CB49" i="4" s="1"/>
  <c r="G70" i="7"/>
  <c r="CB50" i="4" s="1"/>
  <c r="G71" i="7"/>
  <c r="G72" i="7"/>
  <c r="G73" i="7"/>
  <c r="CB60" i="4" s="1"/>
  <c r="G74" i="7"/>
  <c r="G75" i="7"/>
  <c r="CB62" i="4" s="1"/>
  <c r="G76" i="7"/>
  <c r="G77" i="7"/>
  <c r="CB64" i="4" s="1"/>
  <c r="G78" i="7"/>
  <c r="G79" i="7"/>
  <c r="CB66" i="4" s="1"/>
  <c r="G80" i="7"/>
  <c r="G81" i="7"/>
  <c r="CB68" i="4" s="1"/>
  <c r="G82" i="7"/>
  <c r="CB69" i="4" s="1"/>
  <c r="G83" i="7"/>
  <c r="CB77" i="4" s="1"/>
  <c r="G84" i="7"/>
  <c r="G85" i="7"/>
  <c r="CB79" i="4" s="1"/>
  <c r="G86" i="7"/>
  <c r="CB80" i="4" s="1"/>
  <c r="CB39" i="4"/>
  <c r="CB40" i="4"/>
  <c r="CB41" i="4"/>
  <c r="CB42" i="4"/>
  <c r="DI42" i="4"/>
  <c r="DJ42" i="4"/>
  <c r="CB44" i="4"/>
  <c r="CB46" i="4"/>
  <c r="CB48" i="4"/>
  <c r="CB58" i="4"/>
  <c r="DI58" i="4"/>
  <c r="DJ58" i="4"/>
  <c r="CB59" i="4"/>
  <c r="CB61" i="4"/>
  <c r="CB63" i="4"/>
  <c r="CB65" i="4"/>
  <c r="CB67" i="4"/>
  <c r="CB78" i="4"/>
  <c r="DI80" i="4"/>
  <c r="DJ80" i="4"/>
  <c r="DI41" i="4"/>
  <c r="DJ41" i="4"/>
  <c r="DI63" i="4"/>
  <c r="DJ63" i="4"/>
  <c r="DI79" i="4"/>
  <c r="DJ79" i="4"/>
  <c r="AC47" i="9"/>
  <c r="AK123" i="9"/>
  <c r="AK124" i="9"/>
  <c r="AK125" i="9"/>
  <c r="AK126" i="9"/>
  <c r="G87" i="7"/>
  <c r="CB81" i="4" s="1"/>
  <c r="G88" i="7"/>
  <c r="CB82" i="4" s="1"/>
  <c r="DI48" i="4"/>
  <c r="DJ48" i="4"/>
  <c r="DI66" i="4"/>
  <c r="DJ66" i="4"/>
  <c r="DI82" i="4"/>
  <c r="DJ82" i="4"/>
  <c r="DI43" i="4"/>
  <c r="DJ43" i="4"/>
  <c r="DI65" i="4"/>
  <c r="DJ65" i="4"/>
  <c r="DI81" i="4"/>
  <c r="DJ81" i="4"/>
  <c r="AC129" i="9"/>
  <c r="AK205" i="9"/>
  <c r="AK206" i="9"/>
  <c r="AK207" i="9"/>
  <c r="AK208" i="9"/>
  <c r="G89" i="7"/>
  <c r="CB83" i="4" s="1"/>
  <c r="G90" i="7"/>
  <c r="CB84" i="4" s="1"/>
  <c r="G91" i="7"/>
  <c r="G92" i="7"/>
  <c r="CB86" i="4" s="1"/>
  <c r="G93" i="7"/>
  <c r="CB87" i="4" s="1"/>
  <c r="G94" i="7"/>
  <c r="CB88" i="4" s="1"/>
  <c r="DI50" i="4"/>
  <c r="DJ50" i="4"/>
  <c r="DI67" i="4"/>
  <c r="DJ67" i="4"/>
  <c r="CB85" i="4"/>
  <c r="DI88" i="4"/>
  <c r="DJ88" i="4"/>
  <c r="DI49" i="4"/>
  <c r="DJ49" i="4"/>
  <c r="DI68" i="4"/>
  <c r="DJ68" i="4"/>
  <c r="DI87" i="4"/>
  <c r="DJ87" i="4"/>
  <c r="AC211" i="9"/>
  <c r="K205" i="9"/>
  <c r="K206" i="9"/>
  <c r="K207" i="9"/>
  <c r="K208" i="9"/>
  <c r="DI46" i="4"/>
  <c r="DJ46" i="4"/>
  <c r="DI64" i="4"/>
  <c r="DJ64" i="4"/>
  <c r="DI86" i="4"/>
  <c r="DJ86" i="4"/>
  <c r="DI47" i="4"/>
  <c r="DJ47" i="4"/>
  <c r="DI69" i="4"/>
  <c r="DJ69" i="4"/>
  <c r="DI85" i="4"/>
  <c r="DJ85" i="4"/>
  <c r="C211" i="9"/>
  <c r="K123" i="9"/>
  <c r="K124" i="9"/>
  <c r="K125" i="9"/>
  <c r="K126" i="9"/>
  <c r="DI45" i="4"/>
  <c r="DJ45" i="4"/>
  <c r="DI62" i="4"/>
  <c r="DJ62" i="4"/>
  <c r="DI83" i="4"/>
  <c r="DJ83" i="4"/>
  <c r="DI44" i="4"/>
  <c r="DJ44" i="4"/>
  <c r="DI61" i="4"/>
  <c r="DJ61" i="4"/>
  <c r="DI84" i="4"/>
  <c r="DJ84" i="4"/>
  <c r="C129" i="9"/>
  <c r="K41" i="9"/>
  <c r="K42" i="9"/>
  <c r="K43" i="9"/>
  <c r="K44" i="9"/>
  <c r="DI40" i="4"/>
  <c r="DJ40" i="4"/>
  <c r="DI60" i="4"/>
  <c r="DJ60" i="4"/>
  <c r="DI77" i="4"/>
  <c r="DJ77" i="4"/>
  <c r="DI39" i="4"/>
  <c r="DJ39" i="4"/>
  <c r="DU40" i="4" s="1"/>
  <c r="DI59" i="4"/>
  <c r="DJ59" i="4"/>
  <c r="DI78" i="4"/>
  <c r="DT45" i="4"/>
  <c r="DJ78" i="4"/>
  <c r="C47" i="9"/>
  <c r="CE42" i="4"/>
  <c r="CF42" i="4"/>
  <c r="CE58" i="4"/>
  <c r="CF58" i="4"/>
  <c r="CE80" i="4"/>
  <c r="CF80" i="4"/>
  <c r="CE41" i="4"/>
  <c r="DV46" i="4"/>
  <c r="CF41" i="4"/>
  <c r="CE63" i="4"/>
  <c r="CF63" i="4"/>
  <c r="CE79" i="4"/>
  <c r="CF79" i="4"/>
  <c r="CE48" i="4"/>
  <c r="CF48" i="4"/>
  <c r="CE66" i="4"/>
  <c r="CF66" i="4"/>
  <c r="CE82" i="4"/>
  <c r="CF82" i="4"/>
  <c r="CE43" i="4"/>
  <c r="CF43" i="4"/>
  <c r="DW58" i="4" s="1"/>
  <c r="CE65" i="4"/>
  <c r="CF65" i="4"/>
  <c r="CE81" i="4"/>
  <c r="CF81" i="4"/>
  <c r="CE50" i="4"/>
  <c r="CF50" i="4"/>
  <c r="EN50" i="4" s="1"/>
  <c r="CE67" i="4"/>
  <c r="CF67" i="4"/>
  <c r="CE88" i="4"/>
  <c r="CF88" i="4"/>
  <c r="CE49" i="4"/>
  <c r="CF49" i="4"/>
  <c r="CE68" i="4"/>
  <c r="CF68" i="4"/>
  <c r="CE87" i="4"/>
  <c r="CF87" i="4"/>
  <c r="CE46" i="4"/>
  <c r="CF46" i="4"/>
  <c r="DW64" i="4"/>
  <c r="CE64" i="4"/>
  <c r="CF64" i="4"/>
  <c r="CE86" i="4"/>
  <c r="CF86" i="4"/>
  <c r="CE47" i="4"/>
  <c r="CF47" i="4"/>
  <c r="CE69" i="4"/>
  <c r="CF69" i="4"/>
  <c r="CE85" i="4"/>
  <c r="CF85" i="4"/>
  <c r="CE45" i="4"/>
  <c r="CF45" i="4"/>
  <c r="CE62" i="4"/>
  <c r="CF62" i="4"/>
  <c r="CE83" i="4"/>
  <c r="CF83" i="4"/>
  <c r="CE44" i="4"/>
  <c r="CF44" i="4"/>
  <c r="CE61" i="4"/>
  <c r="CF61" i="4"/>
  <c r="CE84" i="4"/>
  <c r="CF84" i="4"/>
  <c r="CE40" i="4"/>
  <c r="CF40" i="4"/>
  <c r="DW41" i="4"/>
  <c r="CE60" i="4"/>
  <c r="CF60" i="4"/>
  <c r="CE77" i="4"/>
  <c r="CF77" i="4"/>
  <c r="CE39" i="4"/>
  <c r="CF39" i="4"/>
  <c r="CE59" i="4"/>
  <c r="CF59" i="4"/>
  <c r="CE78" i="4"/>
  <c r="CF78" i="4"/>
  <c r="EN78" i="4" s="1"/>
  <c r="DE278" i="4"/>
  <c r="DE277" i="4"/>
  <c r="DE276" i="4"/>
  <c r="DE275" i="4"/>
  <c r="CE99" i="4"/>
  <c r="CF99" i="4"/>
  <c r="T407" i="8" s="1"/>
  <c r="EH31" i="4"/>
  <c r="CK99" i="4"/>
  <c r="CE102" i="4"/>
  <c r="CF102" i="4"/>
  <c r="T408" i="8" s="1"/>
  <c r="CK102" i="4"/>
  <c r="CE105" i="4"/>
  <c r="CF105" i="4"/>
  <c r="CK105" i="4"/>
  <c r="CE108" i="4"/>
  <c r="CF108" i="4"/>
  <c r="CK108" i="4"/>
  <c r="CE111" i="4"/>
  <c r="CF111" i="4"/>
  <c r="T411" i="8" s="1"/>
  <c r="CK111" i="4"/>
  <c r="CE114" i="4"/>
  <c r="CF114" i="4"/>
  <c r="T412" i="8" s="1"/>
  <c r="CK114" i="4"/>
  <c r="CE117" i="4"/>
  <c r="CF117" i="4"/>
  <c r="CK117" i="4"/>
  <c r="CE120" i="4"/>
  <c r="CF120" i="4"/>
  <c r="CK120" i="4"/>
  <c r="CE130" i="4"/>
  <c r="CF130" i="4"/>
  <c r="T415" i="8" s="1"/>
  <c r="CK130" i="4"/>
  <c r="CE133" i="4"/>
  <c r="CF133" i="4"/>
  <c r="T416" i="8" s="1"/>
  <c r="CK133" i="4"/>
  <c r="CE136" i="4"/>
  <c r="CF136" i="4"/>
  <c r="CK136" i="4"/>
  <c r="CE139" i="4"/>
  <c r="CF139" i="4"/>
  <c r="CK139" i="4"/>
  <c r="CE149" i="4"/>
  <c r="CF149" i="4"/>
  <c r="T419" i="8" s="1"/>
  <c r="CK149" i="4"/>
  <c r="CK152" i="4"/>
  <c r="CK155" i="4"/>
  <c r="DE272" i="4"/>
  <c r="T409" i="8"/>
  <c r="T410" i="8"/>
  <c r="T413" i="8"/>
  <c r="T414" i="8"/>
  <c r="T417" i="8"/>
  <c r="T418" i="8"/>
  <c r="EC136" i="4"/>
  <c r="ED136" i="4" s="1"/>
  <c r="EC139" i="4"/>
  <c r="ED139" i="4" s="1"/>
  <c r="EC130" i="4"/>
  <c r="ED130" i="4" s="1"/>
  <c r="P419" i="8"/>
  <c r="EC133" i="4"/>
  <c r="ED133" i="4" s="1"/>
  <c r="O419" i="8"/>
  <c r="EC117" i="4"/>
  <c r="ED117" i="4" s="1"/>
  <c r="P418" i="8"/>
  <c r="EC120" i="4"/>
  <c r="ED120" i="4" s="1"/>
  <c r="O418" i="8"/>
  <c r="EC99" i="4"/>
  <c r="ED99" i="4" s="1"/>
  <c r="P417" i="8"/>
  <c r="EC105" i="4"/>
  <c r="ED105" i="4" s="1"/>
  <c r="O417" i="8"/>
  <c r="EC102" i="4"/>
  <c r="ED102" i="4" s="1"/>
  <c r="P416" i="8"/>
  <c r="EC111" i="4"/>
  <c r="ED111" i="4" s="1"/>
  <c r="EC108" i="4"/>
  <c r="ED108" i="4" s="1"/>
  <c r="O416" i="8"/>
  <c r="EC114" i="4"/>
  <c r="ED114" i="4" s="1"/>
  <c r="P415" i="8"/>
  <c r="O415" i="8"/>
  <c r="EC149" i="4"/>
  <c r="ED149" i="4" s="1"/>
  <c r="DN81" i="4"/>
  <c r="DO81" i="4"/>
  <c r="DN82" i="4"/>
  <c r="DO82" i="4" s="1"/>
  <c r="DN83" i="4"/>
  <c r="DO83" i="4" s="1"/>
  <c r="DN84" i="4"/>
  <c r="DO84" i="4" s="1"/>
  <c r="DN85" i="4"/>
  <c r="DO85" i="4"/>
  <c r="DN86" i="4"/>
  <c r="DO86" i="4" s="1"/>
  <c r="DE178" i="4"/>
  <c r="DZ278" i="4"/>
  <c r="ED278" i="4" s="1"/>
  <c r="EF278" i="4" s="1"/>
  <c r="DZ277" i="4"/>
  <c r="ED277" i="4" s="1"/>
  <c r="EF277" i="4" s="1"/>
  <c r="DZ276" i="4"/>
  <c r="ED276" i="4" s="1"/>
  <c r="EF276" i="4" s="1"/>
  <c r="DZ275" i="4"/>
  <c r="ED275" i="4"/>
  <c r="EF275" i="4"/>
  <c r="DZ274" i="4"/>
  <c r="ED274" i="4" s="1"/>
  <c r="EF274" i="4" s="1"/>
  <c r="DZ273" i="4"/>
  <c r="ED273" i="4" s="1"/>
  <c r="EF273" i="4" s="1"/>
  <c r="DZ272" i="4"/>
  <c r="ED272" i="4"/>
  <c r="EF272" i="4" s="1"/>
  <c r="DZ271" i="4"/>
  <c r="ED271" i="4" s="1"/>
  <c r="EF271" i="4" s="1"/>
  <c r="DZ270" i="4"/>
  <c r="ED270" i="4" s="1"/>
  <c r="EF270" i="4" s="1"/>
  <c r="EK270" i="4" s="1"/>
  <c r="EM270" i="4" s="1"/>
  <c r="DT269" i="4"/>
  <c r="DZ269" i="4"/>
  <c r="ED269" i="4"/>
  <c r="EF269" i="4" s="1"/>
  <c r="DT268" i="4"/>
  <c r="DV268" i="4" s="1"/>
  <c r="DW268" i="4" s="1"/>
  <c r="DZ268" i="4"/>
  <c r="ED268" i="4"/>
  <c r="EF268" i="4"/>
  <c r="EV268" i="4" s="1"/>
  <c r="DT267" i="4"/>
  <c r="DZ267" i="4"/>
  <c r="ED267" i="4"/>
  <c r="EF267" i="4" s="1"/>
  <c r="DT266" i="4"/>
  <c r="DV266" i="4" s="1"/>
  <c r="DW266" i="4" s="1"/>
  <c r="DZ266" i="4"/>
  <c r="ED266" i="4" s="1"/>
  <c r="EF266" i="4" s="1"/>
  <c r="EK266" i="4" s="1"/>
  <c r="EM266" i="4" s="1"/>
  <c r="DT265" i="4"/>
  <c r="DZ265" i="4"/>
  <c r="ED265" i="4" s="1"/>
  <c r="EF265" i="4" s="1"/>
  <c r="EV265" i="4" s="1"/>
  <c r="DT264" i="4"/>
  <c r="DV264" i="4"/>
  <c r="DW264" i="4"/>
  <c r="DZ264" i="4"/>
  <c r="ED264" i="4" s="1"/>
  <c r="EF264" i="4" s="1"/>
  <c r="DT263" i="4"/>
  <c r="DZ263" i="4"/>
  <c r="ED263" i="4" s="1"/>
  <c r="EF263" i="4" s="1"/>
  <c r="DT262" i="4"/>
  <c r="DV262" i="4"/>
  <c r="DW262" i="4" s="1"/>
  <c r="DZ262" i="4"/>
  <c r="ED262" i="4"/>
  <c r="EF262" i="4"/>
  <c r="DT261" i="4"/>
  <c r="DZ261" i="4"/>
  <c r="ED261" i="4" s="1"/>
  <c r="EF261" i="4" s="1"/>
  <c r="DT260" i="4"/>
  <c r="DV260" i="4" s="1"/>
  <c r="DW260" i="4" s="1"/>
  <c r="DZ260" i="4"/>
  <c r="ED260" i="4"/>
  <c r="EF260" i="4"/>
  <c r="EV260" i="4" s="1"/>
  <c r="DT259" i="4"/>
  <c r="DZ259" i="4"/>
  <c r="ED259" i="4"/>
  <c r="EF259" i="4" s="1"/>
  <c r="DT258" i="4"/>
  <c r="DV258" i="4" s="1"/>
  <c r="DW258" i="4" s="1"/>
  <c r="DZ258" i="4"/>
  <c r="ED258" i="4" s="1"/>
  <c r="EF258" i="4" s="1"/>
  <c r="DT257" i="4"/>
  <c r="DZ257" i="4"/>
  <c r="ED257" i="4" s="1"/>
  <c r="EF257" i="4" s="1"/>
  <c r="EV257" i="4" s="1"/>
  <c r="DT256" i="4"/>
  <c r="DV256" i="4" s="1"/>
  <c r="DW256" i="4" s="1"/>
  <c r="DZ256" i="4"/>
  <c r="ED256" i="4" s="1"/>
  <c r="EF256" i="4" s="1"/>
  <c r="DT255" i="4"/>
  <c r="DZ255" i="4"/>
  <c r="ED255" i="4" s="1"/>
  <c r="EF255" i="4" s="1"/>
  <c r="DT254" i="4"/>
  <c r="DV254" i="4"/>
  <c r="DW254" i="4" s="1"/>
  <c r="DZ254" i="4"/>
  <c r="ED254" i="4" s="1"/>
  <c r="EF254" i="4" s="1"/>
  <c r="DT253" i="4"/>
  <c r="DZ253" i="4"/>
  <c r="ED253" i="4" s="1"/>
  <c r="EF253" i="4" s="1"/>
  <c r="DT252" i="4"/>
  <c r="DV252" i="4" s="1"/>
  <c r="DW252" i="4" s="1"/>
  <c r="DZ252" i="4"/>
  <c r="ED252" i="4"/>
  <c r="EF252" i="4" s="1"/>
  <c r="EV252" i="4" s="1"/>
  <c r="DT251" i="4"/>
  <c r="DZ251" i="4"/>
  <c r="ED251" i="4"/>
  <c r="EF251" i="4" s="1"/>
  <c r="DT250" i="4"/>
  <c r="DV250" i="4" s="1"/>
  <c r="DW250" i="4" s="1"/>
  <c r="DZ250" i="4"/>
  <c r="ED250" i="4" s="1"/>
  <c r="EF250" i="4" s="1"/>
  <c r="DT249" i="4"/>
  <c r="DZ249" i="4"/>
  <c r="ED249" i="4" s="1"/>
  <c r="EF249" i="4" s="1"/>
  <c r="DT248" i="4"/>
  <c r="DV248" i="4" s="1"/>
  <c r="DW248" i="4" s="1"/>
  <c r="DZ248" i="4"/>
  <c r="ED248" i="4"/>
  <c r="EF248" i="4" s="1"/>
  <c r="DT247" i="4"/>
  <c r="DZ247" i="4"/>
  <c r="ED247" i="4"/>
  <c r="EF247" i="4" s="1"/>
  <c r="DT246" i="4"/>
  <c r="DV246" i="4" s="1"/>
  <c r="DW246" i="4" s="1"/>
  <c r="DZ246" i="4"/>
  <c r="ED246" i="4"/>
  <c r="EF246" i="4" s="1"/>
  <c r="DT245" i="4"/>
  <c r="DZ245" i="4"/>
  <c r="ED245" i="4" s="1"/>
  <c r="EF245" i="4" s="1"/>
  <c r="DT244" i="4"/>
  <c r="DV244" i="4" s="1"/>
  <c r="DW244" i="4" s="1"/>
  <c r="DZ244" i="4"/>
  <c r="ED244" i="4" s="1"/>
  <c r="EF244" i="4" s="1"/>
  <c r="DT243" i="4"/>
  <c r="DZ243" i="4"/>
  <c r="ED243" i="4" s="1"/>
  <c r="DT242" i="4"/>
  <c r="DV242" i="4"/>
  <c r="DW242" i="4" s="1"/>
  <c r="DZ242" i="4"/>
  <c r="ED242" i="4" s="1"/>
  <c r="EF242" i="4" s="1"/>
  <c r="DT241" i="4"/>
  <c r="DZ241" i="4"/>
  <c r="ED241" i="4" s="1"/>
  <c r="EF241" i="4" s="1"/>
  <c r="DT240" i="4"/>
  <c r="DV240" i="4" s="1"/>
  <c r="DW240" i="4" s="1"/>
  <c r="DZ240" i="4"/>
  <c r="ED240" i="4"/>
  <c r="EF240" i="4"/>
  <c r="DT239" i="4"/>
  <c r="DZ239" i="4"/>
  <c r="ED239" i="4"/>
  <c r="EF239" i="4" s="1"/>
  <c r="DT238" i="4"/>
  <c r="DV238" i="4" s="1"/>
  <c r="DW238" i="4" s="1"/>
  <c r="DT237" i="4"/>
  <c r="DV237" i="4"/>
  <c r="DW237" i="4" s="1"/>
  <c r="DT236" i="4"/>
  <c r="DT235" i="4"/>
  <c r="DV235" i="4"/>
  <c r="DW235" i="4" s="1"/>
  <c r="DT234" i="4"/>
  <c r="DV234" i="4" s="1"/>
  <c r="DW234" i="4" s="1"/>
  <c r="DT233" i="4"/>
  <c r="DV233" i="4"/>
  <c r="DW233" i="4" s="1"/>
  <c r="DT232" i="4"/>
  <c r="DT231" i="4"/>
  <c r="DV231" i="4" s="1"/>
  <c r="DW231" i="4" s="1"/>
  <c r="DT230" i="4"/>
  <c r="DV230" i="4" s="1"/>
  <c r="DW230" i="4" s="1"/>
  <c r="DT229" i="4"/>
  <c r="DV229" i="4"/>
  <c r="DW229" i="4" s="1"/>
  <c r="DT228" i="4"/>
  <c r="DT227" i="4"/>
  <c r="DV227" i="4" s="1"/>
  <c r="DW227" i="4" s="1"/>
  <c r="DT226" i="4"/>
  <c r="DV226" i="4" s="1"/>
  <c r="DW226" i="4" s="1"/>
  <c r="DT225" i="4"/>
  <c r="DV225" i="4"/>
  <c r="DW225" i="4"/>
  <c r="DT224" i="4"/>
  <c r="DT223" i="4"/>
  <c r="DV223" i="4" s="1"/>
  <c r="DW223" i="4" s="1"/>
  <c r="DT222" i="4"/>
  <c r="DV222" i="4"/>
  <c r="DW222" i="4" s="1"/>
  <c r="DT221" i="4"/>
  <c r="DV221" i="4" s="1"/>
  <c r="DW221" i="4" s="1"/>
  <c r="DT220" i="4"/>
  <c r="DT219" i="4"/>
  <c r="DV219" i="4" s="1"/>
  <c r="DW219" i="4" s="1"/>
  <c r="DT218" i="4"/>
  <c r="DV218" i="4" s="1"/>
  <c r="DW218" i="4" s="1"/>
  <c r="DT217" i="4"/>
  <c r="DV217" i="4" s="1"/>
  <c r="DW217" i="4" s="1"/>
  <c r="DT216" i="4"/>
  <c r="DT215" i="4"/>
  <c r="DV215" i="4" s="1"/>
  <c r="DW215" i="4" s="1"/>
  <c r="DZ238" i="4"/>
  <c r="DZ237" i="4"/>
  <c r="DZ236" i="4"/>
  <c r="DZ235" i="4"/>
  <c r="DZ234" i="4"/>
  <c r="DZ233" i="4"/>
  <c r="DZ232" i="4"/>
  <c r="DZ231" i="4"/>
  <c r="DZ230" i="4"/>
  <c r="DZ229" i="4"/>
  <c r="DZ228" i="4"/>
  <c r="DZ227" i="4"/>
  <c r="DZ226" i="4"/>
  <c r="DZ225" i="4"/>
  <c r="DZ224" i="4"/>
  <c r="DZ223" i="4"/>
  <c r="DZ222" i="4"/>
  <c r="DZ221" i="4"/>
  <c r="DZ220" i="4"/>
  <c r="ED220" i="4" s="1"/>
  <c r="EF220" i="4" s="1"/>
  <c r="DZ219" i="4"/>
  <c r="ED219" i="4"/>
  <c r="EF219" i="4" s="1"/>
  <c r="EK219" i="4" s="1"/>
  <c r="DZ218" i="4"/>
  <c r="ED218" i="4" s="1"/>
  <c r="EF218" i="4" s="1"/>
  <c r="DZ217" i="4"/>
  <c r="ED217" i="4"/>
  <c r="EF217" i="4" s="1"/>
  <c r="DZ216" i="4"/>
  <c r="ED216" i="4" s="1"/>
  <c r="DZ215" i="4"/>
  <c r="ED215" i="4"/>
  <c r="EF215" i="4" s="1"/>
  <c r="DT214" i="4"/>
  <c r="DZ214" i="4"/>
  <c r="DT213" i="4"/>
  <c r="DZ213" i="4"/>
  <c r="DT212" i="4"/>
  <c r="DZ212" i="4"/>
  <c r="DT211" i="4"/>
  <c r="DZ211" i="4"/>
  <c r="DT210" i="4"/>
  <c r="DZ210" i="4"/>
  <c r="DT209" i="4"/>
  <c r="DZ209" i="4"/>
  <c r="DT208" i="4"/>
  <c r="DZ208" i="4"/>
  <c r="DT207" i="4"/>
  <c r="DZ207" i="4"/>
  <c r="DT206" i="4"/>
  <c r="DZ206" i="4"/>
  <c r="DT205" i="4"/>
  <c r="DZ205" i="4"/>
  <c r="DT204" i="4"/>
  <c r="DZ204" i="4"/>
  <c r="DT203" i="4"/>
  <c r="DZ203" i="4"/>
  <c r="DT202" i="4"/>
  <c r="DZ202" i="4"/>
  <c r="DT201" i="4"/>
  <c r="DZ201" i="4"/>
  <c r="DT200" i="4"/>
  <c r="DZ200" i="4"/>
  <c r="DT199" i="4"/>
  <c r="DZ199" i="4"/>
  <c r="ED199" i="4" s="1"/>
  <c r="EF199" i="4" s="1"/>
  <c r="DT198" i="4"/>
  <c r="DV198" i="4" s="1"/>
  <c r="DW198" i="4" s="1"/>
  <c r="DZ198" i="4"/>
  <c r="DT197" i="4"/>
  <c r="DV197" i="4" s="1"/>
  <c r="DW197" i="4" s="1"/>
  <c r="DZ197" i="4"/>
  <c r="DT196" i="4"/>
  <c r="DV196" i="4" s="1"/>
  <c r="DW196" i="4" s="1"/>
  <c r="DZ196" i="4"/>
  <c r="DT195" i="4"/>
  <c r="DZ195" i="4"/>
  <c r="DT194" i="4"/>
  <c r="DV194" i="4" s="1"/>
  <c r="DW194" i="4" s="1"/>
  <c r="DZ194" i="4"/>
  <c r="DT193" i="4"/>
  <c r="DV193" i="4" s="1"/>
  <c r="DW193" i="4" s="1"/>
  <c r="DZ193" i="4"/>
  <c r="DT192" i="4"/>
  <c r="DV192" i="4" s="1"/>
  <c r="DW192" i="4" s="1"/>
  <c r="DZ192" i="4"/>
  <c r="EB196" i="4" s="1"/>
  <c r="ED196" i="4" s="1"/>
  <c r="EF196" i="4" s="1"/>
  <c r="EK196" i="4" s="1"/>
  <c r="EM196" i="4" s="1"/>
  <c r="DT191" i="4"/>
  <c r="DV191" i="4" s="1"/>
  <c r="DW191" i="4" s="1"/>
  <c r="DZ191" i="4"/>
  <c r="EB198" i="4"/>
  <c r="ED198" i="4" s="1"/>
  <c r="EF198" i="4" s="1"/>
  <c r="EB197" i="4"/>
  <c r="ED197" i="4" s="1"/>
  <c r="EF197" i="4" s="1"/>
  <c r="EK197" i="4" s="1"/>
  <c r="EM197" i="4" s="1"/>
  <c r="EB194" i="4"/>
  <c r="ED194" i="4" s="1"/>
  <c r="EF194" i="4" s="1"/>
  <c r="EB193" i="4"/>
  <c r="ED193" i="4" s="1"/>
  <c r="EF193" i="4" s="1"/>
  <c r="DT190" i="4"/>
  <c r="DV190" i="4" s="1"/>
  <c r="DW190" i="4" s="1"/>
  <c r="DZ190" i="4"/>
  <c r="DT189" i="4"/>
  <c r="DV189" i="4"/>
  <c r="DW189" i="4" s="1"/>
  <c r="DZ189" i="4"/>
  <c r="DT188" i="4"/>
  <c r="DV188" i="4" s="1"/>
  <c r="DW188" i="4" s="1"/>
  <c r="DZ188" i="4"/>
  <c r="EB188" i="4" s="1"/>
  <c r="ED188" i="4" s="1"/>
  <c r="EF188" i="4" s="1"/>
  <c r="DT187" i="4"/>
  <c r="DV187" i="4" s="1"/>
  <c r="DW187" i="4" s="1"/>
  <c r="DZ187" i="4"/>
  <c r="ED187" i="4" s="1"/>
  <c r="EF187" i="4" s="1"/>
  <c r="EB189" i="4"/>
  <c r="ED189" i="4" s="1"/>
  <c r="DT186" i="4"/>
  <c r="DV186" i="4" s="1"/>
  <c r="DW186" i="4" s="1"/>
  <c r="DZ186" i="4"/>
  <c r="DT185" i="4"/>
  <c r="DV185" i="4" s="1"/>
  <c r="DW185" i="4" s="1"/>
  <c r="DZ185" i="4"/>
  <c r="DT184" i="4"/>
  <c r="DV184" i="4" s="1"/>
  <c r="DW184" i="4" s="1"/>
  <c r="DZ184" i="4"/>
  <c r="DT183" i="4"/>
  <c r="DV183" i="4"/>
  <c r="DW183" i="4" s="1"/>
  <c r="DZ183" i="4"/>
  <c r="ED183" i="4" s="1"/>
  <c r="EF183" i="4" s="1"/>
  <c r="DT182" i="4"/>
  <c r="DV182" i="4" s="1"/>
  <c r="DW182" i="4" s="1"/>
  <c r="DZ182" i="4"/>
  <c r="ED182" i="4" s="1"/>
  <c r="EF182" i="4" s="1"/>
  <c r="DT181" i="4"/>
  <c r="DV181" i="4" s="1"/>
  <c r="DW181" i="4" s="1"/>
  <c r="DZ181" i="4"/>
  <c r="ED181" i="4"/>
  <c r="EF181" i="4" s="1"/>
  <c r="DW179" i="4"/>
  <c r="DZ179" i="4"/>
  <c r="DW178" i="4"/>
  <c r="DZ178" i="4" s="1"/>
  <c r="ED178" i="4"/>
  <c r="EF178" i="4" s="1"/>
  <c r="EV247" i="4"/>
  <c r="EV249" i="4"/>
  <c r="EV250" i="4"/>
  <c r="EV251" i="4"/>
  <c r="EV253" i="4"/>
  <c r="EV254" i="4"/>
  <c r="EV255" i="4"/>
  <c r="EV259" i="4"/>
  <c r="EV261" i="4"/>
  <c r="EV262" i="4"/>
  <c r="EV263" i="4"/>
  <c r="EV264" i="4"/>
  <c r="EV267" i="4"/>
  <c r="EV269" i="4"/>
  <c r="EV246" i="4"/>
  <c r="EV244" i="4"/>
  <c r="DT278" i="4"/>
  <c r="DV278" i="4"/>
  <c r="DW278" i="4" s="1"/>
  <c r="DT277" i="4"/>
  <c r="DV277" i="4" s="1"/>
  <c r="DW277" i="4" s="1"/>
  <c r="DT276" i="4"/>
  <c r="DV276" i="4" s="1"/>
  <c r="DW276" i="4" s="1"/>
  <c r="DT275" i="4"/>
  <c r="DV275" i="4" s="1"/>
  <c r="DW275" i="4" s="1"/>
  <c r="DT274" i="4"/>
  <c r="DV274" i="4" s="1"/>
  <c r="DW274" i="4" s="1"/>
  <c r="DT273" i="4"/>
  <c r="DV273" i="4" s="1"/>
  <c r="DW273" i="4" s="1"/>
  <c r="DT272" i="4"/>
  <c r="DV272" i="4" s="1"/>
  <c r="DW272" i="4" s="1"/>
  <c r="DT271" i="4"/>
  <c r="DV271" i="4" s="1"/>
  <c r="DW271" i="4" s="1"/>
  <c r="DT270" i="4"/>
  <c r="DV270" i="4"/>
  <c r="DW270" i="4" s="1"/>
  <c r="J9" i="7"/>
  <c r="K9" i="7"/>
  <c r="L9" i="7"/>
  <c r="J10" i="7"/>
  <c r="K10" i="7"/>
  <c r="L10" i="7"/>
  <c r="J11" i="7"/>
  <c r="K11" i="7"/>
  <c r="L11" i="7"/>
  <c r="J12" i="7"/>
  <c r="K12" i="7"/>
  <c r="L12" i="7"/>
  <c r="J13" i="7"/>
  <c r="K13" i="7"/>
  <c r="L13" i="7"/>
  <c r="J14" i="7"/>
  <c r="K14" i="7"/>
  <c r="L14" i="7"/>
  <c r="J15" i="7"/>
  <c r="K15" i="7"/>
  <c r="L15" i="7"/>
  <c r="J16" i="7"/>
  <c r="K16" i="7"/>
  <c r="L16" i="7"/>
  <c r="J17" i="7"/>
  <c r="K17" i="7"/>
  <c r="L17" i="7"/>
  <c r="J18" i="7"/>
  <c r="K18" i="7"/>
  <c r="L18" i="7"/>
  <c r="J19" i="7"/>
  <c r="K19" i="7"/>
  <c r="L19" i="7"/>
  <c r="J20" i="7"/>
  <c r="K20" i="7"/>
  <c r="L20" i="7"/>
  <c r="J21" i="7"/>
  <c r="K21" i="7"/>
  <c r="L21" i="7"/>
  <c r="J22" i="7"/>
  <c r="K22" i="7"/>
  <c r="L22" i="7"/>
  <c r="J23" i="7"/>
  <c r="K23" i="7"/>
  <c r="L23" i="7"/>
  <c r="J24" i="7"/>
  <c r="K24" i="7"/>
  <c r="L24" i="7"/>
  <c r="J25" i="7"/>
  <c r="K25" i="7"/>
  <c r="L25" i="7"/>
  <c r="J26" i="7"/>
  <c r="K26" i="7"/>
  <c r="L26" i="7"/>
  <c r="J27" i="7"/>
  <c r="K27" i="7"/>
  <c r="L27" i="7"/>
  <c r="J28" i="7"/>
  <c r="K28" i="7"/>
  <c r="L28" i="7"/>
  <c r="J29" i="7"/>
  <c r="K29" i="7"/>
  <c r="L29" i="7"/>
  <c r="J30" i="7"/>
  <c r="K30" i="7"/>
  <c r="L30" i="7"/>
  <c r="J31" i="7"/>
  <c r="K31" i="7"/>
  <c r="L31" i="7"/>
  <c r="J32" i="7"/>
  <c r="K32" i="7"/>
  <c r="L32" i="7"/>
  <c r="BU152" i="4"/>
  <c r="N420" i="9" s="1"/>
  <c r="R422" i="9" s="1"/>
  <c r="M422" i="9" s="1"/>
  <c r="G155" i="4" s="1"/>
  <c r="D20" i="4" s="1"/>
  <c r="J20" i="4" s="1"/>
  <c r="L20" i="4" s="1"/>
  <c r="BU149" i="4"/>
  <c r="N419" i="9" s="1"/>
  <c r="Q422" i="9" s="1"/>
  <c r="L422" i="9" s="1"/>
  <c r="F155" i="4" s="1"/>
  <c r="C20" i="4" s="1"/>
  <c r="I20" i="4" s="1"/>
  <c r="K20" i="4" s="1"/>
  <c r="BV121" i="4"/>
  <c r="BU121" i="4"/>
  <c r="BV118" i="4"/>
  <c r="BU118" i="4"/>
  <c r="BV115" i="4"/>
  <c r="BU115" i="4"/>
  <c r="BV112" i="4"/>
  <c r="BU112" i="4"/>
  <c r="BV109" i="4"/>
  <c r="BU109" i="4"/>
  <c r="BV106" i="4"/>
  <c r="BU106" i="4"/>
  <c r="BV103" i="4"/>
  <c r="BU103" i="4"/>
  <c r="BV100" i="4"/>
  <c r="BU100" i="4"/>
  <c r="I104" i="7"/>
  <c r="J104" i="7"/>
  <c r="I105" i="7"/>
  <c r="J105" i="7"/>
  <c r="I106" i="7"/>
  <c r="J106" i="7"/>
  <c r="I107" i="7"/>
  <c r="J107" i="7"/>
  <c r="I108" i="7"/>
  <c r="J108" i="7"/>
  <c r="I109" i="7"/>
  <c r="J109" i="7"/>
  <c r="J103" i="7"/>
  <c r="I103" i="7"/>
  <c r="D55" i="1"/>
  <c r="D69" i="1"/>
  <c r="E2" i="4"/>
  <c r="F2" i="4"/>
  <c r="H2" i="4"/>
  <c r="I2" i="4" s="1"/>
  <c r="CP5" i="4"/>
  <c r="CV4" i="4"/>
  <c r="CW4" i="4"/>
  <c r="CQ5" i="4"/>
  <c r="CV5" i="4"/>
  <c r="N6" i="4"/>
  <c r="N7" i="4"/>
  <c r="N8" i="4"/>
  <c r="N9" i="4"/>
  <c r="N10" i="4"/>
  <c r="CA10" i="4"/>
  <c r="N11" i="4"/>
  <c r="CS11" i="4"/>
  <c r="CT11" i="4"/>
  <c r="CU11" i="4"/>
  <c r="CV11" i="4"/>
  <c r="CW11" i="4"/>
  <c r="CX11" i="4"/>
  <c r="CY11" i="4"/>
  <c r="CZ11" i="4"/>
  <c r="DA11" i="4"/>
  <c r="DB11" i="4"/>
  <c r="DC11" i="4"/>
  <c r="DD11" i="4"/>
  <c r="DE11" i="4"/>
  <c r="DF11" i="4"/>
  <c r="DG11" i="4"/>
  <c r="DH11" i="4"/>
  <c r="N12" i="4"/>
  <c r="CS12" i="4"/>
  <c r="CT12" i="4"/>
  <c r="CU12" i="4"/>
  <c r="CV12" i="4"/>
  <c r="CW12" i="4"/>
  <c r="CX12" i="4"/>
  <c r="CY12" i="4"/>
  <c r="CZ12" i="4"/>
  <c r="DA12" i="4"/>
  <c r="DB12" i="4"/>
  <c r="DC12" i="4"/>
  <c r="DD12" i="4"/>
  <c r="DE12" i="4"/>
  <c r="DF12" i="4"/>
  <c r="DG12" i="4"/>
  <c r="DH12" i="4"/>
  <c r="N13" i="4"/>
  <c r="CS13" i="4"/>
  <c r="CT13" i="4"/>
  <c r="CU13" i="4"/>
  <c r="CV13" i="4"/>
  <c r="CW13" i="4"/>
  <c r="CX13" i="4"/>
  <c r="CY13" i="4"/>
  <c r="CZ13" i="4"/>
  <c r="DA13" i="4"/>
  <c r="DB13" i="4"/>
  <c r="DC13" i="4"/>
  <c r="DD13" i="4"/>
  <c r="DE13" i="4"/>
  <c r="DF13" i="4"/>
  <c r="DG13" i="4"/>
  <c r="DH13" i="4"/>
  <c r="O415" i="9"/>
  <c r="BU114" i="4"/>
  <c r="N412" i="9" s="1"/>
  <c r="BU108" i="4"/>
  <c r="N410" i="9" s="1"/>
  <c r="P415" i="9"/>
  <c r="BU111" i="4"/>
  <c r="N411" i="9" s="1"/>
  <c r="BU102" i="4"/>
  <c r="N408" i="9" s="1"/>
  <c r="R415" i="9" s="1"/>
  <c r="M415" i="9" s="1"/>
  <c r="G130" i="4" s="1"/>
  <c r="D14" i="4" s="1"/>
  <c r="J14" i="4" s="1"/>
  <c r="L14" i="4" s="1"/>
  <c r="O416" i="9"/>
  <c r="P416" i="9"/>
  <c r="R416" i="9" s="1"/>
  <c r="M416" i="9" s="1"/>
  <c r="G133" i="4" s="1"/>
  <c r="D15" i="4" s="1"/>
  <c r="J15" i="4" s="1"/>
  <c r="L15" i="4" s="1"/>
  <c r="O417" i="9"/>
  <c r="BU105" i="4"/>
  <c r="N409" i="9" s="1"/>
  <c r="P417" i="9"/>
  <c r="BU99" i="4"/>
  <c r="N407" i="9" s="1"/>
  <c r="O418" i="9"/>
  <c r="BU120" i="4"/>
  <c r="N414" i="9" s="1"/>
  <c r="BU117" i="4"/>
  <c r="N413" i="9" s="1"/>
  <c r="P418" i="9"/>
  <c r="O419" i="9"/>
  <c r="Q419" i="9" s="1"/>
  <c r="L419" i="9" s="1"/>
  <c r="F149" i="4" s="1"/>
  <c r="C18" i="4" s="1"/>
  <c r="I18" i="4" s="1"/>
  <c r="K18" i="4" s="1"/>
  <c r="BU133" i="4"/>
  <c r="N416" i="9" s="1"/>
  <c r="BU130" i="4"/>
  <c r="N415" i="9" s="1"/>
  <c r="P419" i="9"/>
  <c r="R419" i="9" s="1"/>
  <c r="M419" i="9" s="1"/>
  <c r="G149" i="4" s="1"/>
  <c r="D18" i="4" s="1"/>
  <c r="J18" i="4" s="1"/>
  <c r="L18" i="4" s="1"/>
  <c r="J149" i="4"/>
  <c r="G18" i="4" s="1"/>
  <c r="K149" i="4"/>
  <c r="H18" i="4" s="1"/>
  <c r="CS18" i="4"/>
  <c r="CT18" i="4"/>
  <c r="CU18" i="4"/>
  <c r="CV18" i="4"/>
  <c r="CW18" i="4"/>
  <c r="CX18" i="4"/>
  <c r="CY18" i="4"/>
  <c r="CZ18" i="4"/>
  <c r="DA18" i="4"/>
  <c r="DB18" i="4"/>
  <c r="DC18" i="4"/>
  <c r="DD18" i="4"/>
  <c r="DE18" i="4"/>
  <c r="DF18" i="4"/>
  <c r="DG18" i="4"/>
  <c r="DH18" i="4"/>
  <c r="O420" i="9"/>
  <c r="BU139" i="4"/>
  <c r="N418" i="9" s="1"/>
  <c r="Q420" i="9" s="1"/>
  <c r="L420" i="9" s="1"/>
  <c r="F152" i="4" s="1"/>
  <c r="C19" i="4" s="1"/>
  <c r="I19" i="4" s="1"/>
  <c r="K19" i="4" s="1"/>
  <c r="P420" i="9"/>
  <c r="BU136" i="4"/>
  <c r="N417" i="9" s="1"/>
  <c r="R420" i="9" s="1"/>
  <c r="M420" i="9" s="1"/>
  <c r="G152" i="4" s="1"/>
  <c r="D19" i="4" s="1"/>
  <c r="J19" i="4" s="1"/>
  <c r="L19" i="4" s="1"/>
  <c r="J152" i="4"/>
  <c r="G19" i="4"/>
  <c r="K152" i="4"/>
  <c r="H19" i="4" s="1"/>
  <c r="CS19" i="4"/>
  <c r="CT19" i="4"/>
  <c r="CU19" i="4"/>
  <c r="CV19" i="4"/>
  <c r="CW19" i="4"/>
  <c r="CX19" i="4"/>
  <c r="CY19" i="4"/>
  <c r="CZ19" i="4"/>
  <c r="DA19" i="4"/>
  <c r="DB19" i="4"/>
  <c r="DC19" i="4"/>
  <c r="DD19" i="4"/>
  <c r="DE19" i="4"/>
  <c r="DF19" i="4"/>
  <c r="DG19" i="4"/>
  <c r="DH19" i="4"/>
  <c r="S22" i="4"/>
  <c r="S23" i="4"/>
  <c r="CS25" i="4"/>
  <c r="CT25" i="4"/>
  <c r="CU25" i="4"/>
  <c r="CV25" i="4"/>
  <c r="CW25" i="4"/>
  <c r="CX25" i="4"/>
  <c r="CY25" i="4"/>
  <c r="CZ25" i="4"/>
  <c r="DA25" i="4"/>
  <c r="DB25" i="4"/>
  <c r="DC25" i="4"/>
  <c r="DD25" i="4"/>
  <c r="DE25" i="4"/>
  <c r="DF25" i="4"/>
  <c r="DG25" i="4"/>
  <c r="DH25" i="4"/>
  <c r="AB27" i="4"/>
  <c r="EH28" i="4"/>
  <c r="Q30" i="4"/>
  <c r="X35" i="4"/>
  <c r="AA35" i="4"/>
  <c r="AB35" i="4"/>
  <c r="DT35" i="4"/>
  <c r="DU35" i="4"/>
  <c r="EP80" i="4"/>
  <c r="CY80" i="4"/>
  <c r="CX80" i="4"/>
  <c r="CV82" i="4"/>
  <c r="CV77" i="4"/>
  <c r="CV78" i="4"/>
  <c r="CV79" i="4"/>
  <c r="CV80" i="4"/>
  <c r="CV81" i="4"/>
  <c r="CV83" i="4"/>
  <c r="CV84" i="4"/>
  <c r="CV85" i="4"/>
  <c r="CV86" i="4"/>
  <c r="CV87" i="4"/>
  <c r="CV88" i="4"/>
  <c r="ER80" i="4"/>
  <c r="ES80" i="4"/>
  <c r="EM80" i="4"/>
  <c r="EN80" i="4"/>
  <c r="EP81" i="4"/>
  <c r="CY81" i="4"/>
  <c r="CX81" i="4"/>
  <c r="CG81" i="4"/>
  <c r="EO81" i="4" s="1"/>
  <c r="ER81" i="4"/>
  <c r="ES81" i="4"/>
  <c r="EM81" i="4"/>
  <c r="EN81" i="4"/>
  <c r="EP82" i="4"/>
  <c r="CY82" i="4"/>
  <c r="CX82" i="4"/>
  <c r="CI82" i="4"/>
  <c r="EQ82" i="4" s="1"/>
  <c r="EM82" i="4"/>
  <c r="EN82" i="4"/>
  <c r="ER82" i="4"/>
  <c r="ES82" i="4"/>
  <c r="EP83" i="4"/>
  <c r="CY83" i="4"/>
  <c r="CX83" i="4"/>
  <c r="CI83" i="4" s="1"/>
  <c r="EQ83" i="4" s="1"/>
  <c r="ER83" i="4"/>
  <c r="ES83" i="4"/>
  <c r="EM83" i="4"/>
  <c r="EN83" i="4"/>
  <c r="ER99" i="4"/>
  <c r="ES99" i="4"/>
  <c r="EP99" i="4"/>
  <c r="CY99" i="4"/>
  <c r="CX99" i="4"/>
  <c r="CI99" i="4" s="1"/>
  <c r="EQ99" i="4" s="1"/>
  <c r="ET99" i="4"/>
  <c r="CV102" i="4"/>
  <c r="CV108" i="4"/>
  <c r="CV99" i="4"/>
  <c r="CG111" i="4" s="1"/>
  <c r="CV105" i="4"/>
  <c r="CV111" i="4"/>
  <c r="CV114" i="4"/>
  <c r="CV117" i="4"/>
  <c r="CV120" i="4"/>
  <c r="EM99" i="4"/>
  <c r="EN99" i="4"/>
  <c r="ER102" i="4"/>
  <c r="ES102" i="4"/>
  <c r="EP102" i="4"/>
  <c r="CY102" i="4"/>
  <c r="CX102" i="4"/>
  <c r="ET102" i="4"/>
  <c r="EM102" i="4"/>
  <c r="EN102" i="4"/>
  <c r="ER105" i="4"/>
  <c r="ES105" i="4"/>
  <c r="EP105" i="4"/>
  <c r="CY105" i="4"/>
  <c r="CX105" i="4"/>
  <c r="ET105" i="4"/>
  <c r="EM105" i="4"/>
  <c r="EN105" i="4"/>
  <c r="ER108" i="4"/>
  <c r="ES108" i="4"/>
  <c r="EP108" i="4"/>
  <c r="CY108" i="4"/>
  <c r="CX108" i="4"/>
  <c r="ET108" i="4"/>
  <c r="EM108" i="4"/>
  <c r="EN108" i="4"/>
  <c r="ER111" i="4"/>
  <c r="ES111" i="4"/>
  <c r="EP111" i="4"/>
  <c r="CY111" i="4"/>
  <c r="CX111" i="4"/>
  <c r="CI111" i="4" s="1"/>
  <c r="EQ111" i="4" s="1"/>
  <c r="ET111" i="4"/>
  <c r="EM111" i="4"/>
  <c r="EN111" i="4"/>
  <c r="ER114" i="4"/>
  <c r="ES114" i="4"/>
  <c r="EP114" i="4"/>
  <c r="CY114" i="4"/>
  <c r="CX114" i="4"/>
  <c r="ET114" i="4"/>
  <c r="EM114" i="4"/>
  <c r="EN114" i="4"/>
  <c r="ER117" i="4"/>
  <c r="ES117" i="4"/>
  <c r="EP117" i="4"/>
  <c r="CY117" i="4"/>
  <c r="CX117" i="4"/>
  <c r="CI117" i="4" s="1"/>
  <c r="EQ117" i="4" s="1"/>
  <c r="ET117" i="4"/>
  <c r="EM117" i="4"/>
  <c r="EN117" i="4"/>
  <c r="ER120" i="4"/>
  <c r="ES120" i="4"/>
  <c r="EP120" i="4"/>
  <c r="CY120" i="4"/>
  <c r="CX120" i="4"/>
  <c r="ET120" i="4"/>
  <c r="EM120" i="4"/>
  <c r="EN120" i="4"/>
  <c r="ER130" i="4"/>
  <c r="ES130" i="4"/>
  <c r="EP130" i="4"/>
  <c r="CY130" i="4"/>
  <c r="CX130" i="4"/>
  <c r="CI130" i="4" s="1"/>
  <c r="EQ130" i="4" s="1"/>
  <c r="ET130" i="4"/>
  <c r="CV130" i="4"/>
  <c r="CV133" i="4"/>
  <c r="CV136" i="4"/>
  <c r="CG136" i="4" s="1"/>
  <c r="EO136" i="4" s="1"/>
  <c r="CV139" i="4"/>
  <c r="EM130" i="4"/>
  <c r="EN130" i="4"/>
  <c r="ER133" i="4"/>
  <c r="ES133" i="4"/>
  <c r="EP133" i="4"/>
  <c r="CY133" i="4"/>
  <c r="CX133" i="4"/>
  <c r="ET133" i="4"/>
  <c r="CG133" i="4"/>
  <c r="EO133" i="4" s="1"/>
  <c r="EM133" i="4"/>
  <c r="EN133" i="4"/>
  <c r="ER136" i="4"/>
  <c r="ES136" i="4"/>
  <c r="EP136" i="4"/>
  <c r="CY136" i="4"/>
  <c r="CX136" i="4"/>
  <c r="ET136" i="4"/>
  <c r="EM136" i="4"/>
  <c r="EN136" i="4"/>
  <c r="ER139" i="4"/>
  <c r="ES139" i="4"/>
  <c r="EP139" i="4"/>
  <c r="CY139" i="4"/>
  <c r="CX139" i="4"/>
  <c r="CI139" i="4" s="1"/>
  <c r="EQ139" i="4" s="1"/>
  <c r="ET139" i="4"/>
  <c r="EM139" i="4"/>
  <c r="EN139" i="4"/>
  <c r="ER149" i="4"/>
  <c r="ES149" i="4"/>
  <c r="EP149" i="4"/>
  <c r="CY149" i="4"/>
  <c r="CX149" i="4"/>
  <c r="ET149" i="4"/>
  <c r="CV149" i="4"/>
  <c r="CV152" i="4"/>
  <c r="CV155" i="4"/>
  <c r="EM149" i="4"/>
  <c r="EN149" i="4"/>
  <c r="ER152" i="4"/>
  <c r="ES152" i="4"/>
  <c r="EP152" i="4"/>
  <c r="CY152" i="4"/>
  <c r="CX152" i="4"/>
  <c r="ET152" i="4"/>
  <c r="EM152" i="4"/>
  <c r="EN152" i="4"/>
  <c r="ER155" i="4"/>
  <c r="ES155" i="4"/>
  <c r="EP155" i="4"/>
  <c r="CY155" i="4"/>
  <c r="ET155" i="4"/>
  <c r="EM155" i="4"/>
  <c r="EP39" i="4"/>
  <c r="CY39" i="4"/>
  <c r="CX39" i="4"/>
  <c r="CV39" i="4"/>
  <c r="CV40" i="4"/>
  <c r="CV41" i="4"/>
  <c r="CV42" i="4"/>
  <c r="CV43" i="4"/>
  <c r="CV44" i="4"/>
  <c r="CV45" i="4"/>
  <c r="CV46" i="4"/>
  <c r="CV47" i="4"/>
  <c r="CV48" i="4"/>
  <c r="CV49" i="4"/>
  <c r="CV50" i="4"/>
  <c r="ER39" i="4"/>
  <c r="ES39" i="4"/>
  <c r="EM39" i="4"/>
  <c r="EN39" i="4"/>
  <c r="ET39" i="4"/>
  <c r="EP40" i="4"/>
  <c r="CY40" i="4"/>
  <c r="CX40" i="4"/>
  <c r="ER40" i="4"/>
  <c r="ES40" i="4"/>
  <c r="EM40" i="4"/>
  <c r="EN40" i="4"/>
  <c r="ET40" i="4"/>
  <c r="EP41" i="4"/>
  <c r="CY41" i="4"/>
  <c r="CX41" i="4"/>
  <c r="CI41" i="4" s="1"/>
  <c r="EQ41" i="4" s="1"/>
  <c r="ER41" i="4"/>
  <c r="ES41" i="4"/>
  <c r="EM41" i="4"/>
  <c r="EN41" i="4"/>
  <c r="ET41" i="4"/>
  <c r="EP42" i="4"/>
  <c r="CY42" i="4"/>
  <c r="ER42" i="4"/>
  <c r="ES42" i="4"/>
  <c r="EM42" i="4"/>
  <c r="ET42" i="4"/>
  <c r="EP43" i="4"/>
  <c r="CY43" i="4"/>
  <c r="CX43" i="4"/>
  <c r="ER43" i="4"/>
  <c r="ES43" i="4"/>
  <c r="EM43" i="4"/>
  <c r="EN43" i="4"/>
  <c r="ET43" i="4"/>
  <c r="EP44" i="4"/>
  <c r="CY44" i="4"/>
  <c r="CX44" i="4"/>
  <c r="ER44" i="4"/>
  <c r="ES44" i="4"/>
  <c r="EM44" i="4"/>
  <c r="EN44" i="4"/>
  <c r="ET44" i="4"/>
  <c r="EP45" i="4"/>
  <c r="CY45" i="4"/>
  <c r="CX45" i="4"/>
  <c r="CI45" i="4" s="1"/>
  <c r="EQ45" i="4" s="1"/>
  <c r="CG45" i="4"/>
  <c r="ER45" i="4"/>
  <c r="ES45" i="4"/>
  <c r="EM45" i="4"/>
  <c r="EN45" i="4"/>
  <c r="ET45" i="4"/>
  <c r="EP46" i="4"/>
  <c r="CY46" i="4"/>
  <c r="CX46" i="4"/>
  <c r="CI46" i="4" s="1"/>
  <c r="EQ46" i="4" s="1"/>
  <c r="ER46" i="4"/>
  <c r="ES46" i="4"/>
  <c r="EM46" i="4"/>
  <c r="EN46" i="4"/>
  <c r="ET46" i="4"/>
  <c r="EP47" i="4"/>
  <c r="CY47" i="4"/>
  <c r="CX47" i="4"/>
  <c r="ER47" i="4"/>
  <c r="ES47" i="4"/>
  <c r="EM47" i="4"/>
  <c r="EN47" i="4"/>
  <c r="ET47" i="4"/>
  <c r="EP48" i="4"/>
  <c r="CY48" i="4"/>
  <c r="ER48" i="4"/>
  <c r="ES48" i="4"/>
  <c r="EN48" i="4"/>
  <c r="ET48" i="4"/>
  <c r="EP49" i="4"/>
  <c r="CY49" i="4"/>
  <c r="CX49" i="4"/>
  <c r="ER49" i="4"/>
  <c r="ES49" i="4"/>
  <c r="EM49" i="4"/>
  <c r="EN49" i="4"/>
  <c r="ET49" i="4"/>
  <c r="EP50" i="4"/>
  <c r="CY50" i="4"/>
  <c r="CX50" i="4"/>
  <c r="CI50" i="4" s="1"/>
  <c r="EQ50" i="4" s="1"/>
  <c r="ER50" i="4"/>
  <c r="ES50" i="4"/>
  <c r="EM50" i="4"/>
  <c r="ET50" i="4"/>
  <c r="EP58" i="4"/>
  <c r="CY58" i="4"/>
  <c r="CX58" i="4"/>
  <c r="CV58" i="4"/>
  <c r="CV59" i="4"/>
  <c r="CV60" i="4"/>
  <c r="CV61" i="4"/>
  <c r="CV62" i="4"/>
  <c r="CV63" i="4"/>
  <c r="CV64" i="4"/>
  <c r="CV65" i="4"/>
  <c r="CV66" i="4"/>
  <c r="CV67" i="4"/>
  <c r="CG61" i="4" s="1"/>
  <c r="EO61" i="4" s="1"/>
  <c r="CV68" i="4"/>
  <c r="CV69" i="4"/>
  <c r="ER58" i="4"/>
  <c r="ES58" i="4"/>
  <c r="EM58" i="4"/>
  <c r="EN58" i="4"/>
  <c r="ET58" i="4"/>
  <c r="EP59" i="4"/>
  <c r="CY59" i="4"/>
  <c r="ER59" i="4"/>
  <c r="ES59" i="4"/>
  <c r="EM59" i="4"/>
  <c r="EN59" i="4"/>
  <c r="ET59" i="4"/>
  <c r="EP60" i="4"/>
  <c r="CY60" i="4"/>
  <c r="CX60" i="4"/>
  <c r="ER60" i="4"/>
  <c r="ES60" i="4"/>
  <c r="EM60" i="4"/>
  <c r="EN60" i="4"/>
  <c r="ET60" i="4"/>
  <c r="EP61" i="4"/>
  <c r="CY61" i="4"/>
  <c r="CX61" i="4"/>
  <c r="ER61" i="4"/>
  <c r="ES61" i="4"/>
  <c r="EM61" i="4"/>
  <c r="EN61" i="4"/>
  <c r="ET61" i="4"/>
  <c r="EP62" i="4"/>
  <c r="CY62" i="4"/>
  <c r="ER62" i="4"/>
  <c r="ES62" i="4"/>
  <c r="EN62" i="4"/>
  <c r="ET62" i="4"/>
  <c r="EP63" i="4"/>
  <c r="CY63" i="4"/>
  <c r="CX63" i="4"/>
  <c r="CI63" i="4" s="1"/>
  <c r="EQ63" i="4" s="1"/>
  <c r="ER63" i="4"/>
  <c r="ES63" i="4"/>
  <c r="EM63" i="4"/>
  <c r="EN63" i="4"/>
  <c r="ET63" i="4"/>
  <c r="EP64" i="4"/>
  <c r="CY64" i="4"/>
  <c r="CX64" i="4"/>
  <c r="ER64" i="4"/>
  <c r="ES64" i="4"/>
  <c r="EM64" i="4"/>
  <c r="EN64" i="4"/>
  <c r="ET64" i="4"/>
  <c r="EP65" i="4"/>
  <c r="CY65" i="4"/>
  <c r="CX65" i="4"/>
  <c r="CI65" i="4" s="1"/>
  <c r="EQ65" i="4" s="1"/>
  <c r="ER65" i="4"/>
  <c r="ES65" i="4"/>
  <c r="EM65" i="4"/>
  <c r="ET65" i="4"/>
  <c r="EP66" i="4"/>
  <c r="CY66" i="4"/>
  <c r="CX66" i="4"/>
  <c r="ER66" i="4"/>
  <c r="ES66" i="4"/>
  <c r="EM66" i="4"/>
  <c r="EN66" i="4"/>
  <c r="ET66" i="4"/>
  <c r="EP67" i="4"/>
  <c r="CY67" i="4"/>
  <c r="CX67" i="4"/>
  <c r="CI67" i="4" s="1"/>
  <c r="EQ67" i="4" s="1"/>
  <c r="ER67" i="4"/>
  <c r="ES67" i="4"/>
  <c r="EM67" i="4"/>
  <c r="EN67" i="4"/>
  <c r="ET67" i="4"/>
  <c r="EP68" i="4"/>
  <c r="CY68" i="4"/>
  <c r="CX68" i="4"/>
  <c r="CI68" i="4" s="1"/>
  <c r="EQ68" i="4" s="1"/>
  <c r="ER68" i="4"/>
  <c r="ES68" i="4"/>
  <c r="EM68" i="4"/>
  <c r="EN68" i="4"/>
  <c r="ET68" i="4"/>
  <c r="EP69" i="4"/>
  <c r="CY69" i="4"/>
  <c r="CX69" i="4"/>
  <c r="CI69" i="4" s="1"/>
  <c r="EQ69" i="4" s="1"/>
  <c r="ER69" i="4"/>
  <c r="ES69" i="4"/>
  <c r="EM69" i="4"/>
  <c r="EN69" i="4"/>
  <c r="ET69" i="4"/>
  <c r="EP77" i="4"/>
  <c r="CY77" i="4"/>
  <c r="CX77" i="4"/>
  <c r="ER77" i="4"/>
  <c r="ES77" i="4"/>
  <c r="EM77" i="4"/>
  <c r="EN77" i="4"/>
  <c r="ET77" i="4"/>
  <c r="EP78" i="4"/>
  <c r="CY78" i="4"/>
  <c r="CX78" i="4"/>
  <c r="CI78" i="4"/>
  <c r="EQ78" i="4" s="1"/>
  <c r="ER78" i="4"/>
  <c r="ES78" i="4"/>
  <c r="EM78" i="4"/>
  <c r="ET78" i="4"/>
  <c r="EP79" i="4"/>
  <c r="CY79" i="4"/>
  <c r="CX79" i="4"/>
  <c r="CG79" i="4"/>
  <c r="EO79" i="4"/>
  <c r="ER79" i="4"/>
  <c r="ES79" i="4"/>
  <c r="EM79" i="4"/>
  <c r="EN79" i="4"/>
  <c r="ET79" i="4"/>
  <c r="EP84" i="4"/>
  <c r="CY84" i="4"/>
  <c r="CX84" i="4"/>
  <c r="ER84" i="4"/>
  <c r="ES84" i="4"/>
  <c r="EM84" i="4"/>
  <c r="EN84" i="4"/>
  <c r="ET84" i="4"/>
  <c r="EP85" i="4"/>
  <c r="CY85" i="4"/>
  <c r="CX85" i="4"/>
  <c r="DA85" i="4"/>
  <c r="CG85" i="4"/>
  <c r="EO85" i="4" s="1"/>
  <c r="ER85" i="4"/>
  <c r="ES85" i="4"/>
  <c r="EM85" i="4"/>
  <c r="EN85" i="4"/>
  <c r="ET85" i="4"/>
  <c r="EP86" i="4"/>
  <c r="CY86" i="4"/>
  <c r="CI86" i="4" s="1"/>
  <c r="EQ86" i="4" s="1"/>
  <c r="CX86" i="4"/>
  <c r="DA86" i="4"/>
  <c r="CG86" i="4"/>
  <c r="EO86" i="4"/>
  <c r="ER86" i="4"/>
  <c r="ES86" i="4"/>
  <c r="EM86" i="4"/>
  <c r="EN86" i="4"/>
  <c r="EU86" i="4" s="1"/>
  <c r="ET86" i="4"/>
  <c r="EP87" i="4"/>
  <c r="CY87" i="4"/>
  <c r="CX87" i="4"/>
  <c r="CG87" i="4"/>
  <c r="EO87" i="4"/>
  <c r="ER87" i="4"/>
  <c r="ES87" i="4"/>
  <c r="EM87" i="4"/>
  <c r="EN87" i="4"/>
  <c r="ET87" i="4"/>
  <c r="EP88" i="4"/>
  <c r="CY88" i="4"/>
  <c r="CX88" i="4"/>
  <c r="DA88" i="4"/>
  <c r="ER88" i="4"/>
  <c r="ES88" i="4"/>
  <c r="EM88" i="4"/>
  <c r="EN88" i="4"/>
  <c r="ET88" i="4"/>
  <c r="U37" i="4"/>
  <c r="AI37" i="4"/>
  <c r="EL37" i="4"/>
  <c r="T39" i="4"/>
  <c r="CH39" i="4"/>
  <c r="EE39" i="4"/>
  <c r="EG39" i="4"/>
  <c r="EH39" i="4" s="1"/>
  <c r="EI39" i="4" s="1"/>
  <c r="EJ39" i="4" s="1"/>
  <c r="T40" i="4"/>
  <c r="BH40" i="4"/>
  <c r="U8" i="7"/>
  <c r="BU40" i="4"/>
  <c r="U9" i="7"/>
  <c r="BU41" i="4" s="1"/>
  <c r="U10" i="7"/>
  <c r="BU42" i="4"/>
  <c r="U11" i="7"/>
  <c r="BU43" i="4" s="1"/>
  <c r="BW42" i="4" s="1"/>
  <c r="DN95" i="4" s="1"/>
  <c r="DO95" i="4" s="1"/>
  <c r="CH40" i="4"/>
  <c r="EE40" i="4"/>
  <c r="EG40" i="4"/>
  <c r="EH40" i="4" s="1"/>
  <c r="EI40" i="4" s="1"/>
  <c r="EJ40" i="4" s="1"/>
  <c r="T41" i="4"/>
  <c r="CH41" i="4"/>
  <c r="EE41" i="4"/>
  <c r="EG41" i="4"/>
  <c r="EH41" i="4"/>
  <c r="EI41" i="4" s="1"/>
  <c r="T42" i="4"/>
  <c r="CH42" i="4"/>
  <c r="EG42" i="4"/>
  <c r="EH42" i="4" s="1"/>
  <c r="EI42" i="4" s="1"/>
  <c r="T43" i="4"/>
  <c r="CH43" i="4"/>
  <c r="EE43" i="4"/>
  <c r="EG43" i="4"/>
  <c r="EH43" i="4"/>
  <c r="EI43" i="4" s="1"/>
  <c r="EJ43" i="4" s="1"/>
  <c r="T44" i="4"/>
  <c r="CH44" i="4"/>
  <c r="U12" i="7"/>
  <c r="BU47" i="4" s="1"/>
  <c r="U13" i="7"/>
  <c r="BU48" i="4" s="1"/>
  <c r="U14" i="7"/>
  <c r="BU49" i="4" s="1"/>
  <c r="U15" i="7"/>
  <c r="BU50" i="4" s="1"/>
  <c r="EE44" i="4"/>
  <c r="EG44" i="4"/>
  <c r="EH44" i="4" s="1"/>
  <c r="EI44" i="4" s="1"/>
  <c r="EJ44" i="4" s="1"/>
  <c r="T45" i="4"/>
  <c r="CH45" i="4"/>
  <c r="EE45" i="4"/>
  <c r="EG45" i="4"/>
  <c r="EH45" i="4" s="1"/>
  <c r="EI45" i="4" s="1"/>
  <c r="EJ45" i="4" s="1"/>
  <c r="T46" i="4"/>
  <c r="CH46" i="4"/>
  <c r="EE46" i="4"/>
  <c r="EG46" i="4"/>
  <c r="EH46" i="4" s="1"/>
  <c r="EI46" i="4" s="1"/>
  <c r="EJ46" i="4" s="1"/>
  <c r="T47" i="4"/>
  <c r="BH47" i="4"/>
  <c r="CH47" i="4"/>
  <c r="EE47" i="4"/>
  <c r="EG47" i="4"/>
  <c r="EH47" i="4" s="1"/>
  <c r="EI47" i="4" s="1"/>
  <c r="T48" i="4"/>
  <c r="CH48" i="4"/>
  <c r="U16" i="7"/>
  <c r="BU59" i="4" s="1"/>
  <c r="U17" i="7"/>
  <c r="BU60" i="4"/>
  <c r="U18" i="7"/>
  <c r="BU61" i="4" s="1"/>
  <c r="BW59" i="4" s="1"/>
  <c r="DN101" i="4" s="1"/>
  <c r="DO101" i="4" s="1"/>
  <c r="U19" i="7"/>
  <c r="BU62" i="4"/>
  <c r="EE48" i="4"/>
  <c r="EG48" i="4"/>
  <c r="EH48" i="4"/>
  <c r="EI48" i="4" s="1"/>
  <c r="T49" i="4"/>
  <c r="CH49" i="4"/>
  <c r="EE49" i="4"/>
  <c r="EG49" i="4"/>
  <c r="EH49" i="4" s="1"/>
  <c r="EI49" i="4" s="1"/>
  <c r="EJ49" i="4" s="1"/>
  <c r="T50" i="4"/>
  <c r="CH50" i="4"/>
  <c r="EE50" i="4"/>
  <c r="EG50" i="4"/>
  <c r="EH50" i="4" s="1"/>
  <c r="EI50" i="4" s="1"/>
  <c r="EJ50" i="4" s="1"/>
  <c r="U20" i="7"/>
  <c r="BU66" i="4" s="1"/>
  <c r="U21" i="7"/>
  <c r="BU67" i="4" s="1"/>
  <c r="U22" i="7"/>
  <c r="BU68" i="4" s="1"/>
  <c r="U23" i="7"/>
  <c r="BU69" i="4" s="1"/>
  <c r="X54" i="4"/>
  <c r="AA54" i="4"/>
  <c r="AB54" i="4"/>
  <c r="U56" i="4"/>
  <c r="AI56" i="4"/>
  <c r="U24" i="7"/>
  <c r="BU78" i="4" s="1"/>
  <c r="U25" i="7"/>
  <c r="BU79" i="4"/>
  <c r="U26" i="7"/>
  <c r="BU80" i="4" s="1"/>
  <c r="U27" i="7"/>
  <c r="BU81" i="4"/>
  <c r="T58" i="4"/>
  <c r="CH58" i="4"/>
  <c r="EE58" i="4"/>
  <c r="EG58" i="4"/>
  <c r="EH58" i="4"/>
  <c r="EI58" i="4" s="1"/>
  <c r="EJ58" i="4" s="1"/>
  <c r="FI58" i="4"/>
  <c r="T59" i="4"/>
  <c r="BH59" i="4"/>
  <c r="CH59" i="4"/>
  <c r="EG59" i="4"/>
  <c r="EH59" i="4" s="1"/>
  <c r="EI59" i="4" s="1"/>
  <c r="T60" i="4"/>
  <c r="CH60" i="4"/>
  <c r="U28" i="7"/>
  <c r="BU85" i="4" s="1"/>
  <c r="U29" i="7"/>
  <c r="BU86" i="4" s="1"/>
  <c r="U30" i="7"/>
  <c r="BU87" i="4" s="1"/>
  <c r="U31" i="7"/>
  <c r="BU88" i="4" s="1"/>
  <c r="EE60" i="4"/>
  <c r="EG60" i="4"/>
  <c r="EH60" i="4" s="1"/>
  <c r="EI60" i="4" s="1"/>
  <c r="T61" i="4"/>
  <c r="CH61" i="4"/>
  <c r="EE61" i="4"/>
  <c r="EG61" i="4"/>
  <c r="EH61" i="4" s="1"/>
  <c r="EI61" i="4" s="1"/>
  <c r="EJ61" i="4" s="1"/>
  <c r="T62" i="4"/>
  <c r="CH62" i="4"/>
  <c r="EE62" i="4"/>
  <c r="EG62" i="4"/>
  <c r="EH62" i="4" s="1"/>
  <c r="EI62" i="4" s="1"/>
  <c r="EJ62" i="4" s="1"/>
  <c r="T63" i="4"/>
  <c r="CH63" i="4"/>
  <c r="EE63" i="4"/>
  <c r="EG63" i="4"/>
  <c r="EH63" i="4"/>
  <c r="EI63" i="4" s="1"/>
  <c r="EJ63" i="4" s="1"/>
  <c r="T64" i="4"/>
  <c r="CH64" i="4"/>
  <c r="EE64" i="4"/>
  <c r="EG64" i="4"/>
  <c r="EH64" i="4" s="1"/>
  <c r="EI64" i="4" s="1"/>
  <c r="EJ64" i="4" s="1"/>
  <c r="T65" i="4"/>
  <c r="CH65" i="4"/>
  <c r="EE65" i="4"/>
  <c r="EG65" i="4"/>
  <c r="EH65" i="4" s="1"/>
  <c r="EI65" i="4" s="1"/>
  <c r="EJ65" i="4" s="1"/>
  <c r="T66" i="4"/>
  <c r="BH66" i="4"/>
  <c r="CH66" i="4"/>
  <c r="EE66" i="4"/>
  <c r="EG66" i="4"/>
  <c r="EH66" i="4"/>
  <c r="EI66" i="4" s="1"/>
  <c r="T67" i="4"/>
  <c r="CH67" i="4"/>
  <c r="EE67" i="4"/>
  <c r="EG67" i="4"/>
  <c r="EH67" i="4" s="1"/>
  <c r="EI67" i="4" s="1"/>
  <c r="EJ67" i="4" s="1"/>
  <c r="T68" i="4"/>
  <c r="CH68" i="4"/>
  <c r="EE68" i="4"/>
  <c r="EG68" i="4"/>
  <c r="EH68" i="4" s="1"/>
  <c r="EI68" i="4" s="1"/>
  <c r="EJ68" i="4" s="1"/>
  <c r="T69" i="4"/>
  <c r="CH69" i="4"/>
  <c r="EE69" i="4"/>
  <c r="EG69" i="4"/>
  <c r="EH69" i="4" s="1"/>
  <c r="EI69" i="4" s="1"/>
  <c r="EJ69" i="4" s="1"/>
  <c r="X73" i="4"/>
  <c r="AA73" i="4"/>
  <c r="AB73" i="4"/>
  <c r="U75" i="4"/>
  <c r="AI75" i="4"/>
  <c r="T77" i="4"/>
  <c r="CH77" i="4"/>
  <c r="EE77" i="4"/>
  <c r="EG77" i="4"/>
  <c r="EH77" i="4" s="1"/>
  <c r="EI77" i="4" s="1"/>
  <c r="EJ77" i="4" s="1"/>
  <c r="T78" i="4"/>
  <c r="BH78" i="4"/>
  <c r="CH78" i="4"/>
  <c r="EE78" i="4"/>
  <c r="EG78" i="4"/>
  <c r="EH78" i="4" s="1"/>
  <c r="EI78" i="4" s="1"/>
  <c r="T79" i="4"/>
  <c r="CH79" i="4"/>
  <c r="EE79" i="4"/>
  <c r="EG79" i="4"/>
  <c r="EH79" i="4" s="1"/>
  <c r="EI79" i="4" s="1"/>
  <c r="EJ79" i="4" s="1"/>
  <c r="T80" i="4"/>
  <c r="CH80" i="4"/>
  <c r="DO80" i="4"/>
  <c r="EE80" i="4"/>
  <c r="EG80" i="4"/>
  <c r="EH80" i="4"/>
  <c r="EI80" i="4" s="1"/>
  <c r="EJ80" i="4" s="1"/>
  <c r="T81" i="4"/>
  <c r="CH81" i="4"/>
  <c r="EE81" i="4"/>
  <c r="EG81" i="4"/>
  <c r="EH81" i="4" s="1"/>
  <c r="EI81" i="4" s="1"/>
  <c r="EJ81" i="4" s="1"/>
  <c r="T82" i="4"/>
  <c r="CH82" i="4"/>
  <c r="EE82" i="4"/>
  <c r="EG82" i="4"/>
  <c r="EH82" i="4" s="1"/>
  <c r="EI82" i="4" s="1"/>
  <c r="EJ82" i="4" s="1"/>
  <c r="T83" i="4"/>
  <c r="CH83" i="4"/>
  <c r="EE83" i="4"/>
  <c r="EG83" i="4"/>
  <c r="EH83" i="4" s="1"/>
  <c r="EI83" i="4" s="1"/>
  <c r="EJ83" i="4" s="1"/>
  <c r="T84" i="4"/>
  <c r="CH84" i="4"/>
  <c r="EE84" i="4"/>
  <c r="EG84" i="4"/>
  <c r="EH84" i="4" s="1"/>
  <c r="EI84" i="4" s="1"/>
  <c r="EJ84" i="4" s="1"/>
  <c r="T85" i="4"/>
  <c r="BH85" i="4"/>
  <c r="CH85" i="4"/>
  <c r="EE85" i="4"/>
  <c r="EG85" i="4"/>
  <c r="EH85" i="4" s="1"/>
  <c r="EI85" i="4" s="1"/>
  <c r="EJ85" i="4" s="1"/>
  <c r="E86" i="4"/>
  <c r="T86" i="4"/>
  <c r="CH86" i="4"/>
  <c r="EE86" i="4"/>
  <c r="EG86" i="4"/>
  <c r="EH86" i="4" s="1"/>
  <c r="EI86" i="4" s="1"/>
  <c r="I87" i="4"/>
  <c r="J87" i="4"/>
  <c r="T87" i="4"/>
  <c r="CH87" i="4"/>
  <c r="EE87" i="4"/>
  <c r="EG87" i="4"/>
  <c r="EH87" i="4"/>
  <c r="EI87" i="4" s="1"/>
  <c r="EJ87" i="4" s="1"/>
  <c r="G88" i="4"/>
  <c r="T88" i="4"/>
  <c r="CH88" i="4"/>
  <c r="EE88" i="4"/>
  <c r="EG88" i="4"/>
  <c r="EH88" i="4" s="1"/>
  <c r="EI88" i="4" s="1"/>
  <c r="I89" i="4"/>
  <c r="J89" i="4"/>
  <c r="I90" i="4"/>
  <c r="J90" i="4"/>
  <c r="W90" i="4"/>
  <c r="T92" i="4"/>
  <c r="W94" i="4"/>
  <c r="D95" i="4"/>
  <c r="X95" i="4"/>
  <c r="AA95" i="4"/>
  <c r="AB95" i="4"/>
  <c r="U96" i="4"/>
  <c r="AA97" i="4"/>
  <c r="AI97" i="4"/>
  <c r="T99" i="4"/>
  <c r="K95" i="7"/>
  <c r="AA99" i="4" s="1"/>
  <c r="L95" i="7"/>
  <c r="AD99" i="4" s="1"/>
  <c r="BV99" i="4"/>
  <c r="BW99" i="4"/>
  <c r="BX175" i="4" s="1"/>
  <c r="CH99" i="4"/>
  <c r="FI99" i="4"/>
  <c r="T100" i="4"/>
  <c r="BW175" i="4"/>
  <c r="BW120" i="4"/>
  <c r="BX182" i="4"/>
  <c r="CA182" i="4" s="1"/>
  <c r="BY121" i="4" s="1"/>
  <c r="BV120" i="4"/>
  <c r="BW182" i="4"/>
  <c r="BW117" i="4"/>
  <c r="BX181" i="4"/>
  <c r="BV117" i="4"/>
  <c r="BW181" i="4"/>
  <c r="BW114" i="4"/>
  <c r="BX180" i="4"/>
  <c r="BV114" i="4"/>
  <c r="BW180" i="4"/>
  <c r="BZ180" i="4" s="1"/>
  <c r="BX115" i="4" s="1"/>
  <c r="BW111" i="4"/>
  <c r="BX179" i="4"/>
  <c r="BV111" i="4"/>
  <c r="BW179" i="4"/>
  <c r="BW108" i="4"/>
  <c r="BX178" i="4"/>
  <c r="BV108" i="4"/>
  <c r="BW178" i="4"/>
  <c r="BZ178" i="4" s="1"/>
  <c r="BX109" i="4" s="1"/>
  <c r="BW105" i="4"/>
  <c r="BX177" i="4"/>
  <c r="BV105" i="4"/>
  <c r="BW177" i="4"/>
  <c r="BW102" i="4"/>
  <c r="BX176" i="4"/>
  <c r="BZ181" i="4" s="1"/>
  <c r="BX118" i="4" s="1"/>
  <c r="BV102" i="4"/>
  <c r="BW176" i="4"/>
  <c r="T102" i="4"/>
  <c r="K96" i="7"/>
  <c r="AA102" i="4"/>
  <c r="L96" i="7"/>
  <c r="AD102" i="4"/>
  <c r="CH102" i="4"/>
  <c r="FC102" i="4"/>
  <c r="FC105" i="4" s="1"/>
  <c r="FC108" i="4" s="1"/>
  <c r="FC111" i="4" s="1"/>
  <c r="FC114" i="4" s="1"/>
  <c r="T103" i="4"/>
  <c r="T105" i="4"/>
  <c r="K97" i="7"/>
  <c r="AA105" i="4"/>
  <c r="L97" i="7"/>
  <c r="AD105" i="4"/>
  <c r="CH105" i="4"/>
  <c r="T106" i="4"/>
  <c r="CA177" i="4"/>
  <c r="BY106" i="4" s="1"/>
  <c r="T108" i="4"/>
  <c r="K98" i="7"/>
  <c r="AA108" i="4"/>
  <c r="L98" i="7"/>
  <c r="AD108" i="4" s="1"/>
  <c r="CH108" i="4"/>
  <c r="T109" i="4"/>
  <c r="T111" i="4"/>
  <c r="K99" i="7"/>
  <c r="AA111" i="4" s="1"/>
  <c r="L99" i="7"/>
  <c r="AD111" i="4"/>
  <c r="CH111" i="4"/>
  <c r="T112" i="4"/>
  <c r="CA179" i="4"/>
  <c r="BY112" i="4" s="1"/>
  <c r="T114" i="4"/>
  <c r="K100" i="7"/>
  <c r="AA114" i="4"/>
  <c r="L100" i="7"/>
  <c r="AD114" i="4" s="1"/>
  <c r="CH114" i="4"/>
  <c r="T115" i="4"/>
  <c r="T117" i="4"/>
  <c r="K101" i="7"/>
  <c r="AA117" i="4"/>
  <c r="L101" i="7"/>
  <c r="AD117" i="4"/>
  <c r="CH117" i="4"/>
  <c r="FC117" i="4"/>
  <c r="FC120" i="4" s="1"/>
  <c r="T118" i="4"/>
  <c r="T120" i="4"/>
  <c r="K102" i="7"/>
  <c r="AA120" i="4"/>
  <c r="L102" i="7"/>
  <c r="AD120" i="4"/>
  <c r="CH120" i="4"/>
  <c r="T121" i="4"/>
  <c r="DR122" i="4"/>
  <c r="DS122" i="4"/>
  <c r="DR123" i="4"/>
  <c r="DS123" i="4"/>
  <c r="DR124" i="4"/>
  <c r="DS124" i="4"/>
  <c r="DR125" i="4"/>
  <c r="DS125" i="4"/>
  <c r="DR126" i="4"/>
  <c r="DS126" i="4"/>
  <c r="DR127" i="4"/>
  <c r="DS127" i="4"/>
  <c r="W125" i="4"/>
  <c r="X126" i="4"/>
  <c r="AA126" i="4"/>
  <c r="AB126" i="4"/>
  <c r="U127" i="4"/>
  <c r="AA128" i="4"/>
  <c r="AI128" i="4"/>
  <c r="T130" i="4"/>
  <c r="AA130" i="4"/>
  <c r="AD130" i="4"/>
  <c r="BV130" i="4"/>
  <c r="BW130" i="4"/>
  <c r="BX183" i="4" s="1"/>
  <c r="CH130" i="4"/>
  <c r="T131" i="4"/>
  <c r="BW183" i="4"/>
  <c r="BW139" i="4"/>
  <c r="BX186" i="4"/>
  <c r="BV139" i="4"/>
  <c r="BW186" i="4"/>
  <c r="BW136" i="4"/>
  <c r="BX185" i="4"/>
  <c r="BV136" i="4"/>
  <c r="BW185" i="4"/>
  <c r="BW133" i="4"/>
  <c r="BX184" i="4"/>
  <c r="CA184" i="4" s="1"/>
  <c r="BY134" i="4" s="1"/>
  <c r="BV133" i="4"/>
  <c r="BW184" i="4"/>
  <c r="T133" i="4"/>
  <c r="AA133" i="4"/>
  <c r="AD133" i="4"/>
  <c r="CH133" i="4"/>
  <c r="FC133" i="4"/>
  <c r="FC136" i="4" s="1"/>
  <c r="FC139" i="4" s="1"/>
  <c r="T134" i="4"/>
  <c r="T136" i="4"/>
  <c r="AA136" i="4"/>
  <c r="AD136" i="4"/>
  <c r="CH136" i="4"/>
  <c r="T137" i="4"/>
  <c r="T139" i="4"/>
  <c r="AA139" i="4"/>
  <c r="AD139" i="4"/>
  <c r="CH139" i="4"/>
  <c r="T140" i="4"/>
  <c r="W144" i="4"/>
  <c r="X145" i="4"/>
  <c r="AA145" i="4"/>
  <c r="AB145" i="4"/>
  <c r="U146" i="4"/>
  <c r="AA147" i="4"/>
  <c r="AI147" i="4"/>
  <c r="T149" i="4"/>
  <c r="AA149" i="4"/>
  <c r="AD149" i="4"/>
  <c r="BV149" i="4"/>
  <c r="BW149" i="4"/>
  <c r="BX187" i="4" s="1"/>
  <c r="CH149" i="4"/>
  <c r="T150" i="4"/>
  <c r="BW187" i="4"/>
  <c r="BW152" i="4"/>
  <c r="BX188" i="4"/>
  <c r="BV152" i="4"/>
  <c r="BW188" i="4"/>
  <c r="BZ188" i="4" s="1"/>
  <c r="BX153" i="4" s="1"/>
  <c r="T152" i="4"/>
  <c r="AA152" i="4"/>
  <c r="AD152" i="4"/>
  <c r="CH152" i="4"/>
  <c r="FC152" i="4"/>
  <c r="T153" i="4"/>
  <c r="T155" i="4"/>
  <c r="BU155" i="4"/>
  <c r="BV155" i="4"/>
  <c r="BW190" i="4" s="1"/>
  <c r="BW155" i="4"/>
  <c r="CH155" i="4"/>
  <c r="FC155" i="4"/>
  <c r="T156" i="4"/>
  <c r="BX189" i="4"/>
  <c r="BW189" i="4"/>
  <c r="AU164" i="4"/>
  <c r="AU165" i="4"/>
  <c r="DK169" i="4"/>
  <c r="DP173" i="4"/>
  <c r="DP175" i="4"/>
  <c r="DQ175" i="4"/>
  <c r="T176" i="4"/>
  <c r="EJ176" i="4"/>
  <c r="EK181" i="4"/>
  <c r="EO181" i="4" s="1"/>
  <c r="EK182" i="4"/>
  <c r="EO182" i="4" s="1"/>
  <c r="EK183" i="4"/>
  <c r="EK187" i="4"/>
  <c r="EK188" i="4"/>
  <c r="EK193" i="4"/>
  <c r="EK194" i="4"/>
  <c r="EK198" i="4"/>
  <c r="EK199" i="4"/>
  <c r="EK215" i="4"/>
  <c r="EK217" i="4"/>
  <c r="EO190" i="4" s="1"/>
  <c r="EK218" i="4"/>
  <c r="EK220" i="4"/>
  <c r="EK239" i="4"/>
  <c r="EK240" i="4"/>
  <c r="EK241" i="4"/>
  <c r="EK242" i="4"/>
  <c r="EK244" i="4"/>
  <c r="EK246" i="4"/>
  <c r="EK247" i="4"/>
  <c r="EO220" i="4" s="1"/>
  <c r="EK249" i="4"/>
  <c r="EK250" i="4"/>
  <c r="EK251" i="4"/>
  <c r="EO224" i="4" s="1"/>
  <c r="EK252" i="4"/>
  <c r="EK253" i="4"/>
  <c r="EK254" i="4"/>
  <c r="EK255" i="4"/>
  <c r="EO228" i="4" s="1"/>
  <c r="EK257" i="4"/>
  <c r="EK259" i="4"/>
  <c r="EO232" i="4" s="1"/>
  <c r="EK260" i="4"/>
  <c r="EK261" i="4"/>
  <c r="EK262" i="4"/>
  <c r="EK263" i="4"/>
  <c r="EO236" i="4" s="1"/>
  <c r="EK264" i="4"/>
  <c r="EK265" i="4"/>
  <c r="EK267" i="4"/>
  <c r="EK268" i="4"/>
  <c r="EK269" i="4"/>
  <c r="EK271" i="4"/>
  <c r="EK272" i="4"/>
  <c r="EK273" i="4"/>
  <c r="EK274" i="4"/>
  <c r="EK275" i="4"/>
  <c r="EK276" i="4"/>
  <c r="EK277" i="4"/>
  <c r="EK278" i="4"/>
  <c r="EK178" i="4"/>
  <c r="EM181" i="4"/>
  <c r="EM182" i="4"/>
  <c r="EM183" i="4"/>
  <c r="EM187" i="4"/>
  <c r="EM188" i="4"/>
  <c r="EM193" i="4"/>
  <c r="EM194" i="4"/>
  <c r="EM198" i="4"/>
  <c r="EM199" i="4"/>
  <c r="EM215" i="4"/>
  <c r="EM217" i="4"/>
  <c r="EM218" i="4"/>
  <c r="EM220" i="4"/>
  <c r="EM239" i="4"/>
  <c r="EM240" i="4"/>
  <c r="EM241" i="4"/>
  <c r="EM242" i="4"/>
  <c r="EM244" i="4"/>
  <c r="EM246" i="4"/>
  <c r="EM247" i="4"/>
  <c r="EM249" i="4"/>
  <c r="EM250" i="4"/>
  <c r="EM251" i="4"/>
  <c r="EM252" i="4"/>
  <c r="EM253" i="4"/>
  <c r="EM254" i="4"/>
  <c r="EM255" i="4"/>
  <c r="EM257" i="4"/>
  <c r="EM259" i="4"/>
  <c r="EM260" i="4"/>
  <c r="EM261" i="4"/>
  <c r="EM262" i="4"/>
  <c r="EM263" i="4"/>
  <c r="EM264" i="4"/>
  <c r="EM265" i="4"/>
  <c r="EM267" i="4"/>
  <c r="EM268" i="4"/>
  <c r="EM269" i="4"/>
  <c r="EM271" i="4"/>
  <c r="EM272" i="4"/>
  <c r="EM273" i="4"/>
  <c r="EM274" i="4"/>
  <c r="EM275" i="4"/>
  <c r="EM276" i="4"/>
  <c r="EM277" i="4"/>
  <c r="EM278" i="4"/>
  <c r="EM178" i="4"/>
  <c r="Y177" i="4"/>
  <c r="Y178" i="4"/>
  <c r="AE178" i="4"/>
  <c r="AF178" i="4"/>
  <c r="AO178" i="4"/>
  <c r="BB178" i="4"/>
  <c r="EH178" i="4"/>
  <c r="EO178" i="4"/>
  <c r="EP178" i="4"/>
  <c r="EV178" i="4"/>
  <c r="AE179" i="4"/>
  <c r="AO179" i="4"/>
  <c r="BB179" i="4"/>
  <c r="EP179" i="4"/>
  <c r="AE180" i="4"/>
  <c r="AO180" i="4"/>
  <c r="BB180" i="4"/>
  <c r="EP180" i="4"/>
  <c r="AE181" i="4"/>
  <c r="AO181" i="4"/>
  <c r="BB181" i="4"/>
  <c r="EH181" i="4"/>
  <c r="EP181" i="4"/>
  <c r="EV181" i="4"/>
  <c r="AE182" i="4"/>
  <c r="AO182" i="4"/>
  <c r="BB182" i="4"/>
  <c r="EH182" i="4"/>
  <c r="EP182" i="4"/>
  <c r="EV182" i="4"/>
  <c r="AE183" i="4"/>
  <c r="AO183" i="4"/>
  <c r="AW183" i="4"/>
  <c r="EH183" i="4"/>
  <c r="EP183" i="4"/>
  <c r="EV183" i="4"/>
  <c r="AE184" i="4"/>
  <c r="EH184" i="4"/>
  <c r="EP184" i="4"/>
  <c r="AE185" i="4"/>
  <c r="AO185" i="4"/>
  <c r="AW185" i="4"/>
  <c r="EH185" i="4"/>
  <c r="EP185" i="4"/>
  <c r="AE186" i="4"/>
  <c r="EH186" i="4"/>
  <c r="EP186" i="4"/>
  <c r="AE187" i="4"/>
  <c r="AO187" i="4"/>
  <c r="AW187" i="4"/>
  <c r="EH187" i="4"/>
  <c r="EP187" i="4"/>
  <c r="EV187" i="4"/>
  <c r="AE188" i="4"/>
  <c r="EH188" i="4"/>
  <c r="EO188" i="4"/>
  <c r="EP188" i="4"/>
  <c r="EV188" i="4"/>
  <c r="AE189" i="4"/>
  <c r="EH189" i="4"/>
  <c r="EP189" i="4"/>
  <c r="AE190" i="4"/>
  <c r="EH190" i="4"/>
  <c r="EP190" i="4"/>
  <c r="AE191" i="4"/>
  <c r="AO191" i="4"/>
  <c r="AW191" i="4"/>
  <c r="EH191" i="4"/>
  <c r="EO191" i="4"/>
  <c r="EP191" i="4"/>
  <c r="AE192" i="4"/>
  <c r="EH192" i="4"/>
  <c r="EP192" i="4"/>
  <c r="AE193" i="4"/>
  <c r="EH193" i="4"/>
  <c r="EO193" i="4"/>
  <c r="EP193" i="4"/>
  <c r="EV193" i="4"/>
  <c r="AE194" i="4"/>
  <c r="EH194" i="4"/>
  <c r="EP194" i="4"/>
  <c r="EV194" i="4"/>
  <c r="AE195" i="4"/>
  <c r="EH195" i="4"/>
  <c r="EP195" i="4"/>
  <c r="AE196" i="4"/>
  <c r="EH196" i="4"/>
  <c r="EP196" i="4"/>
  <c r="EV196" i="4"/>
  <c r="AE197" i="4"/>
  <c r="EH197" i="4"/>
  <c r="EP197" i="4"/>
  <c r="EV197" i="4"/>
  <c r="AE198" i="4"/>
  <c r="EH198" i="4"/>
  <c r="EP198" i="4"/>
  <c r="EV198" i="4"/>
  <c r="AE199" i="4"/>
  <c r="AO199" i="4"/>
  <c r="BB199" i="4"/>
  <c r="EH199" i="4"/>
  <c r="EP199" i="4"/>
  <c r="EV199" i="4"/>
  <c r="AE200" i="4"/>
  <c r="AO200" i="4"/>
  <c r="BB200" i="4"/>
  <c r="EH200" i="4"/>
  <c r="EP200" i="4"/>
  <c r="AE201" i="4"/>
  <c r="AO201" i="4"/>
  <c r="BB201" i="4"/>
  <c r="EH201" i="4"/>
  <c r="EP201" i="4"/>
  <c r="AE202" i="4"/>
  <c r="AO202" i="4"/>
  <c r="BB202" i="4"/>
  <c r="EH202" i="4"/>
  <c r="EP202" i="4"/>
  <c r="AE203" i="4"/>
  <c r="AO203" i="4"/>
  <c r="BB203" i="4"/>
  <c r="EH203" i="4"/>
  <c r="EP203" i="4"/>
  <c r="AE204" i="4"/>
  <c r="AO204" i="4"/>
  <c r="BB204" i="4"/>
  <c r="EH204" i="4"/>
  <c r="EP204" i="4"/>
  <c r="AE205" i="4"/>
  <c r="AO205" i="4"/>
  <c r="BB205" i="4"/>
  <c r="EH205" i="4"/>
  <c r="EP205" i="4"/>
  <c r="AE206" i="4"/>
  <c r="AO206" i="4"/>
  <c r="BB206" i="4"/>
  <c r="EH206" i="4"/>
  <c r="EP206" i="4"/>
  <c r="AE207" i="4"/>
  <c r="AO207" i="4"/>
  <c r="BB207" i="4"/>
  <c r="EH207" i="4"/>
  <c r="EP207" i="4"/>
  <c r="AE208" i="4"/>
  <c r="AO208" i="4"/>
  <c r="BB208" i="4"/>
  <c r="EH208" i="4"/>
  <c r="EP208" i="4"/>
  <c r="AE209" i="4"/>
  <c r="AO209" i="4"/>
  <c r="BB209" i="4"/>
  <c r="EH209" i="4"/>
  <c r="EP209" i="4"/>
  <c r="AE210" i="4"/>
  <c r="AO210" i="4"/>
  <c r="BB210" i="4"/>
  <c r="EH210" i="4"/>
  <c r="EP210" i="4"/>
  <c r="AE211" i="4"/>
  <c r="AO211" i="4"/>
  <c r="BB211" i="4"/>
  <c r="EH211" i="4"/>
  <c r="EP211" i="4"/>
  <c r="AE212" i="4"/>
  <c r="AO212" i="4"/>
  <c r="BB212" i="4"/>
  <c r="EH212" i="4"/>
  <c r="EO212" i="4"/>
  <c r="EP212" i="4"/>
  <c r="AE213" i="4"/>
  <c r="AO213" i="4"/>
  <c r="BB213" i="4"/>
  <c r="EH213" i="4"/>
  <c r="EO213" i="4"/>
  <c r="EP213" i="4"/>
  <c r="AE214" i="4"/>
  <c r="AO214" i="4"/>
  <c r="BB214" i="4"/>
  <c r="EH214" i="4"/>
  <c r="EO214" i="4"/>
  <c r="EP214" i="4"/>
  <c r="AE215" i="4"/>
  <c r="AO215" i="4"/>
  <c r="BB215" i="4"/>
  <c r="EH215" i="4"/>
  <c r="EO215" i="4"/>
  <c r="EP215" i="4"/>
  <c r="EV215" i="4"/>
  <c r="AE216" i="4"/>
  <c r="AO216" i="4"/>
  <c r="BB216" i="4"/>
  <c r="EH216" i="4"/>
  <c r="EP216" i="4"/>
  <c r="AE217" i="4"/>
  <c r="AO217" i="4"/>
  <c r="BB217" i="4"/>
  <c r="EH217" i="4"/>
  <c r="EO217" i="4"/>
  <c r="EP217" i="4"/>
  <c r="EV217" i="4"/>
  <c r="AE218" i="4"/>
  <c r="AO218" i="4"/>
  <c r="BB218" i="4"/>
  <c r="EH218" i="4"/>
  <c r="EP218" i="4"/>
  <c r="EV218" i="4"/>
  <c r="AE219" i="4"/>
  <c r="AO219" i="4"/>
  <c r="BB219" i="4"/>
  <c r="EH219" i="4"/>
  <c r="EO219" i="4"/>
  <c r="EP219" i="4"/>
  <c r="EV219" i="4"/>
  <c r="AE220" i="4"/>
  <c r="AO220" i="4"/>
  <c r="BB220" i="4"/>
  <c r="EH220" i="4"/>
  <c r="EP220" i="4"/>
  <c r="EV220" i="4"/>
  <c r="AE221" i="4"/>
  <c r="AO221" i="4"/>
  <c r="BB221" i="4"/>
  <c r="EH221" i="4"/>
  <c r="EP221" i="4"/>
  <c r="AE222" i="4"/>
  <c r="AO222" i="4"/>
  <c r="BB222" i="4"/>
  <c r="EH222" i="4"/>
  <c r="EO222" i="4"/>
  <c r="EP222" i="4"/>
  <c r="AE223" i="4"/>
  <c r="AO223" i="4"/>
  <c r="BB223" i="4"/>
  <c r="EH223" i="4"/>
  <c r="EO223" i="4"/>
  <c r="EP223" i="4"/>
  <c r="AE224" i="4"/>
  <c r="AO224" i="4"/>
  <c r="BB224" i="4"/>
  <c r="EH224" i="4"/>
  <c r="EP224" i="4"/>
  <c r="AE225" i="4"/>
  <c r="AO225" i="4"/>
  <c r="BB225" i="4"/>
  <c r="EH225" i="4"/>
  <c r="EO225" i="4"/>
  <c r="EP225" i="4"/>
  <c r="AE226" i="4"/>
  <c r="AO226" i="4"/>
  <c r="BB226" i="4"/>
  <c r="EH226" i="4"/>
  <c r="EO226" i="4"/>
  <c r="EP226" i="4"/>
  <c r="AE227" i="4"/>
  <c r="AO227" i="4"/>
  <c r="BB227" i="4"/>
  <c r="EH227" i="4"/>
  <c r="EO227" i="4"/>
  <c r="EP227" i="4"/>
  <c r="AE228" i="4"/>
  <c r="AO228" i="4"/>
  <c r="BB228" i="4"/>
  <c r="EH228" i="4"/>
  <c r="EP228" i="4"/>
  <c r="AE229" i="4"/>
  <c r="AO229" i="4"/>
  <c r="BB229" i="4"/>
  <c r="EH229" i="4"/>
  <c r="EP229" i="4"/>
  <c r="AE230" i="4"/>
  <c r="AO230" i="4"/>
  <c r="BB230" i="4"/>
  <c r="EH230" i="4"/>
  <c r="EO230" i="4"/>
  <c r="EP230" i="4"/>
  <c r="AE231" i="4"/>
  <c r="AO231" i="4"/>
  <c r="BB231" i="4"/>
  <c r="EH231" i="4"/>
  <c r="EP231" i="4"/>
  <c r="AE232" i="4"/>
  <c r="AO232" i="4"/>
  <c r="BB232" i="4"/>
  <c r="EH232" i="4"/>
  <c r="EP232" i="4"/>
  <c r="AE233" i="4"/>
  <c r="AO233" i="4"/>
  <c r="BB233" i="4"/>
  <c r="EH233" i="4"/>
  <c r="EO233" i="4"/>
  <c r="EP233" i="4"/>
  <c r="AE234" i="4"/>
  <c r="AO234" i="4"/>
  <c r="BB234" i="4"/>
  <c r="EH234" i="4"/>
  <c r="EO234" i="4"/>
  <c r="EP234" i="4"/>
  <c r="AE235" i="4"/>
  <c r="AO235" i="4"/>
  <c r="BB235" i="4"/>
  <c r="EH235" i="4"/>
  <c r="EO235" i="4"/>
  <c r="EP235" i="4"/>
  <c r="AE236" i="4"/>
  <c r="AO236" i="4"/>
  <c r="BB236" i="4"/>
  <c r="EH236" i="4"/>
  <c r="EP236" i="4"/>
  <c r="AE237" i="4"/>
  <c r="AO237" i="4"/>
  <c r="BB237" i="4"/>
  <c r="EH237" i="4"/>
  <c r="EO237" i="4"/>
  <c r="EP237" i="4"/>
  <c r="AE238" i="4"/>
  <c r="AO238" i="4"/>
  <c r="BB238" i="4"/>
  <c r="EH238" i="4"/>
  <c r="EO238" i="4"/>
  <c r="EP238" i="4"/>
  <c r="AE239" i="4"/>
  <c r="AO239" i="4"/>
  <c r="BB239" i="4"/>
  <c r="EH239" i="4"/>
  <c r="EO239" i="4"/>
  <c r="EP239" i="4"/>
  <c r="EV239" i="4"/>
  <c r="AE240" i="4"/>
  <c r="AO240" i="4"/>
  <c r="BB240" i="4"/>
  <c r="EH240" i="4"/>
  <c r="EO240" i="4"/>
  <c r="EP240" i="4"/>
  <c r="EV240" i="4"/>
  <c r="AE241" i="4"/>
  <c r="AO241" i="4"/>
  <c r="BB241" i="4"/>
  <c r="EH241" i="4"/>
  <c r="EO241" i="4"/>
  <c r="EP241" i="4"/>
  <c r="EV241" i="4"/>
  <c r="AE242" i="4"/>
  <c r="AO242" i="4"/>
  <c r="BB242" i="4"/>
  <c r="EH242" i="4"/>
  <c r="EO242" i="4"/>
  <c r="EP242" i="4"/>
  <c r="EV242" i="4"/>
  <c r="AE243" i="4"/>
  <c r="AO243" i="4"/>
  <c r="BB243" i="4"/>
  <c r="EH243" i="4"/>
  <c r="EO243" i="4"/>
  <c r="EP243" i="4"/>
  <c r="AE244" i="4"/>
  <c r="AO244" i="4"/>
  <c r="BB244" i="4"/>
  <c r="EH244" i="4"/>
  <c r="EO244" i="4"/>
  <c r="EP244" i="4"/>
  <c r="AE245" i="4"/>
  <c r="AO245" i="4"/>
  <c r="BB245" i="4"/>
  <c r="EH245" i="4"/>
  <c r="EO245" i="4"/>
  <c r="EP245" i="4"/>
  <c r="AE246" i="4"/>
  <c r="AO246" i="4"/>
  <c r="BB246" i="4"/>
  <c r="EH246" i="4"/>
  <c r="EO246" i="4"/>
  <c r="EP246" i="4"/>
  <c r="AE247" i="4"/>
  <c r="AO247" i="4"/>
  <c r="BB247" i="4"/>
  <c r="EH247" i="4"/>
  <c r="EO247" i="4"/>
  <c r="EP247" i="4"/>
  <c r="AE248" i="4"/>
  <c r="AO248" i="4"/>
  <c r="BB248" i="4"/>
  <c r="EH248" i="4"/>
  <c r="EO248" i="4"/>
  <c r="EP248" i="4"/>
  <c r="AE249" i="4"/>
  <c r="AO249" i="4"/>
  <c r="BB249" i="4"/>
  <c r="EH249" i="4"/>
  <c r="EO249" i="4"/>
  <c r="EP249" i="4"/>
  <c r="AE250" i="4"/>
  <c r="AO250" i="4"/>
  <c r="BB250" i="4"/>
  <c r="EH250" i="4"/>
  <c r="EO250" i="4"/>
  <c r="EP250" i="4"/>
  <c r="AE251" i="4"/>
  <c r="AO251" i="4"/>
  <c r="BB251" i="4"/>
  <c r="EH251" i="4"/>
  <c r="EO251" i="4"/>
  <c r="EP251" i="4"/>
  <c r="AE252" i="4"/>
  <c r="AO252" i="4"/>
  <c r="BB252" i="4"/>
  <c r="EH252" i="4"/>
  <c r="AE253" i="4"/>
  <c r="AO253" i="4"/>
  <c r="BB253" i="4"/>
  <c r="EH253" i="4"/>
  <c r="AE254" i="4"/>
  <c r="AO254" i="4"/>
  <c r="BB254" i="4"/>
  <c r="EH254" i="4"/>
  <c r="AE255" i="4"/>
  <c r="AO255" i="4"/>
  <c r="BB255" i="4"/>
  <c r="EH255" i="4"/>
  <c r="AE256" i="4"/>
  <c r="AO256" i="4"/>
  <c r="BB256" i="4"/>
  <c r="EH256" i="4"/>
  <c r="AE257" i="4"/>
  <c r="AO257" i="4"/>
  <c r="BB257" i="4"/>
  <c r="EH257" i="4"/>
  <c r="AE258" i="4"/>
  <c r="AO258" i="4"/>
  <c r="BB258" i="4"/>
  <c r="EH258" i="4"/>
  <c r="AE259" i="4"/>
  <c r="AO259" i="4"/>
  <c r="BB259" i="4"/>
  <c r="EH259" i="4"/>
  <c r="AE260" i="4"/>
  <c r="AO260" i="4"/>
  <c r="BB260" i="4"/>
  <c r="EH260" i="4"/>
  <c r="AE261" i="4"/>
  <c r="AO261" i="4"/>
  <c r="BB261" i="4"/>
  <c r="EH261" i="4"/>
  <c r="AE262" i="4"/>
  <c r="AO262" i="4"/>
  <c r="BB262" i="4"/>
  <c r="EH262" i="4"/>
  <c r="AE263" i="4"/>
  <c r="AO263" i="4"/>
  <c r="BB263" i="4"/>
  <c r="EH263" i="4"/>
  <c r="AE264" i="4"/>
  <c r="AO264" i="4"/>
  <c r="BB264" i="4"/>
  <c r="EH264" i="4"/>
  <c r="AE265" i="4"/>
  <c r="AO265" i="4"/>
  <c r="BB265" i="4"/>
  <c r="EH265" i="4"/>
  <c r="AE266" i="4"/>
  <c r="AO266" i="4"/>
  <c r="BB266" i="4"/>
  <c r="EH266" i="4"/>
  <c r="AE267" i="4"/>
  <c r="AO267" i="4"/>
  <c r="BB267" i="4"/>
  <c r="EH267" i="4"/>
  <c r="AE268" i="4"/>
  <c r="AO268" i="4"/>
  <c r="BB268" i="4"/>
  <c r="EH268" i="4"/>
  <c r="AE269" i="4"/>
  <c r="AO269" i="4"/>
  <c r="BB269" i="4"/>
  <c r="EH269" i="4"/>
  <c r="AE270" i="4"/>
  <c r="AO270" i="4"/>
  <c r="BB270" i="4"/>
  <c r="EH270" i="4"/>
  <c r="EV270" i="4"/>
  <c r="AE271" i="4"/>
  <c r="AO271" i="4"/>
  <c r="BB271" i="4"/>
  <c r="EH271" i="4"/>
  <c r="EV271" i="4"/>
  <c r="AE272" i="4"/>
  <c r="AO272" i="4"/>
  <c r="BB272" i="4"/>
  <c r="EH272" i="4"/>
  <c r="EV272" i="4"/>
  <c r="AE273" i="4"/>
  <c r="AO273" i="4"/>
  <c r="BB273" i="4"/>
  <c r="EH273" i="4"/>
  <c r="EV273" i="4"/>
  <c r="AE274" i="4"/>
  <c r="AO274" i="4"/>
  <c r="BB274" i="4"/>
  <c r="EH274" i="4"/>
  <c r="EV274" i="4"/>
  <c r="AE275" i="4"/>
  <c r="AO275" i="4"/>
  <c r="BB275" i="4"/>
  <c r="EH275" i="4"/>
  <c r="EV275" i="4"/>
  <c r="AE276" i="4"/>
  <c r="AF276" i="4"/>
  <c r="AO276" i="4"/>
  <c r="BB276" i="4"/>
  <c r="EH276" i="4"/>
  <c r="EV276" i="4"/>
  <c r="AE277" i="4"/>
  <c r="AF277" i="4"/>
  <c r="AO277" i="4"/>
  <c r="BB277" i="4"/>
  <c r="EH277" i="4"/>
  <c r="EV277" i="4"/>
  <c r="AE278" i="4"/>
  <c r="AF278" i="4"/>
  <c r="AO278" i="4"/>
  <c r="BB278" i="4"/>
  <c r="EH278" i="4"/>
  <c r="EV278" i="4"/>
  <c r="EV279" i="4"/>
  <c r="EV280" i="4"/>
  <c r="EV281" i="4"/>
  <c r="L289" i="4"/>
  <c r="C3" i="5"/>
  <c r="D3" i="5"/>
  <c r="E3" i="5"/>
  <c r="E16" i="5" s="1"/>
  <c r="E11" i="5" s="1"/>
  <c r="F3" i="5"/>
  <c r="G3" i="5"/>
  <c r="H3" i="5"/>
  <c r="I3" i="5"/>
  <c r="I16" i="5" s="1"/>
  <c r="I11" i="5" s="1"/>
  <c r="J3" i="5"/>
  <c r="K3" i="5"/>
  <c r="M3" i="5"/>
  <c r="M16" i="5" s="1"/>
  <c r="M11" i="5" s="1"/>
  <c r="N3" i="5"/>
  <c r="O3" i="5"/>
  <c r="Q3" i="5"/>
  <c r="R3" i="5"/>
  <c r="S3" i="5"/>
  <c r="T3" i="5"/>
  <c r="U3" i="5"/>
  <c r="U16" i="5" s="1"/>
  <c r="U11" i="5" s="1"/>
  <c r="V3" i="5"/>
  <c r="W3" i="5"/>
  <c r="X3" i="5"/>
  <c r="Y3" i="5"/>
  <c r="Y16" i="5" s="1"/>
  <c r="Y11" i="5" s="1"/>
  <c r="Z3" i="5"/>
  <c r="AA3" i="5"/>
  <c r="AB3" i="5"/>
  <c r="AC3" i="5"/>
  <c r="AC16" i="5" s="1"/>
  <c r="AC11" i="5" s="1"/>
  <c r="AD3" i="5"/>
  <c r="AE3" i="5"/>
  <c r="AF3" i="5"/>
  <c r="AG3" i="5"/>
  <c r="AG16" i="5" s="1"/>
  <c r="AG11" i="5" s="1"/>
  <c r="AH3" i="5"/>
  <c r="AJ3" i="5"/>
  <c r="AK3" i="5"/>
  <c r="AL3" i="5"/>
  <c r="AL16" i="5" s="1"/>
  <c r="AL11" i="5" s="1"/>
  <c r="AM3" i="5"/>
  <c r="AN3" i="5"/>
  <c r="AO3" i="5"/>
  <c r="AP3" i="5"/>
  <c r="AP16" i="5" s="1"/>
  <c r="AQ3" i="5"/>
  <c r="AR3" i="5"/>
  <c r="AS3" i="5"/>
  <c r="AT3" i="5"/>
  <c r="AT16" i="5" s="1"/>
  <c r="AU3" i="5"/>
  <c r="AV3" i="5"/>
  <c r="AW3" i="5"/>
  <c r="AX3" i="5"/>
  <c r="AY3" i="5"/>
  <c r="AZ3" i="5"/>
  <c r="BA3" i="5"/>
  <c r="C4" i="5"/>
  <c r="C16" i="5" s="1"/>
  <c r="C11" i="5" s="1"/>
  <c r="D4" i="5"/>
  <c r="E4" i="5"/>
  <c r="G4" i="5"/>
  <c r="G16" i="5" s="1"/>
  <c r="G11" i="5" s="1"/>
  <c r="H4" i="5"/>
  <c r="I4" i="5"/>
  <c r="J4" i="5"/>
  <c r="K4" i="5"/>
  <c r="K16" i="5" s="1"/>
  <c r="K11" i="5" s="1"/>
  <c r="M4" i="5"/>
  <c r="N4" i="5"/>
  <c r="O4" i="5"/>
  <c r="P4" i="5"/>
  <c r="R4" i="5"/>
  <c r="S4" i="5"/>
  <c r="S16" i="5" s="1"/>
  <c r="S11" i="5" s="1"/>
  <c r="T4" i="5"/>
  <c r="U4" i="5"/>
  <c r="V4" i="5"/>
  <c r="W4" i="5"/>
  <c r="W16" i="5" s="1"/>
  <c r="W11" i="5" s="1"/>
  <c r="X4" i="5"/>
  <c r="Y4" i="5"/>
  <c r="Z4" i="5"/>
  <c r="AA4" i="5"/>
  <c r="AA16" i="5" s="1"/>
  <c r="AA11" i="5" s="1"/>
  <c r="AB4" i="5"/>
  <c r="AC4" i="5"/>
  <c r="AD4" i="5"/>
  <c r="AE4" i="5"/>
  <c r="AE16" i="5" s="1"/>
  <c r="AE11" i="5" s="1"/>
  <c r="AF4" i="5"/>
  <c r="AG4" i="5"/>
  <c r="AH4" i="5"/>
  <c r="AJ4" i="5"/>
  <c r="AK4" i="5"/>
  <c r="AL4" i="5"/>
  <c r="AM4" i="5"/>
  <c r="AN4" i="5"/>
  <c r="AO4" i="5"/>
  <c r="AP4" i="5"/>
  <c r="AQ4" i="5"/>
  <c r="AR4" i="5"/>
  <c r="AS4" i="5"/>
  <c r="AT4" i="5"/>
  <c r="AU4" i="5"/>
  <c r="AV4" i="5"/>
  <c r="AW4" i="5"/>
  <c r="AY4" i="5"/>
  <c r="AZ4" i="5"/>
  <c r="AC5" i="5"/>
  <c r="AE5" i="5"/>
  <c r="AJ5" i="5"/>
  <c r="AK5" i="5"/>
  <c r="AW5" i="5"/>
  <c r="C7" i="5"/>
  <c r="D7" i="5"/>
  <c r="E7" i="5"/>
  <c r="F7" i="5"/>
  <c r="G7" i="5"/>
  <c r="H7" i="5"/>
  <c r="I7" i="5"/>
  <c r="J7" i="5"/>
  <c r="K7" i="5"/>
  <c r="M7" i="5"/>
  <c r="N7" i="5"/>
  <c r="O7" i="5"/>
  <c r="P7" i="5"/>
  <c r="R7" i="5"/>
  <c r="S7" i="5"/>
  <c r="T7" i="5"/>
  <c r="U7" i="5"/>
  <c r="V7" i="5"/>
  <c r="W7" i="5"/>
  <c r="X7" i="5"/>
  <c r="Y7" i="5"/>
  <c r="Z7" i="5"/>
  <c r="AA7" i="5"/>
  <c r="AB7" i="5"/>
  <c r="AC7" i="5"/>
  <c r="AD7" i="5"/>
  <c r="AE7" i="5"/>
  <c r="AF7" i="5"/>
  <c r="AG7" i="5"/>
  <c r="AH7" i="5"/>
  <c r="AJ7" i="5"/>
  <c r="AK7" i="5"/>
  <c r="AL7" i="5"/>
  <c r="AM7" i="5"/>
  <c r="AN7" i="5"/>
  <c r="AO7" i="5"/>
  <c r="AP7" i="5"/>
  <c r="AQ7" i="5"/>
  <c r="AR7" i="5"/>
  <c r="AS7" i="5"/>
  <c r="AT7" i="5"/>
  <c r="AU7" i="5"/>
  <c r="AV7" i="5"/>
  <c r="AW7" i="5"/>
  <c r="AY7" i="5"/>
  <c r="AZ7" i="5"/>
  <c r="BA7" i="5"/>
  <c r="C8" i="5"/>
  <c r="D8" i="5"/>
  <c r="E8" i="5"/>
  <c r="F8" i="5"/>
  <c r="G8" i="5"/>
  <c r="H8" i="5"/>
  <c r="I8" i="5"/>
  <c r="J8" i="5"/>
  <c r="K8" i="5"/>
  <c r="M8" i="5"/>
  <c r="N8" i="5"/>
  <c r="O8" i="5"/>
  <c r="P8" i="5"/>
  <c r="Q8" i="5"/>
  <c r="R8" i="5"/>
  <c r="S8" i="5"/>
  <c r="T8" i="5"/>
  <c r="U8" i="5"/>
  <c r="V8" i="5"/>
  <c r="W8" i="5"/>
  <c r="X8" i="5"/>
  <c r="Y8" i="5"/>
  <c r="Z8" i="5"/>
  <c r="AA8" i="5"/>
  <c r="AB8" i="5"/>
  <c r="AC8" i="5"/>
  <c r="AD8" i="5"/>
  <c r="AE8" i="5"/>
  <c r="AF8" i="5"/>
  <c r="AG8" i="5"/>
  <c r="AH8" i="5"/>
  <c r="AJ8" i="5"/>
  <c r="AK8" i="5"/>
  <c r="AL8" i="5"/>
  <c r="AM8" i="5"/>
  <c r="AN8" i="5"/>
  <c r="AO8" i="5"/>
  <c r="AP8" i="5"/>
  <c r="AQ8" i="5"/>
  <c r="AR8" i="5"/>
  <c r="AS8" i="5"/>
  <c r="AT8" i="5"/>
  <c r="AU8" i="5"/>
  <c r="AV8" i="5"/>
  <c r="AW8" i="5"/>
  <c r="AY8" i="5"/>
  <c r="AZ8" i="5"/>
  <c r="BA8" i="5"/>
  <c r="E9" i="5"/>
  <c r="I9" i="5"/>
  <c r="J9" i="5"/>
  <c r="N9" i="5"/>
  <c r="T9" i="5"/>
  <c r="V9" i="5"/>
  <c r="X9" i="5"/>
  <c r="Y9" i="5"/>
  <c r="Z9" i="5"/>
  <c r="AB9" i="5"/>
  <c r="AF9" i="5"/>
  <c r="AG9" i="5"/>
  <c r="AJ9" i="5"/>
  <c r="AM9" i="5"/>
  <c r="AQ9" i="5"/>
  <c r="AS9" i="5"/>
  <c r="AU9" i="5"/>
  <c r="C10" i="5"/>
  <c r="D10" i="5"/>
  <c r="E10" i="5"/>
  <c r="F10" i="5"/>
  <c r="G10" i="5"/>
  <c r="H10" i="5"/>
  <c r="I10" i="5"/>
  <c r="J10" i="5"/>
  <c r="K10" i="5"/>
  <c r="L10" i="5"/>
  <c r="M10" i="5"/>
  <c r="N10" i="5"/>
  <c r="O10" i="5"/>
  <c r="P10" i="5"/>
  <c r="R10" i="5"/>
  <c r="S10" i="5"/>
  <c r="T10" i="5"/>
  <c r="U10" i="5"/>
  <c r="V10" i="5"/>
  <c r="W10" i="5"/>
  <c r="X10" i="5"/>
  <c r="Y10" i="5"/>
  <c r="Z10" i="5"/>
  <c r="AA10" i="5"/>
  <c r="AB10" i="5"/>
  <c r="AC10" i="5"/>
  <c r="AD10" i="5"/>
  <c r="AE10" i="5"/>
  <c r="AF10" i="5"/>
  <c r="AG10" i="5"/>
  <c r="AH10" i="5"/>
  <c r="AJ10" i="5"/>
  <c r="AK10" i="5"/>
  <c r="AL10" i="5"/>
  <c r="D16" i="5"/>
  <c r="D11" i="5" s="1"/>
  <c r="H16" i="5"/>
  <c r="H11" i="5" s="1"/>
  <c r="J16" i="5"/>
  <c r="J11" i="5" s="1"/>
  <c r="N16" i="5"/>
  <c r="N11" i="5" s="1"/>
  <c r="O16" i="5"/>
  <c r="O11" i="5"/>
  <c r="R16" i="5"/>
  <c r="R11" i="5" s="1"/>
  <c r="T16" i="5"/>
  <c r="T11" i="5" s="1"/>
  <c r="V16" i="5"/>
  <c r="V11" i="5" s="1"/>
  <c r="X16" i="5"/>
  <c r="X11" i="5" s="1"/>
  <c r="Z16" i="5"/>
  <c r="Z11" i="5" s="1"/>
  <c r="AB16" i="5"/>
  <c r="AB11" i="5" s="1"/>
  <c r="AD16" i="5"/>
  <c r="AD11" i="5" s="1"/>
  <c r="AF16" i="5"/>
  <c r="AF11" i="5" s="1"/>
  <c r="AH16" i="5"/>
  <c r="AH11" i="5" s="1"/>
  <c r="AJ16" i="5"/>
  <c r="AJ11" i="5" s="1"/>
  <c r="AK16" i="5"/>
  <c r="AK11" i="5"/>
  <c r="AM16" i="5"/>
  <c r="AN16" i="5"/>
  <c r="AO16" i="5"/>
  <c r="AQ16" i="5"/>
  <c r="AR16" i="5"/>
  <c r="AS16" i="5"/>
  <c r="AU16" i="5"/>
  <c r="AV16" i="5"/>
  <c r="AW16" i="5"/>
  <c r="AY16" i="5"/>
  <c r="AZ16" i="5"/>
  <c r="B36" i="5"/>
  <c r="E36" i="5"/>
  <c r="F36" i="5"/>
  <c r="G36" i="5"/>
  <c r="I36" i="5"/>
  <c r="K36" i="5"/>
  <c r="L36" i="5"/>
  <c r="L76" i="5" s="1"/>
  <c r="N36" i="5"/>
  <c r="O36" i="5"/>
  <c r="P36" i="5"/>
  <c r="P76" i="5" s="1"/>
  <c r="Q36" i="5"/>
  <c r="AJ36" i="5"/>
  <c r="AK36" i="5"/>
  <c r="AL36" i="5"/>
  <c r="AL76" i="5" s="1"/>
  <c r="AM36" i="5"/>
  <c r="AO36" i="5"/>
  <c r="AP36" i="5"/>
  <c r="AP76" i="5" s="1"/>
  <c r="AQ36" i="5"/>
  <c r="AR36" i="5"/>
  <c r="AS36" i="5"/>
  <c r="AT36" i="5"/>
  <c r="AT76" i="5" s="1"/>
  <c r="AU36" i="5"/>
  <c r="AV36" i="5"/>
  <c r="AW36" i="5"/>
  <c r="AX36" i="5"/>
  <c r="AX76" i="5" s="1"/>
  <c r="AY36" i="5"/>
  <c r="AZ36" i="5"/>
  <c r="BA36" i="5"/>
  <c r="BB36" i="5"/>
  <c r="BB76" i="5" s="1"/>
  <c r="BC36" i="5"/>
  <c r="BD36" i="5"/>
  <c r="BE36" i="5"/>
  <c r="BF36" i="5"/>
  <c r="BF76" i="5" s="1"/>
  <c r="BG36" i="5"/>
  <c r="BH36" i="5"/>
  <c r="BI36" i="5"/>
  <c r="BJ36" i="5"/>
  <c r="BJ76" i="5" s="1"/>
  <c r="BK36" i="5"/>
  <c r="BL36" i="5"/>
  <c r="BM36" i="5"/>
  <c r="BN36" i="5"/>
  <c r="BN76" i="5" s="1"/>
  <c r="BO36" i="5"/>
  <c r="BP36" i="5"/>
  <c r="BQ36" i="5"/>
  <c r="BR36" i="5"/>
  <c r="BR76" i="5" s="1"/>
  <c r="BS36" i="5"/>
  <c r="BT36" i="5"/>
  <c r="BU36" i="5"/>
  <c r="BV36" i="5"/>
  <c r="BV76" i="5" s="1"/>
  <c r="BW36" i="5"/>
  <c r="B37" i="5"/>
  <c r="C37" i="5"/>
  <c r="D37" i="5"/>
  <c r="E37" i="5"/>
  <c r="F37" i="5"/>
  <c r="I37" i="5"/>
  <c r="L37" i="5"/>
  <c r="M37" i="5"/>
  <c r="N37" i="5"/>
  <c r="O37" i="5"/>
  <c r="P37" i="5"/>
  <c r="Q37" i="5"/>
  <c r="Q76" i="5" s="1"/>
  <c r="R37" i="5"/>
  <c r="S37" i="5"/>
  <c r="T37" i="5"/>
  <c r="U37" i="5"/>
  <c r="V37" i="5"/>
  <c r="W37" i="5"/>
  <c r="X37" i="5"/>
  <c r="Y37" i="5"/>
  <c r="Z37" i="5"/>
  <c r="AA37" i="5"/>
  <c r="AB37" i="5"/>
  <c r="AC37" i="5"/>
  <c r="AD37" i="5"/>
  <c r="AE37" i="5"/>
  <c r="AF37" i="5"/>
  <c r="AG37" i="5"/>
  <c r="AH37" i="5"/>
  <c r="AI37" i="5"/>
  <c r="AJ37" i="5"/>
  <c r="AK37" i="5"/>
  <c r="AK76" i="5" s="1"/>
  <c r="AL37" i="5"/>
  <c r="AM37" i="5"/>
  <c r="AN37" i="5"/>
  <c r="AO37" i="5"/>
  <c r="AO76" i="5" s="1"/>
  <c r="AP37" i="5"/>
  <c r="AQ37" i="5"/>
  <c r="AR37" i="5"/>
  <c r="AS37" i="5"/>
  <c r="AS76" i="5" s="1"/>
  <c r="AT37" i="5"/>
  <c r="AU37" i="5"/>
  <c r="AV37" i="5"/>
  <c r="AW37" i="5"/>
  <c r="AW76" i="5" s="1"/>
  <c r="AX37" i="5"/>
  <c r="AY37" i="5"/>
  <c r="AZ37" i="5"/>
  <c r="BA37" i="5"/>
  <c r="BA76" i="5" s="1"/>
  <c r="BB37" i="5"/>
  <c r="BC37" i="5"/>
  <c r="BD37" i="5"/>
  <c r="BE37" i="5"/>
  <c r="BE76" i="5" s="1"/>
  <c r="BF37" i="5"/>
  <c r="BG37" i="5"/>
  <c r="BH37" i="5"/>
  <c r="BI37" i="5"/>
  <c r="BI76" i="5" s="1"/>
  <c r="BJ37" i="5"/>
  <c r="BK37" i="5"/>
  <c r="BL37" i="5"/>
  <c r="BM37" i="5"/>
  <c r="BM76" i="5" s="1"/>
  <c r="BN37" i="5"/>
  <c r="BO37" i="5"/>
  <c r="BP37" i="5"/>
  <c r="BQ37" i="5"/>
  <c r="BQ76" i="5" s="1"/>
  <c r="BR37" i="5"/>
  <c r="BS37" i="5"/>
  <c r="BT37" i="5"/>
  <c r="BU37" i="5"/>
  <c r="BU76" i="5" s="1"/>
  <c r="BV37" i="5"/>
  <c r="BW37" i="5"/>
  <c r="B38" i="5"/>
  <c r="C38" i="5"/>
  <c r="D38" i="5"/>
  <c r="E38" i="5"/>
  <c r="F38" i="5"/>
  <c r="G38" i="5"/>
  <c r="H38" i="5"/>
  <c r="J38" i="5"/>
  <c r="L38" i="5"/>
  <c r="M38" i="5"/>
  <c r="N38" i="5"/>
  <c r="O38" i="5"/>
  <c r="P38" i="5"/>
  <c r="Q38" i="5"/>
  <c r="R38" i="5"/>
  <c r="S38" i="5"/>
  <c r="T38" i="5"/>
  <c r="U38" i="5"/>
  <c r="V38" i="5"/>
  <c r="W38" i="5"/>
  <c r="X38" i="5"/>
  <c r="Y38" i="5"/>
  <c r="Z38" i="5"/>
  <c r="AA38" i="5"/>
  <c r="AB38" i="5"/>
  <c r="AC38" i="5"/>
  <c r="AD38" i="5"/>
  <c r="AE38" i="5"/>
  <c r="AF38" i="5"/>
  <c r="AG38" i="5"/>
  <c r="AH38" i="5"/>
  <c r="AI38" i="5"/>
  <c r="AJ38" i="5"/>
  <c r="AK38" i="5"/>
  <c r="AL38" i="5"/>
  <c r="AM38" i="5"/>
  <c r="AN38" i="5"/>
  <c r="AO38" i="5"/>
  <c r="AP38" i="5"/>
  <c r="AQ38" i="5"/>
  <c r="AR38" i="5"/>
  <c r="AS38" i="5"/>
  <c r="AT38" i="5"/>
  <c r="AU38" i="5"/>
  <c r="AV38" i="5"/>
  <c r="AW38" i="5"/>
  <c r="AX38" i="5"/>
  <c r="AY38" i="5"/>
  <c r="AZ38" i="5"/>
  <c r="BA38" i="5"/>
  <c r="BB38" i="5"/>
  <c r="BC38" i="5"/>
  <c r="BD38" i="5"/>
  <c r="BE38" i="5"/>
  <c r="BF38" i="5"/>
  <c r="BG38" i="5"/>
  <c r="BH38" i="5"/>
  <c r="BI38" i="5"/>
  <c r="BJ38" i="5"/>
  <c r="BK38" i="5"/>
  <c r="BL38" i="5"/>
  <c r="BM38" i="5"/>
  <c r="BN38" i="5"/>
  <c r="BO38" i="5"/>
  <c r="BP38" i="5"/>
  <c r="BQ38" i="5"/>
  <c r="BR38" i="5"/>
  <c r="BS38" i="5"/>
  <c r="BT38" i="5"/>
  <c r="BU38" i="5"/>
  <c r="BV38" i="5"/>
  <c r="BW38" i="5"/>
  <c r="B39" i="5"/>
  <c r="B76" i="5" s="1"/>
  <c r="C39" i="5"/>
  <c r="D39" i="5"/>
  <c r="E39" i="5"/>
  <c r="F39" i="5"/>
  <c r="F76" i="5" s="1"/>
  <c r="G39" i="5"/>
  <c r="H39" i="5"/>
  <c r="J39" i="5"/>
  <c r="L39" i="5"/>
  <c r="M39" i="5"/>
  <c r="N39" i="5"/>
  <c r="O39" i="5"/>
  <c r="P39" i="5"/>
  <c r="Q39" i="5"/>
  <c r="R39" i="5"/>
  <c r="S39" i="5"/>
  <c r="T39" i="5"/>
  <c r="U39" i="5"/>
  <c r="V39" i="5"/>
  <c r="W39" i="5"/>
  <c r="X39" i="5"/>
  <c r="Y39" i="5"/>
  <c r="Z39" i="5"/>
  <c r="AA39" i="5"/>
  <c r="AB39" i="5"/>
  <c r="AC39" i="5"/>
  <c r="AD39" i="5"/>
  <c r="AE39" i="5"/>
  <c r="AF39" i="5"/>
  <c r="AG39" i="5"/>
  <c r="AH39" i="5"/>
  <c r="AI39" i="5"/>
  <c r="AJ39" i="5"/>
  <c r="AK39" i="5"/>
  <c r="AL39" i="5"/>
  <c r="AM39" i="5"/>
  <c r="AM76" i="5" s="1"/>
  <c r="AN39" i="5"/>
  <c r="AO39" i="5"/>
  <c r="AP39" i="5"/>
  <c r="AQ39" i="5"/>
  <c r="AQ76" i="5" s="1"/>
  <c r="AR39" i="5"/>
  <c r="AS39" i="5"/>
  <c r="AT39" i="5"/>
  <c r="AU39" i="5"/>
  <c r="AU76" i="5" s="1"/>
  <c r="AV39" i="5"/>
  <c r="AW39" i="5"/>
  <c r="AX39" i="5"/>
  <c r="AY39" i="5"/>
  <c r="AY76" i="5" s="1"/>
  <c r="AZ39" i="5"/>
  <c r="BA39" i="5"/>
  <c r="BB39" i="5"/>
  <c r="BC39" i="5"/>
  <c r="BC76" i="5" s="1"/>
  <c r="BD39" i="5"/>
  <c r="BE39" i="5"/>
  <c r="BF39" i="5"/>
  <c r="BG39" i="5"/>
  <c r="BG76" i="5" s="1"/>
  <c r="BH39" i="5"/>
  <c r="BI39" i="5"/>
  <c r="BJ39" i="5"/>
  <c r="BK39" i="5"/>
  <c r="BK76" i="5" s="1"/>
  <c r="BL39" i="5"/>
  <c r="BM39" i="5"/>
  <c r="BN39" i="5"/>
  <c r="BO39" i="5"/>
  <c r="BO76" i="5" s="1"/>
  <c r="BP39" i="5"/>
  <c r="BQ39" i="5"/>
  <c r="BR39" i="5"/>
  <c r="BS39" i="5"/>
  <c r="BS76" i="5" s="1"/>
  <c r="BT39" i="5"/>
  <c r="BU39" i="5"/>
  <c r="BV39" i="5"/>
  <c r="BW39" i="5"/>
  <c r="BW76" i="5" s="1"/>
  <c r="B40" i="5"/>
  <c r="C40" i="5"/>
  <c r="D40" i="5"/>
  <c r="E40" i="5"/>
  <c r="F40" i="5"/>
  <c r="G40" i="5"/>
  <c r="H40" i="5"/>
  <c r="I40" i="5"/>
  <c r="L40" i="5"/>
  <c r="M40" i="5"/>
  <c r="N40" i="5"/>
  <c r="O40" i="5"/>
  <c r="P40" i="5"/>
  <c r="Q40" i="5"/>
  <c r="R40" i="5"/>
  <c r="S40" i="5"/>
  <c r="T40" i="5"/>
  <c r="U40" i="5"/>
  <c r="V40" i="5"/>
  <c r="W40" i="5"/>
  <c r="X40" i="5"/>
  <c r="Y40" i="5"/>
  <c r="Z40" i="5"/>
  <c r="AA40" i="5"/>
  <c r="AB40" i="5"/>
  <c r="AC40" i="5"/>
  <c r="AD40" i="5"/>
  <c r="AE40" i="5"/>
  <c r="AF40" i="5"/>
  <c r="AG40" i="5"/>
  <c r="AH40" i="5"/>
  <c r="AI40" i="5"/>
  <c r="AJ40" i="5"/>
  <c r="AK40" i="5"/>
  <c r="AL40" i="5"/>
  <c r="AM40" i="5"/>
  <c r="AN40" i="5"/>
  <c r="AO40" i="5"/>
  <c r="AP40" i="5"/>
  <c r="AQ40" i="5"/>
  <c r="AR40" i="5"/>
  <c r="AS40" i="5"/>
  <c r="AT40" i="5"/>
  <c r="AU40" i="5"/>
  <c r="AV40" i="5"/>
  <c r="AW40" i="5"/>
  <c r="AX40" i="5"/>
  <c r="AY40" i="5"/>
  <c r="AZ40" i="5"/>
  <c r="BA40" i="5"/>
  <c r="BB40" i="5"/>
  <c r="BC40" i="5"/>
  <c r="BD40" i="5"/>
  <c r="BE40" i="5"/>
  <c r="BF40" i="5"/>
  <c r="BG40" i="5"/>
  <c r="BH40" i="5"/>
  <c r="BI40" i="5"/>
  <c r="BJ40" i="5"/>
  <c r="BK40" i="5"/>
  <c r="BL40" i="5"/>
  <c r="BM40" i="5"/>
  <c r="BN40" i="5"/>
  <c r="BO40" i="5"/>
  <c r="BP40" i="5"/>
  <c r="BQ40" i="5"/>
  <c r="BR40" i="5"/>
  <c r="BS40" i="5"/>
  <c r="BT40" i="5"/>
  <c r="BU40" i="5"/>
  <c r="BV40" i="5"/>
  <c r="BW40" i="5"/>
  <c r="B41" i="5"/>
  <c r="C41" i="5"/>
  <c r="D41" i="5"/>
  <c r="E41" i="5"/>
  <c r="F41" i="5"/>
  <c r="G41" i="5"/>
  <c r="H41" i="5"/>
  <c r="I41" i="5"/>
  <c r="J41" i="5"/>
  <c r="L41" i="5"/>
  <c r="M41" i="5"/>
  <c r="N41" i="5"/>
  <c r="O41" i="5"/>
  <c r="O76" i="5" s="1"/>
  <c r="P41" i="5"/>
  <c r="Q41" i="5"/>
  <c r="R41" i="5"/>
  <c r="S41" i="5"/>
  <c r="T41" i="5"/>
  <c r="U41" i="5"/>
  <c r="V41" i="5"/>
  <c r="W41" i="5"/>
  <c r="X41" i="5"/>
  <c r="Y41" i="5"/>
  <c r="Z41" i="5"/>
  <c r="AA41" i="5"/>
  <c r="AB41" i="5"/>
  <c r="AC41" i="5"/>
  <c r="AD41" i="5"/>
  <c r="AE41" i="5"/>
  <c r="AF41" i="5"/>
  <c r="AG41" i="5"/>
  <c r="AH41" i="5"/>
  <c r="AI41" i="5"/>
  <c r="AJ41" i="5"/>
  <c r="AK41" i="5"/>
  <c r="AL41" i="5"/>
  <c r="AM41" i="5"/>
  <c r="AN41" i="5"/>
  <c r="AO41" i="5"/>
  <c r="AP41" i="5"/>
  <c r="AQ41" i="5"/>
  <c r="AR41" i="5"/>
  <c r="AS41" i="5"/>
  <c r="AT41" i="5"/>
  <c r="AU41" i="5"/>
  <c r="AV41" i="5"/>
  <c r="AW41" i="5"/>
  <c r="AX41" i="5"/>
  <c r="AY41" i="5"/>
  <c r="AZ41" i="5"/>
  <c r="BA41" i="5"/>
  <c r="BB41" i="5"/>
  <c r="BC41" i="5"/>
  <c r="BD41" i="5"/>
  <c r="BE41" i="5"/>
  <c r="BF41" i="5"/>
  <c r="BG41" i="5"/>
  <c r="BH41" i="5"/>
  <c r="BI41" i="5"/>
  <c r="BJ41" i="5"/>
  <c r="BK41" i="5"/>
  <c r="BL41" i="5"/>
  <c r="BM41" i="5"/>
  <c r="BN41" i="5"/>
  <c r="BO41" i="5"/>
  <c r="BP41" i="5"/>
  <c r="BQ41" i="5"/>
  <c r="BR41" i="5"/>
  <c r="BS41" i="5"/>
  <c r="BT41" i="5"/>
  <c r="BU41" i="5"/>
  <c r="BV41" i="5"/>
  <c r="BW41" i="5"/>
  <c r="B42" i="5"/>
  <c r="C42" i="5"/>
  <c r="D42" i="5"/>
  <c r="E42" i="5"/>
  <c r="E76" i="5" s="1"/>
  <c r="F42" i="5"/>
  <c r="G42" i="5"/>
  <c r="H42" i="5"/>
  <c r="I42" i="5"/>
  <c r="J42" i="5"/>
  <c r="L42" i="5"/>
  <c r="M42" i="5"/>
  <c r="N42" i="5"/>
  <c r="O42" i="5"/>
  <c r="P42" i="5"/>
  <c r="Q42" i="5"/>
  <c r="R42" i="5"/>
  <c r="S42" i="5"/>
  <c r="T42" i="5"/>
  <c r="U42" i="5"/>
  <c r="V42" i="5"/>
  <c r="W42" i="5"/>
  <c r="X42" i="5"/>
  <c r="Y42" i="5"/>
  <c r="Z42" i="5"/>
  <c r="AA42" i="5"/>
  <c r="AB42" i="5"/>
  <c r="AC42" i="5"/>
  <c r="AD42" i="5"/>
  <c r="AE42" i="5"/>
  <c r="AF42" i="5"/>
  <c r="AG42" i="5"/>
  <c r="AH42" i="5"/>
  <c r="AI42" i="5"/>
  <c r="AJ42" i="5"/>
  <c r="AK42" i="5"/>
  <c r="AL42" i="5"/>
  <c r="AM42" i="5"/>
  <c r="AN42" i="5"/>
  <c r="AO42" i="5"/>
  <c r="AP42" i="5"/>
  <c r="AQ42" i="5"/>
  <c r="AR42" i="5"/>
  <c r="AS42" i="5"/>
  <c r="AT42" i="5"/>
  <c r="AU42" i="5"/>
  <c r="AV42" i="5"/>
  <c r="AW42" i="5"/>
  <c r="AX42" i="5"/>
  <c r="AY42" i="5"/>
  <c r="AZ42" i="5"/>
  <c r="BA42" i="5"/>
  <c r="BB42" i="5"/>
  <c r="BC42" i="5"/>
  <c r="BD42" i="5"/>
  <c r="BE42" i="5"/>
  <c r="BF42" i="5"/>
  <c r="BG42" i="5"/>
  <c r="BH42" i="5"/>
  <c r="BI42" i="5"/>
  <c r="BJ42" i="5"/>
  <c r="BK42" i="5"/>
  <c r="BL42" i="5"/>
  <c r="BM42" i="5"/>
  <c r="BN42" i="5"/>
  <c r="BO42" i="5"/>
  <c r="BP42" i="5"/>
  <c r="BQ42" i="5"/>
  <c r="BR42" i="5"/>
  <c r="BS42" i="5"/>
  <c r="BT42" i="5"/>
  <c r="BU42" i="5"/>
  <c r="BV42" i="5"/>
  <c r="BW42" i="5"/>
  <c r="B43" i="5"/>
  <c r="C43" i="5"/>
  <c r="D43" i="5"/>
  <c r="E43" i="5"/>
  <c r="F43" i="5"/>
  <c r="G43" i="5"/>
  <c r="H43" i="5"/>
  <c r="I43" i="5"/>
  <c r="J43" i="5"/>
  <c r="L43" i="5"/>
  <c r="M43" i="5"/>
  <c r="N43" i="5"/>
  <c r="O43" i="5"/>
  <c r="P43" i="5"/>
  <c r="Q43" i="5"/>
  <c r="R43" i="5"/>
  <c r="S43" i="5"/>
  <c r="T43" i="5"/>
  <c r="U43" i="5"/>
  <c r="V43" i="5"/>
  <c r="W43" i="5"/>
  <c r="X43" i="5"/>
  <c r="Y43" i="5"/>
  <c r="Z43" i="5"/>
  <c r="AA43" i="5"/>
  <c r="AB43" i="5"/>
  <c r="AC43" i="5"/>
  <c r="AD43" i="5"/>
  <c r="AE43" i="5"/>
  <c r="AF43" i="5"/>
  <c r="AG43" i="5"/>
  <c r="AH43" i="5"/>
  <c r="AI43" i="5"/>
  <c r="AJ43" i="5"/>
  <c r="AK43" i="5"/>
  <c r="AL43" i="5"/>
  <c r="AM43" i="5"/>
  <c r="AN43" i="5"/>
  <c r="AO43" i="5"/>
  <c r="AP43" i="5"/>
  <c r="AQ43" i="5"/>
  <c r="AR43" i="5"/>
  <c r="AS43" i="5"/>
  <c r="AT43" i="5"/>
  <c r="AU43" i="5"/>
  <c r="AV43" i="5"/>
  <c r="AW43" i="5"/>
  <c r="AX43" i="5"/>
  <c r="AY43" i="5"/>
  <c r="AZ43" i="5"/>
  <c r="BA43" i="5"/>
  <c r="BB43" i="5"/>
  <c r="BC43" i="5"/>
  <c r="BD43" i="5"/>
  <c r="BE43" i="5"/>
  <c r="BF43" i="5"/>
  <c r="BG43" i="5"/>
  <c r="BH43" i="5"/>
  <c r="BI43" i="5"/>
  <c r="BJ43" i="5"/>
  <c r="BK43" i="5"/>
  <c r="BL43" i="5"/>
  <c r="BM43" i="5"/>
  <c r="BN43" i="5"/>
  <c r="BO43" i="5"/>
  <c r="BP43" i="5"/>
  <c r="BQ43" i="5"/>
  <c r="BR43" i="5"/>
  <c r="BS43" i="5"/>
  <c r="BT43" i="5"/>
  <c r="BU43" i="5"/>
  <c r="BV43" i="5"/>
  <c r="BW43" i="5"/>
  <c r="B44" i="5"/>
  <c r="C44" i="5"/>
  <c r="D44" i="5"/>
  <c r="E44" i="5"/>
  <c r="F44" i="5"/>
  <c r="G44" i="5"/>
  <c r="H44" i="5"/>
  <c r="I44" i="5"/>
  <c r="J44" i="5"/>
  <c r="L44" i="5"/>
  <c r="M44" i="5"/>
  <c r="N44" i="5"/>
  <c r="O44" i="5"/>
  <c r="P44" i="5"/>
  <c r="Q44" i="5"/>
  <c r="R44" i="5"/>
  <c r="S44" i="5"/>
  <c r="T44" i="5"/>
  <c r="U44" i="5"/>
  <c r="V44" i="5"/>
  <c r="W44" i="5"/>
  <c r="X44" i="5"/>
  <c r="Y44" i="5"/>
  <c r="Z44" i="5"/>
  <c r="AA44" i="5"/>
  <c r="AB44" i="5"/>
  <c r="AC44" i="5"/>
  <c r="AD44" i="5"/>
  <c r="AE44" i="5"/>
  <c r="AF44" i="5"/>
  <c r="AG44" i="5"/>
  <c r="AH44" i="5"/>
  <c r="AI44" i="5"/>
  <c r="AJ44" i="5"/>
  <c r="AK44" i="5"/>
  <c r="AL44" i="5"/>
  <c r="AM44" i="5"/>
  <c r="AN44" i="5"/>
  <c r="AO44" i="5"/>
  <c r="AP44" i="5"/>
  <c r="AQ44" i="5"/>
  <c r="AR44" i="5"/>
  <c r="AS44" i="5"/>
  <c r="AT44" i="5"/>
  <c r="AU44" i="5"/>
  <c r="AV44" i="5"/>
  <c r="AW44" i="5"/>
  <c r="AX44" i="5"/>
  <c r="AY44" i="5"/>
  <c r="AZ44" i="5"/>
  <c r="BA44" i="5"/>
  <c r="BB44" i="5"/>
  <c r="BC44" i="5"/>
  <c r="BD44" i="5"/>
  <c r="BE44" i="5"/>
  <c r="BF44" i="5"/>
  <c r="BG44" i="5"/>
  <c r="BH44" i="5"/>
  <c r="BI44" i="5"/>
  <c r="BJ44" i="5"/>
  <c r="BK44" i="5"/>
  <c r="BL44" i="5"/>
  <c r="BM44" i="5"/>
  <c r="BN44" i="5"/>
  <c r="BO44" i="5"/>
  <c r="BP44" i="5"/>
  <c r="BQ44" i="5"/>
  <c r="BR44" i="5"/>
  <c r="BS44" i="5"/>
  <c r="BT44" i="5"/>
  <c r="BU44" i="5"/>
  <c r="BV44" i="5"/>
  <c r="BW44" i="5"/>
  <c r="B45" i="5"/>
  <c r="C45" i="5"/>
  <c r="D45" i="5"/>
  <c r="E45" i="5"/>
  <c r="F45" i="5"/>
  <c r="G45" i="5"/>
  <c r="H45" i="5"/>
  <c r="I45" i="5"/>
  <c r="J45" i="5"/>
  <c r="L45" i="5"/>
  <c r="M45" i="5"/>
  <c r="N45" i="5"/>
  <c r="O45" i="5"/>
  <c r="P45" i="5"/>
  <c r="Q45" i="5"/>
  <c r="R45" i="5"/>
  <c r="S45" i="5"/>
  <c r="T45" i="5"/>
  <c r="U45" i="5"/>
  <c r="V45" i="5"/>
  <c r="W45" i="5"/>
  <c r="X45" i="5"/>
  <c r="Y45" i="5"/>
  <c r="Z45" i="5"/>
  <c r="AA45" i="5"/>
  <c r="AB45" i="5"/>
  <c r="AC45" i="5"/>
  <c r="AD45" i="5"/>
  <c r="AE45" i="5"/>
  <c r="AF45" i="5"/>
  <c r="AG45" i="5"/>
  <c r="AH45" i="5"/>
  <c r="AI45" i="5"/>
  <c r="AJ45" i="5"/>
  <c r="AK45" i="5"/>
  <c r="AL45" i="5"/>
  <c r="AM45" i="5"/>
  <c r="AN45" i="5"/>
  <c r="AO45" i="5"/>
  <c r="AP45" i="5"/>
  <c r="AQ45" i="5"/>
  <c r="AR45" i="5"/>
  <c r="AS45" i="5"/>
  <c r="AT45" i="5"/>
  <c r="AU45" i="5"/>
  <c r="AV45" i="5"/>
  <c r="AW45" i="5"/>
  <c r="AX45" i="5"/>
  <c r="AY45" i="5"/>
  <c r="AZ45" i="5"/>
  <c r="BA45" i="5"/>
  <c r="BB45" i="5"/>
  <c r="BC45" i="5"/>
  <c r="BD45" i="5"/>
  <c r="BE45" i="5"/>
  <c r="BF45" i="5"/>
  <c r="BG45" i="5"/>
  <c r="BH45" i="5"/>
  <c r="BI45" i="5"/>
  <c r="BJ45" i="5"/>
  <c r="BK45" i="5"/>
  <c r="BL45" i="5"/>
  <c r="BM45" i="5"/>
  <c r="BN45" i="5"/>
  <c r="BO45" i="5"/>
  <c r="BP45" i="5"/>
  <c r="BQ45" i="5"/>
  <c r="BR45" i="5"/>
  <c r="BS45" i="5"/>
  <c r="BT45" i="5"/>
  <c r="BU45" i="5"/>
  <c r="BV45" i="5"/>
  <c r="BW45" i="5"/>
  <c r="B46" i="5"/>
  <c r="C46" i="5"/>
  <c r="D46" i="5"/>
  <c r="E46" i="5"/>
  <c r="F46" i="5"/>
  <c r="G46" i="5"/>
  <c r="H46" i="5"/>
  <c r="I46" i="5"/>
  <c r="J46" i="5"/>
  <c r="L46" i="5"/>
  <c r="M46" i="5"/>
  <c r="N46" i="5"/>
  <c r="O46" i="5"/>
  <c r="P46" i="5"/>
  <c r="Q46" i="5"/>
  <c r="R46" i="5"/>
  <c r="S46" i="5"/>
  <c r="T46" i="5"/>
  <c r="U46" i="5"/>
  <c r="V46" i="5"/>
  <c r="W46" i="5"/>
  <c r="X46" i="5"/>
  <c r="Y46" i="5"/>
  <c r="Z46" i="5"/>
  <c r="AA46" i="5"/>
  <c r="AB46" i="5"/>
  <c r="AC46" i="5"/>
  <c r="AD46" i="5"/>
  <c r="AE46" i="5"/>
  <c r="AF46" i="5"/>
  <c r="AG46" i="5"/>
  <c r="AH46" i="5"/>
  <c r="AI46" i="5"/>
  <c r="AJ46" i="5"/>
  <c r="AK46" i="5"/>
  <c r="AL46" i="5"/>
  <c r="AM46" i="5"/>
  <c r="AN46" i="5"/>
  <c r="AO46" i="5"/>
  <c r="AP46" i="5"/>
  <c r="AQ46" i="5"/>
  <c r="AR46" i="5"/>
  <c r="AS46" i="5"/>
  <c r="AT46" i="5"/>
  <c r="AU46" i="5"/>
  <c r="AV46" i="5"/>
  <c r="AW46" i="5"/>
  <c r="AX46" i="5"/>
  <c r="AY46" i="5"/>
  <c r="AZ46" i="5"/>
  <c r="BA46" i="5"/>
  <c r="BB46" i="5"/>
  <c r="BC46" i="5"/>
  <c r="BD46" i="5"/>
  <c r="BE46" i="5"/>
  <c r="BF46" i="5"/>
  <c r="BG46" i="5"/>
  <c r="BH46" i="5"/>
  <c r="BI46" i="5"/>
  <c r="BJ46" i="5"/>
  <c r="BK46" i="5"/>
  <c r="BL46" i="5"/>
  <c r="BM46" i="5"/>
  <c r="BN46" i="5"/>
  <c r="BO46" i="5"/>
  <c r="BP46" i="5"/>
  <c r="BQ46" i="5"/>
  <c r="BR46" i="5"/>
  <c r="BS46" i="5"/>
  <c r="BT46" i="5"/>
  <c r="BU46" i="5"/>
  <c r="BV46" i="5"/>
  <c r="BW46" i="5"/>
  <c r="B47" i="5"/>
  <c r="C47" i="5"/>
  <c r="D47" i="5"/>
  <c r="E47" i="5"/>
  <c r="F47" i="5"/>
  <c r="G47" i="5"/>
  <c r="H47" i="5"/>
  <c r="I47" i="5"/>
  <c r="J47" i="5"/>
  <c r="L47" i="5"/>
  <c r="M47" i="5"/>
  <c r="N47" i="5"/>
  <c r="O47" i="5"/>
  <c r="P47" i="5"/>
  <c r="Q47" i="5"/>
  <c r="R47" i="5"/>
  <c r="S47" i="5"/>
  <c r="T47" i="5"/>
  <c r="U47" i="5"/>
  <c r="V47" i="5"/>
  <c r="W47" i="5"/>
  <c r="X47" i="5"/>
  <c r="Y47" i="5"/>
  <c r="Z47" i="5"/>
  <c r="AA47" i="5"/>
  <c r="AB47" i="5"/>
  <c r="AC47" i="5"/>
  <c r="AD47" i="5"/>
  <c r="AE47" i="5"/>
  <c r="AF47" i="5"/>
  <c r="AG47" i="5"/>
  <c r="AH47" i="5"/>
  <c r="AI47" i="5"/>
  <c r="AJ47" i="5"/>
  <c r="AK47" i="5"/>
  <c r="AL47" i="5"/>
  <c r="AM47" i="5"/>
  <c r="AN47" i="5"/>
  <c r="AO47" i="5"/>
  <c r="AP47" i="5"/>
  <c r="AQ47" i="5"/>
  <c r="AR47" i="5"/>
  <c r="AS47" i="5"/>
  <c r="AT47" i="5"/>
  <c r="AU47" i="5"/>
  <c r="AV47" i="5"/>
  <c r="AW47" i="5"/>
  <c r="AX47" i="5"/>
  <c r="AY47" i="5"/>
  <c r="AZ47" i="5"/>
  <c r="BA47" i="5"/>
  <c r="BB47" i="5"/>
  <c r="BC47" i="5"/>
  <c r="BD47" i="5"/>
  <c r="BE47" i="5"/>
  <c r="BF47" i="5"/>
  <c r="BG47" i="5"/>
  <c r="BH47" i="5"/>
  <c r="BI47" i="5"/>
  <c r="BJ47" i="5"/>
  <c r="BK47" i="5"/>
  <c r="BL47" i="5"/>
  <c r="BM47" i="5"/>
  <c r="BN47" i="5"/>
  <c r="BO47" i="5"/>
  <c r="BP47" i="5"/>
  <c r="BQ47" i="5"/>
  <c r="BR47" i="5"/>
  <c r="BS47" i="5"/>
  <c r="BT47" i="5"/>
  <c r="BU47" i="5"/>
  <c r="BV47" i="5"/>
  <c r="BW47" i="5"/>
  <c r="B48" i="5"/>
  <c r="C48" i="5"/>
  <c r="D48" i="5"/>
  <c r="E48" i="5"/>
  <c r="F48" i="5"/>
  <c r="G48" i="5"/>
  <c r="H48" i="5"/>
  <c r="I48" i="5"/>
  <c r="J48" i="5"/>
  <c r="L48" i="5"/>
  <c r="M48" i="5"/>
  <c r="N48" i="5"/>
  <c r="O48" i="5"/>
  <c r="P48" i="5"/>
  <c r="Q48" i="5"/>
  <c r="R48" i="5"/>
  <c r="S48" i="5"/>
  <c r="T48" i="5"/>
  <c r="U48" i="5"/>
  <c r="V48" i="5"/>
  <c r="W48" i="5"/>
  <c r="X48" i="5"/>
  <c r="Y48" i="5"/>
  <c r="Z48" i="5"/>
  <c r="AA48" i="5"/>
  <c r="AB48" i="5"/>
  <c r="AC48" i="5"/>
  <c r="AD48" i="5"/>
  <c r="AE48" i="5"/>
  <c r="AF48" i="5"/>
  <c r="AG48" i="5"/>
  <c r="AH48" i="5"/>
  <c r="AI48" i="5"/>
  <c r="AJ48" i="5"/>
  <c r="AK48" i="5"/>
  <c r="AL48" i="5"/>
  <c r="AM48" i="5"/>
  <c r="AN48" i="5"/>
  <c r="AO48" i="5"/>
  <c r="AP48" i="5"/>
  <c r="AQ48" i="5"/>
  <c r="AR48" i="5"/>
  <c r="AS48" i="5"/>
  <c r="AT48" i="5"/>
  <c r="AU48" i="5"/>
  <c r="AV48" i="5"/>
  <c r="AW48" i="5"/>
  <c r="AX48" i="5"/>
  <c r="AY48" i="5"/>
  <c r="AZ48" i="5"/>
  <c r="BA48" i="5"/>
  <c r="BB48" i="5"/>
  <c r="BC48" i="5"/>
  <c r="BD48" i="5"/>
  <c r="BE48" i="5"/>
  <c r="BF48" i="5"/>
  <c r="BG48" i="5"/>
  <c r="BH48" i="5"/>
  <c r="BI48" i="5"/>
  <c r="BJ48" i="5"/>
  <c r="BK48" i="5"/>
  <c r="BL48" i="5"/>
  <c r="BM48" i="5"/>
  <c r="BN48" i="5"/>
  <c r="BO48" i="5"/>
  <c r="BP48" i="5"/>
  <c r="BQ48" i="5"/>
  <c r="BR48" i="5"/>
  <c r="BS48" i="5"/>
  <c r="BT48" i="5"/>
  <c r="BU48" i="5"/>
  <c r="BV48" i="5"/>
  <c r="BW48" i="5"/>
  <c r="B49" i="5"/>
  <c r="C49" i="5"/>
  <c r="D49" i="5"/>
  <c r="E49" i="5"/>
  <c r="F49" i="5"/>
  <c r="G49" i="5"/>
  <c r="H49" i="5"/>
  <c r="I49" i="5"/>
  <c r="J49" i="5"/>
  <c r="L49" i="5"/>
  <c r="M49" i="5"/>
  <c r="N49" i="5"/>
  <c r="O49" i="5"/>
  <c r="P49" i="5"/>
  <c r="Q49" i="5"/>
  <c r="R49" i="5"/>
  <c r="S49" i="5"/>
  <c r="T49" i="5"/>
  <c r="U49" i="5"/>
  <c r="V49" i="5"/>
  <c r="W49" i="5"/>
  <c r="X49" i="5"/>
  <c r="Y49" i="5"/>
  <c r="Z49" i="5"/>
  <c r="AA49" i="5"/>
  <c r="AB49" i="5"/>
  <c r="AC49" i="5"/>
  <c r="AD49" i="5"/>
  <c r="AE49" i="5"/>
  <c r="AF49" i="5"/>
  <c r="AG49" i="5"/>
  <c r="AH49" i="5"/>
  <c r="AI49" i="5"/>
  <c r="AJ49" i="5"/>
  <c r="AK49" i="5"/>
  <c r="AL49" i="5"/>
  <c r="AM49" i="5"/>
  <c r="AN49" i="5"/>
  <c r="AO49" i="5"/>
  <c r="AP49" i="5"/>
  <c r="AQ49" i="5"/>
  <c r="AR49" i="5"/>
  <c r="AS49" i="5"/>
  <c r="AT49" i="5"/>
  <c r="AU49" i="5"/>
  <c r="AV49" i="5"/>
  <c r="AW49" i="5"/>
  <c r="AX49" i="5"/>
  <c r="AY49" i="5"/>
  <c r="AZ49" i="5"/>
  <c r="BA49" i="5"/>
  <c r="BB49" i="5"/>
  <c r="BC49" i="5"/>
  <c r="BD49" i="5"/>
  <c r="BE49" i="5"/>
  <c r="BF49" i="5"/>
  <c r="BG49" i="5"/>
  <c r="BH49" i="5"/>
  <c r="BI49" i="5"/>
  <c r="BJ49" i="5"/>
  <c r="BK49" i="5"/>
  <c r="BL49" i="5"/>
  <c r="BM49" i="5"/>
  <c r="BN49" i="5"/>
  <c r="BO49" i="5"/>
  <c r="BP49" i="5"/>
  <c r="BQ49" i="5"/>
  <c r="BR49" i="5"/>
  <c r="BS49" i="5"/>
  <c r="BT49" i="5"/>
  <c r="BU49" i="5"/>
  <c r="BV49" i="5"/>
  <c r="BW49" i="5"/>
  <c r="B50" i="5"/>
  <c r="C50" i="5"/>
  <c r="D50" i="5"/>
  <c r="E50" i="5"/>
  <c r="F50" i="5"/>
  <c r="G50" i="5"/>
  <c r="H50" i="5"/>
  <c r="I50" i="5"/>
  <c r="J50" i="5"/>
  <c r="L50" i="5"/>
  <c r="M50" i="5"/>
  <c r="N50" i="5"/>
  <c r="O50" i="5"/>
  <c r="P50" i="5"/>
  <c r="Q50" i="5"/>
  <c r="R50" i="5"/>
  <c r="S50" i="5"/>
  <c r="T50" i="5"/>
  <c r="U50" i="5"/>
  <c r="V50" i="5"/>
  <c r="W50" i="5"/>
  <c r="X50" i="5"/>
  <c r="Y50" i="5"/>
  <c r="Z50" i="5"/>
  <c r="AA50" i="5"/>
  <c r="AB50" i="5"/>
  <c r="AC50" i="5"/>
  <c r="AD50" i="5"/>
  <c r="AE50" i="5"/>
  <c r="AF50" i="5"/>
  <c r="AG50" i="5"/>
  <c r="AH50" i="5"/>
  <c r="AI50" i="5"/>
  <c r="AJ50" i="5"/>
  <c r="AK50" i="5"/>
  <c r="AL50" i="5"/>
  <c r="AM50" i="5"/>
  <c r="AN50" i="5"/>
  <c r="AO50" i="5"/>
  <c r="AP50" i="5"/>
  <c r="AQ50" i="5"/>
  <c r="AR50" i="5"/>
  <c r="AS50" i="5"/>
  <c r="AT50" i="5"/>
  <c r="AU50" i="5"/>
  <c r="AV50" i="5"/>
  <c r="AW50" i="5"/>
  <c r="AX50" i="5"/>
  <c r="AY50" i="5"/>
  <c r="AZ50" i="5"/>
  <c r="BA50" i="5"/>
  <c r="BB50" i="5"/>
  <c r="BC50" i="5"/>
  <c r="BD50" i="5"/>
  <c r="BE50" i="5"/>
  <c r="BF50" i="5"/>
  <c r="BG50" i="5"/>
  <c r="BH50" i="5"/>
  <c r="BI50" i="5"/>
  <c r="BJ50" i="5"/>
  <c r="BK50" i="5"/>
  <c r="BL50" i="5"/>
  <c r="BM50" i="5"/>
  <c r="BN50" i="5"/>
  <c r="BO50" i="5"/>
  <c r="BP50" i="5"/>
  <c r="BQ50" i="5"/>
  <c r="BR50" i="5"/>
  <c r="BS50" i="5"/>
  <c r="BT50" i="5"/>
  <c r="BU50" i="5"/>
  <c r="BV50" i="5"/>
  <c r="BW50" i="5"/>
  <c r="B51" i="5"/>
  <c r="C51" i="5"/>
  <c r="D51" i="5"/>
  <c r="E51" i="5"/>
  <c r="F51" i="5"/>
  <c r="G51" i="5"/>
  <c r="H51" i="5"/>
  <c r="I51" i="5"/>
  <c r="J51" i="5"/>
  <c r="L51" i="5"/>
  <c r="M51" i="5"/>
  <c r="N51" i="5"/>
  <c r="O51" i="5"/>
  <c r="P51" i="5"/>
  <c r="Q51" i="5"/>
  <c r="R51" i="5"/>
  <c r="S51" i="5"/>
  <c r="T51" i="5"/>
  <c r="U51" i="5"/>
  <c r="V51" i="5"/>
  <c r="W51" i="5"/>
  <c r="X51" i="5"/>
  <c r="Y51" i="5"/>
  <c r="Z51" i="5"/>
  <c r="AA51" i="5"/>
  <c r="AB51" i="5"/>
  <c r="AC51" i="5"/>
  <c r="AD51" i="5"/>
  <c r="AE51" i="5"/>
  <c r="AF51" i="5"/>
  <c r="AG51" i="5"/>
  <c r="AH51" i="5"/>
  <c r="AI51" i="5"/>
  <c r="AJ51" i="5"/>
  <c r="AK51" i="5"/>
  <c r="AL51" i="5"/>
  <c r="AM51" i="5"/>
  <c r="AN51" i="5"/>
  <c r="AO51" i="5"/>
  <c r="AP51" i="5"/>
  <c r="AQ51" i="5"/>
  <c r="AR51" i="5"/>
  <c r="AS51" i="5"/>
  <c r="AT51" i="5"/>
  <c r="AU51" i="5"/>
  <c r="AV51" i="5"/>
  <c r="AW51" i="5"/>
  <c r="AX51" i="5"/>
  <c r="AY51" i="5"/>
  <c r="AZ51" i="5"/>
  <c r="BA51" i="5"/>
  <c r="BB51" i="5"/>
  <c r="BC51" i="5"/>
  <c r="BD51" i="5"/>
  <c r="BE51" i="5"/>
  <c r="BF51" i="5"/>
  <c r="BG51" i="5"/>
  <c r="BH51" i="5"/>
  <c r="BI51" i="5"/>
  <c r="BJ51" i="5"/>
  <c r="BK51" i="5"/>
  <c r="BL51" i="5"/>
  <c r="BM51" i="5"/>
  <c r="BN51" i="5"/>
  <c r="BO51" i="5"/>
  <c r="BP51" i="5"/>
  <c r="BQ51" i="5"/>
  <c r="BR51" i="5"/>
  <c r="BS51" i="5"/>
  <c r="BT51" i="5"/>
  <c r="BU51" i="5"/>
  <c r="BV51" i="5"/>
  <c r="BW51" i="5"/>
  <c r="B58" i="5"/>
  <c r="BQ58" i="5"/>
  <c r="BT58" i="5"/>
  <c r="BU58" i="5"/>
  <c r="BV58" i="5"/>
  <c r="BW58" i="5"/>
  <c r="B59" i="5"/>
  <c r="C59" i="5"/>
  <c r="D59" i="5"/>
  <c r="E59" i="5"/>
  <c r="F59" i="5"/>
  <c r="L59" i="5"/>
  <c r="M59" i="5"/>
  <c r="N59" i="5"/>
  <c r="O59" i="5"/>
  <c r="P59" i="5"/>
  <c r="Q59" i="5"/>
  <c r="R59" i="5"/>
  <c r="S59" i="5"/>
  <c r="T59" i="5"/>
  <c r="U59" i="5"/>
  <c r="V59" i="5"/>
  <c r="W59" i="5"/>
  <c r="X59" i="5"/>
  <c r="Y59" i="5"/>
  <c r="Z59" i="5"/>
  <c r="AA59" i="5"/>
  <c r="AB59" i="5"/>
  <c r="AC59" i="5"/>
  <c r="AD59" i="5"/>
  <c r="AE59" i="5"/>
  <c r="AF59" i="5"/>
  <c r="AG59" i="5"/>
  <c r="AH59" i="5"/>
  <c r="AI59" i="5"/>
  <c r="AJ59" i="5"/>
  <c r="AK59" i="5"/>
  <c r="AL59" i="5"/>
  <c r="AM59" i="5"/>
  <c r="AN59" i="5"/>
  <c r="AO59" i="5"/>
  <c r="AP59" i="5"/>
  <c r="AQ59" i="5"/>
  <c r="AR59" i="5"/>
  <c r="AS59" i="5"/>
  <c r="AT59" i="5"/>
  <c r="AU59" i="5"/>
  <c r="AV59" i="5"/>
  <c r="AW59" i="5"/>
  <c r="AX59" i="5"/>
  <c r="AY59" i="5"/>
  <c r="AZ59" i="5"/>
  <c r="BA59" i="5"/>
  <c r="BB59" i="5"/>
  <c r="BC59" i="5"/>
  <c r="BD59" i="5"/>
  <c r="BE59" i="5"/>
  <c r="BF59" i="5"/>
  <c r="BG59" i="5"/>
  <c r="BH59" i="5"/>
  <c r="BI59" i="5"/>
  <c r="BJ59" i="5"/>
  <c r="BK59" i="5"/>
  <c r="BL59" i="5"/>
  <c r="BM59" i="5"/>
  <c r="BN59" i="5"/>
  <c r="BO59" i="5"/>
  <c r="BP59" i="5"/>
  <c r="BQ59" i="5"/>
  <c r="BR59" i="5"/>
  <c r="BS59" i="5"/>
  <c r="BT59" i="5"/>
  <c r="BU59" i="5"/>
  <c r="BV59" i="5"/>
  <c r="BW59" i="5"/>
  <c r="B60" i="5"/>
  <c r="C60" i="5"/>
  <c r="D60" i="5"/>
  <c r="E60" i="5"/>
  <c r="F60" i="5"/>
  <c r="G60" i="5"/>
  <c r="H60" i="5"/>
  <c r="L60" i="5"/>
  <c r="M60" i="5"/>
  <c r="N60" i="5"/>
  <c r="O60" i="5"/>
  <c r="P60" i="5"/>
  <c r="Q60" i="5"/>
  <c r="R60" i="5"/>
  <c r="S60" i="5"/>
  <c r="T60" i="5"/>
  <c r="U60" i="5"/>
  <c r="V60" i="5"/>
  <c r="W60" i="5"/>
  <c r="X60" i="5"/>
  <c r="Y60" i="5"/>
  <c r="Z60" i="5"/>
  <c r="AA60" i="5"/>
  <c r="AB60" i="5"/>
  <c r="AC60" i="5"/>
  <c r="AD60" i="5"/>
  <c r="AE60" i="5"/>
  <c r="AF60" i="5"/>
  <c r="AG60" i="5"/>
  <c r="AH60" i="5"/>
  <c r="AI60" i="5"/>
  <c r="AJ60" i="5"/>
  <c r="AK60" i="5"/>
  <c r="AL60" i="5"/>
  <c r="AM60" i="5"/>
  <c r="AN60" i="5"/>
  <c r="AO60" i="5"/>
  <c r="AP60" i="5"/>
  <c r="AQ60" i="5"/>
  <c r="AR60" i="5"/>
  <c r="AS60" i="5"/>
  <c r="AT60" i="5"/>
  <c r="AU60" i="5"/>
  <c r="AV60" i="5"/>
  <c r="AW60" i="5"/>
  <c r="AX60" i="5"/>
  <c r="AY60" i="5"/>
  <c r="AZ60" i="5"/>
  <c r="BA60" i="5"/>
  <c r="BB60" i="5"/>
  <c r="BC60" i="5"/>
  <c r="BD60" i="5"/>
  <c r="BE60" i="5"/>
  <c r="BF60" i="5"/>
  <c r="BG60" i="5"/>
  <c r="BH60" i="5"/>
  <c r="BI60" i="5"/>
  <c r="BJ60" i="5"/>
  <c r="BK60" i="5"/>
  <c r="BL60" i="5"/>
  <c r="BM60" i="5"/>
  <c r="BN60" i="5"/>
  <c r="BO60" i="5"/>
  <c r="BP60" i="5"/>
  <c r="BQ60" i="5"/>
  <c r="BR60" i="5"/>
  <c r="BS60" i="5"/>
  <c r="BT60" i="5"/>
  <c r="BU60" i="5"/>
  <c r="BV60" i="5"/>
  <c r="BW60" i="5"/>
  <c r="B61" i="5"/>
  <c r="C61" i="5"/>
  <c r="D61" i="5"/>
  <c r="E61" i="5"/>
  <c r="F61" i="5"/>
  <c r="G61" i="5"/>
  <c r="H61" i="5"/>
  <c r="L61" i="5"/>
  <c r="M61" i="5"/>
  <c r="N61" i="5"/>
  <c r="O61" i="5"/>
  <c r="P61" i="5"/>
  <c r="Q61" i="5"/>
  <c r="R61" i="5"/>
  <c r="S61" i="5"/>
  <c r="T61" i="5"/>
  <c r="U61" i="5"/>
  <c r="V61" i="5"/>
  <c r="W61" i="5"/>
  <c r="X61" i="5"/>
  <c r="Y61" i="5"/>
  <c r="Z61" i="5"/>
  <c r="AA61" i="5"/>
  <c r="AB61" i="5"/>
  <c r="AC61" i="5"/>
  <c r="AD61" i="5"/>
  <c r="AE61" i="5"/>
  <c r="AF61" i="5"/>
  <c r="AG61" i="5"/>
  <c r="AH61" i="5"/>
  <c r="AI61" i="5"/>
  <c r="AJ61" i="5"/>
  <c r="AK61" i="5"/>
  <c r="AL61" i="5"/>
  <c r="AM61" i="5"/>
  <c r="AN61" i="5"/>
  <c r="AO61" i="5"/>
  <c r="AP61" i="5"/>
  <c r="AQ61" i="5"/>
  <c r="AR61" i="5"/>
  <c r="AS61" i="5"/>
  <c r="AT61" i="5"/>
  <c r="AU61" i="5"/>
  <c r="AV61" i="5"/>
  <c r="AW61" i="5"/>
  <c r="AX61" i="5"/>
  <c r="AY61" i="5"/>
  <c r="AZ61" i="5"/>
  <c r="BA61" i="5"/>
  <c r="BB61" i="5"/>
  <c r="BC61" i="5"/>
  <c r="BD61" i="5"/>
  <c r="BE61" i="5"/>
  <c r="BF61" i="5"/>
  <c r="BG61" i="5"/>
  <c r="BH61" i="5"/>
  <c r="BI61" i="5"/>
  <c r="BJ61" i="5"/>
  <c r="BK61" i="5"/>
  <c r="BL61" i="5"/>
  <c r="BM61" i="5"/>
  <c r="BN61" i="5"/>
  <c r="BO61" i="5"/>
  <c r="BP61" i="5"/>
  <c r="BQ61" i="5"/>
  <c r="BR61" i="5"/>
  <c r="BS61" i="5"/>
  <c r="BT61" i="5"/>
  <c r="BU61" i="5"/>
  <c r="BV61" i="5"/>
  <c r="BW61" i="5"/>
  <c r="B62" i="5"/>
  <c r="C62" i="5"/>
  <c r="D62" i="5"/>
  <c r="E62" i="5"/>
  <c r="F62" i="5"/>
  <c r="G62" i="5"/>
  <c r="H62" i="5"/>
  <c r="I62" i="5"/>
  <c r="L62" i="5"/>
  <c r="M62" i="5"/>
  <c r="N62" i="5"/>
  <c r="O62" i="5"/>
  <c r="P62" i="5"/>
  <c r="Q62" i="5"/>
  <c r="R62" i="5"/>
  <c r="S62" i="5"/>
  <c r="T62" i="5"/>
  <c r="U62" i="5"/>
  <c r="V62" i="5"/>
  <c r="W62" i="5"/>
  <c r="X62" i="5"/>
  <c r="Y62" i="5"/>
  <c r="Z62" i="5"/>
  <c r="AA62" i="5"/>
  <c r="AB62" i="5"/>
  <c r="AC62" i="5"/>
  <c r="AD62" i="5"/>
  <c r="AE62" i="5"/>
  <c r="AF62" i="5"/>
  <c r="AG62" i="5"/>
  <c r="AH62" i="5"/>
  <c r="AI62" i="5"/>
  <c r="AJ62" i="5"/>
  <c r="AK62" i="5"/>
  <c r="AL62" i="5"/>
  <c r="AM62" i="5"/>
  <c r="AN62" i="5"/>
  <c r="AO62" i="5"/>
  <c r="AP62" i="5"/>
  <c r="AQ62" i="5"/>
  <c r="AR62" i="5"/>
  <c r="AS62" i="5"/>
  <c r="AT62" i="5"/>
  <c r="AU62" i="5"/>
  <c r="AV62" i="5"/>
  <c r="AW62" i="5"/>
  <c r="AX62" i="5"/>
  <c r="AY62" i="5"/>
  <c r="AZ62" i="5"/>
  <c r="BA62" i="5"/>
  <c r="BB62" i="5"/>
  <c r="BC62" i="5"/>
  <c r="BD62" i="5"/>
  <c r="BE62" i="5"/>
  <c r="BF62" i="5"/>
  <c r="BG62" i="5"/>
  <c r="BH62" i="5"/>
  <c r="BI62" i="5"/>
  <c r="BJ62" i="5"/>
  <c r="BK62" i="5"/>
  <c r="BL62" i="5"/>
  <c r="BM62" i="5"/>
  <c r="BN62" i="5"/>
  <c r="BO62" i="5"/>
  <c r="BP62" i="5"/>
  <c r="BQ62" i="5"/>
  <c r="BR62" i="5"/>
  <c r="BS62" i="5"/>
  <c r="BT62" i="5"/>
  <c r="BU62" i="5"/>
  <c r="BV62" i="5"/>
  <c r="BW62" i="5"/>
  <c r="B63" i="5"/>
  <c r="C63" i="5"/>
  <c r="D63" i="5"/>
  <c r="E63" i="5"/>
  <c r="F63" i="5"/>
  <c r="G63" i="5"/>
  <c r="H63" i="5"/>
  <c r="I63" i="5"/>
  <c r="L63" i="5"/>
  <c r="M63" i="5"/>
  <c r="N63" i="5"/>
  <c r="O63" i="5"/>
  <c r="P63" i="5"/>
  <c r="Q63" i="5"/>
  <c r="R63" i="5"/>
  <c r="S63" i="5"/>
  <c r="T63" i="5"/>
  <c r="U63" i="5"/>
  <c r="V63" i="5"/>
  <c r="W63" i="5"/>
  <c r="X63" i="5"/>
  <c r="Y63" i="5"/>
  <c r="Z63" i="5"/>
  <c r="AA63" i="5"/>
  <c r="AB63" i="5"/>
  <c r="AC63" i="5"/>
  <c r="AD63" i="5"/>
  <c r="AE63" i="5"/>
  <c r="AF63" i="5"/>
  <c r="AG63" i="5"/>
  <c r="AH63" i="5"/>
  <c r="AI63" i="5"/>
  <c r="AJ63" i="5"/>
  <c r="AK63" i="5"/>
  <c r="AL63" i="5"/>
  <c r="AM63" i="5"/>
  <c r="AN63" i="5"/>
  <c r="AO63" i="5"/>
  <c r="AP63" i="5"/>
  <c r="AQ63" i="5"/>
  <c r="AR63" i="5"/>
  <c r="AS63" i="5"/>
  <c r="AT63" i="5"/>
  <c r="AU63" i="5"/>
  <c r="AV63" i="5"/>
  <c r="AW63" i="5"/>
  <c r="AX63" i="5"/>
  <c r="AY63" i="5"/>
  <c r="AZ63" i="5"/>
  <c r="BA63" i="5"/>
  <c r="BB63" i="5"/>
  <c r="BC63" i="5"/>
  <c r="BD63" i="5"/>
  <c r="BE63" i="5"/>
  <c r="BF63" i="5"/>
  <c r="BG63" i="5"/>
  <c r="BH63" i="5"/>
  <c r="BI63" i="5"/>
  <c r="BJ63" i="5"/>
  <c r="BK63" i="5"/>
  <c r="BL63" i="5"/>
  <c r="BM63" i="5"/>
  <c r="BN63" i="5"/>
  <c r="BO63" i="5"/>
  <c r="BP63" i="5"/>
  <c r="BQ63" i="5"/>
  <c r="BR63" i="5"/>
  <c r="BS63" i="5"/>
  <c r="BT63" i="5"/>
  <c r="BU63" i="5"/>
  <c r="BV63" i="5"/>
  <c r="BW63" i="5"/>
  <c r="B64" i="5"/>
  <c r="C64" i="5"/>
  <c r="D64" i="5"/>
  <c r="E64" i="5"/>
  <c r="F64" i="5"/>
  <c r="G64" i="5"/>
  <c r="H64" i="5"/>
  <c r="I64" i="5"/>
  <c r="L64" i="5"/>
  <c r="M64" i="5"/>
  <c r="N64" i="5"/>
  <c r="O64" i="5"/>
  <c r="P64" i="5"/>
  <c r="Q64" i="5"/>
  <c r="R64" i="5"/>
  <c r="S64" i="5"/>
  <c r="T64" i="5"/>
  <c r="U64" i="5"/>
  <c r="V64" i="5"/>
  <c r="W64" i="5"/>
  <c r="X64" i="5"/>
  <c r="Y64" i="5"/>
  <c r="Z64" i="5"/>
  <c r="AA64" i="5"/>
  <c r="AB64" i="5"/>
  <c r="AC64" i="5"/>
  <c r="AD64" i="5"/>
  <c r="AE64" i="5"/>
  <c r="AF64" i="5"/>
  <c r="AG64" i="5"/>
  <c r="AH64" i="5"/>
  <c r="AI64" i="5"/>
  <c r="AJ64" i="5"/>
  <c r="AK64" i="5"/>
  <c r="AL64" i="5"/>
  <c r="AM64" i="5"/>
  <c r="AN64" i="5"/>
  <c r="AO64" i="5"/>
  <c r="AP64" i="5"/>
  <c r="AQ64" i="5"/>
  <c r="AR64" i="5"/>
  <c r="AS64" i="5"/>
  <c r="AT64" i="5"/>
  <c r="AU64" i="5"/>
  <c r="AV64" i="5"/>
  <c r="AW64" i="5"/>
  <c r="AX64" i="5"/>
  <c r="AY64" i="5"/>
  <c r="AZ64" i="5"/>
  <c r="BA64" i="5"/>
  <c r="BB64" i="5"/>
  <c r="BC64" i="5"/>
  <c r="BD64" i="5"/>
  <c r="BE64" i="5"/>
  <c r="BF64" i="5"/>
  <c r="BG64" i="5"/>
  <c r="BH64" i="5"/>
  <c r="BI64" i="5"/>
  <c r="BJ64" i="5"/>
  <c r="BK64" i="5"/>
  <c r="BL64" i="5"/>
  <c r="BM64" i="5"/>
  <c r="BN64" i="5"/>
  <c r="BO64" i="5"/>
  <c r="BP64" i="5"/>
  <c r="BQ64" i="5"/>
  <c r="BR64" i="5"/>
  <c r="BS64" i="5"/>
  <c r="BT64" i="5"/>
  <c r="BU64" i="5"/>
  <c r="BV64" i="5"/>
  <c r="BW64" i="5"/>
  <c r="B65" i="5"/>
  <c r="C65" i="5"/>
  <c r="D65" i="5"/>
  <c r="E65" i="5"/>
  <c r="F65" i="5"/>
  <c r="G65" i="5"/>
  <c r="H65" i="5"/>
  <c r="I65" i="5"/>
  <c r="L65" i="5"/>
  <c r="M65" i="5"/>
  <c r="N65" i="5"/>
  <c r="O65" i="5"/>
  <c r="P65" i="5"/>
  <c r="Q65" i="5"/>
  <c r="R65" i="5"/>
  <c r="S65" i="5"/>
  <c r="T65" i="5"/>
  <c r="U65" i="5"/>
  <c r="V65" i="5"/>
  <c r="W65" i="5"/>
  <c r="X65" i="5"/>
  <c r="Y65" i="5"/>
  <c r="Z65" i="5"/>
  <c r="AA65" i="5"/>
  <c r="AB65" i="5"/>
  <c r="AC65" i="5"/>
  <c r="AD65" i="5"/>
  <c r="AE65" i="5"/>
  <c r="AF65" i="5"/>
  <c r="AG65" i="5"/>
  <c r="AH65" i="5"/>
  <c r="AI65" i="5"/>
  <c r="AJ65" i="5"/>
  <c r="AK65" i="5"/>
  <c r="AL65" i="5"/>
  <c r="AM65" i="5"/>
  <c r="AN65" i="5"/>
  <c r="AO65" i="5"/>
  <c r="AP65" i="5"/>
  <c r="AQ65" i="5"/>
  <c r="AR65" i="5"/>
  <c r="AS65" i="5"/>
  <c r="AT65" i="5"/>
  <c r="AU65" i="5"/>
  <c r="AV65" i="5"/>
  <c r="AW65" i="5"/>
  <c r="AX65" i="5"/>
  <c r="AY65" i="5"/>
  <c r="AZ65" i="5"/>
  <c r="BA65" i="5"/>
  <c r="BB65" i="5"/>
  <c r="BC65" i="5"/>
  <c r="BD65" i="5"/>
  <c r="BE65" i="5"/>
  <c r="BF65" i="5"/>
  <c r="BG65" i="5"/>
  <c r="BH65" i="5"/>
  <c r="BI65" i="5"/>
  <c r="BJ65" i="5"/>
  <c r="BK65" i="5"/>
  <c r="BL65" i="5"/>
  <c r="BM65" i="5"/>
  <c r="BN65" i="5"/>
  <c r="BO65" i="5"/>
  <c r="BP65" i="5"/>
  <c r="BQ65" i="5"/>
  <c r="BR65" i="5"/>
  <c r="BS65" i="5"/>
  <c r="BT65" i="5"/>
  <c r="BU65" i="5"/>
  <c r="BV65" i="5"/>
  <c r="BW65" i="5"/>
  <c r="B66" i="5"/>
  <c r="C66" i="5"/>
  <c r="D66" i="5"/>
  <c r="E66" i="5"/>
  <c r="F66" i="5"/>
  <c r="G66" i="5"/>
  <c r="H66" i="5"/>
  <c r="I66" i="5"/>
  <c r="J66" i="5"/>
  <c r="L66" i="5"/>
  <c r="M66" i="5"/>
  <c r="N66" i="5"/>
  <c r="O66" i="5"/>
  <c r="P66" i="5"/>
  <c r="Q66" i="5"/>
  <c r="R66" i="5"/>
  <c r="S66" i="5"/>
  <c r="T66" i="5"/>
  <c r="U66" i="5"/>
  <c r="V66" i="5"/>
  <c r="W66" i="5"/>
  <c r="X66" i="5"/>
  <c r="Y66" i="5"/>
  <c r="Z66" i="5"/>
  <c r="AA66" i="5"/>
  <c r="AB66" i="5"/>
  <c r="AC66" i="5"/>
  <c r="AD66" i="5"/>
  <c r="AE66" i="5"/>
  <c r="AF66" i="5"/>
  <c r="AG66" i="5"/>
  <c r="AH66" i="5"/>
  <c r="AI66" i="5"/>
  <c r="AJ66" i="5"/>
  <c r="AK66" i="5"/>
  <c r="AL66" i="5"/>
  <c r="AM66" i="5"/>
  <c r="AN66" i="5"/>
  <c r="AO66" i="5"/>
  <c r="AP66" i="5"/>
  <c r="AQ66" i="5"/>
  <c r="AR66" i="5"/>
  <c r="AS66" i="5"/>
  <c r="AT66" i="5"/>
  <c r="AU66" i="5"/>
  <c r="AV66" i="5"/>
  <c r="AW66" i="5"/>
  <c r="AX66" i="5"/>
  <c r="AY66" i="5"/>
  <c r="AZ66" i="5"/>
  <c r="BA66" i="5"/>
  <c r="BB66" i="5"/>
  <c r="BC66" i="5"/>
  <c r="BD66" i="5"/>
  <c r="BE66" i="5"/>
  <c r="BF66" i="5"/>
  <c r="BG66" i="5"/>
  <c r="BH66" i="5"/>
  <c r="BI66" i="5"/>
  <c r="BJ66" i="5"/>
  <c r="BK66" i="5"/>
  <c r="BL66" i="5"/>
  <c r="BM66" i="5"/>
  <c r="BN66" i="5"/>
  <c r="BO66" i="5"/>
  <c r="BP66" i="5"/>
  <c r="BQ66" i="5"/>
  <c r="BR66" i="5"/>
  <c r="BS66" i="5"/>
  <c r="BT66" i="5"/>
  <c r="BU66" i="5"/>
  <c r="BV66" i="5"/>
  <c r="BW66" i="5"/>
  <c r="B67" i="5"/>
  <c r="C67" i="5"/>
  <c r="D67" i="5"/>
  <c r="E67" i="5"/>
  <c r="F67" i="5"/>
  <c r="G67" i="5"/>
  <c r="H67" i="5"/>
  <c r="I67" i="5"/>
  <c r="J67" i="5"/>
  <c r="L67" i="5"/>
  <c r="M67" i="5"/>
  <c r="N67" i="5"/>
  <c r="O67" i="5"/>
  <c r="P67" i="5"/>
  <c r="Q67" i="5"/>
  <c r="R67" i="5"/>
  <c r="S67" i="5"/>
  <c r="T67" i="5"/>
  <c r="U67" i="5"/>
  <c r="V67" i="5"/>
  <c r="W67" i="5"/>
  <c r="X67" i="5"/>
  <c r="Y67" i="5"/>
  <c r="Z67" i="5"/>
  <c r="AA67" i="5"/>
  <c r="AB67" i="5"/>
  <c r="AC67" i="5"/>
  <c r="AD67" i="5"/>
  <c r="AE67" i="5"/>
  <c r="AF67" i="5"/>
  <c r="AG67" i="5"/>
  <c r="AH67" i="5"/>
  <c r="AI67" i="5"/>
  <c r="AJ67" i="5"/>
  <c r="AK67" i="5"/>
  <c r="AL67" i="5"/>
  <c r="AM67" i="5"/>
  <c r="AN67" i="5"/>
  <c r="AO67" i="5"/>
  <c r="AP67" i="5"/>
  <c r="AQ67" i="5"/>
  <c r="AR67" i="5"/>
  <c r="AS67" i="5"/>
  <c r="AT67" i="5"/>
  <c r="AU67" i="5"/>
  <c r="AV67" i="5"/>
  <c r="AW67" i="5"/>
  <c r="AX67" i="5"/>
  <c r="AY67" i="5"/>
  <c r="AZ67" i="5"/>
  <c r="BA67" i="5"/>
  <c r="BB67" i="5"/>
  <c r="BC67" i="5"/>
  <c r="BD67" i="5"/>
  <c r="BE67" i="5"/>
  <c r="BF67" i="5"/>
  <c r="BG67" i="5"/>
  <c r="BH67" i="5"/>
  <c r="BI67" i="5"/>
  <c r="BJ67" i="5"/>
  <c r="BK67" i="5"/>
  <c r="BL67" i="5"/>
  <c r="BM67" i="5"/>
  <c r="BN67" i="5"/>
  <c r="BO67" i="5"/>
  <c r="BP67" i="5"/>
  <c r="BQ67" i="5"/>
  <c r="BR67" i="5"/>
  <c r="BS67" i="5"/>
  <c r="BT67" i="5"/>
  <c r="BU67" i="5"/>
  <c r="BV67" i="5"/>
  <c r="BW67" i="5"/>
  <c r="B68" i="5"/>
  <c r="C68" i="5"/>
  <c r="D68" i="5"/>
  <c r="E68" i="5"/>
  <c r="F68" i="5"/>
  <c r="G68" i="5"/>
  <c r="H68" i="5"/>
  <c r="I68" i="5"/>
  <c r="J68" i="5"/>
  <c r="L68" i="5"/>
  <c r="M68" i="5"/>
  <c r="N68" i="5"/>
  <c r="O68" i="5"/>
  <c r="P68" i="5"/>
  <c r="Q68" i="5"/>
  <c r="R68" i="5"/>
  <c r="S68" i="5"/>
  <c r="T68" i="5"/>
  <c r="U68" i="5"/>
  <c r="V68" i="5"/>
  <c r="W68" i="5"/>
  <c r="X68" i="5"/>
  <c r="Y68" i="5"/>
  <c r="Z68" i="5"/>
  <c r="AA68" i="5"/>
  <c r="AB68" i="5"/>
  <c r="AC68" i="5"/>
  <c r="AD68" i="5"/>
  <c r="AE68" i="5"/>
  <c r="AF68" i="5"/>
  <c r="AG68" i="5"/>
  <c r="AH68" i="5"/>
  <c r="AI68" i="5"/>
  <c r="AJ68" i="5"/>
  <c r="AK68" i="5"/>
  <c r="AL68" i="5"/>
  <c r="AM68" i="5"/>
  <c r="AN68" i="5"/>
  <c r="AO68" i="5"/>
  <c r="AP68" i="5"/>
  <c r="AQ68" i="5"/>
  <c r="AR68" i="5"/>
  <c r="AS68" i="5"/>
  <c r="AT68" i="5"/>
  <c r="AU68" i="5"/>
  <c r="AV68" i="5"/>
  <c r="AW68" i="5"/>
  <c r="AX68" i="5"/>
  <c r="AY68" i="5"/>
  <c r="AZ68" i="5"/>
  <c r="BA68" i="5"/>
  <c r="BB68" i="5"/>
  <c r="BC68" i="5"/>
  <c r="BD68" i="5"/>
  <c r="BE68" i="5"/>
  <c r="BF68" i="5"/>
  <c r="BG68" i="5"/>
  <c r="BH68" i="5"/>
  <c r="BI68" i="5"/>
  <c r="BJ68" i="5"/>
  <c r="BK68" i="5"/>
  <c r="BL68" i="5"/>
  <c r="BM68" i="5"/>
  <c r="BN68" i="5"/>
  <c r="BO68" i="5"/>
  <c r="BP68" i="5"/>
  <c r="BQ68" i="5"/>
  <c r="BR68" i="5"/>
  <c r="BS68" i="5"/>
  <c r="BT68" i="5"/>
  <c r="BU68" i="5"/>
  <c r="BV68" i="5"/>
  <c r="BW68" i="5"/>
  <c r="B69" i="5"/>
  <c r="C69" i="5"/>
  <c r="D69" i="5"/>
  <c r="E69" i="5"/>
  <c r="F69" i="5"/>
  <c r="G69" i="5"/>
  <c r="H69" i="5"/>
  <c r="I69" i="5"/>
  <c r="J69" i="5"/>
  <c r="L69" i="5"/>
  <c r="M69" i="5"/>
  <c r="N69" i="5"/>
  <c r="O69" i="5"/>
  <c r="P69" i="5"/>
  <c r="Q69" i="5"/>
  <c r="R69" i="5"/>
  <c r="S69" i="5"/>
  <c r="T69" i="5"/>
  <c r="U69" i="5"/>
  <c r="V69" i="5"/>
  <c r="W69" i="5"/>
  <c r="X69" i="5"/>
  <c r="Y69" i="5"/>
  <c r="Z69" i="5"/>
  <c r="AA69" i="5"/>
  <c r="AB69" i="5"/>
  <c r="AC69" i="5"/>
  <c r="AD69" i="5"/>
  <c r="AE69" i="5"/>
  <c r="AF69" i="5"/>
  <c r="AG69" i="5"/>
  <c r="AH69" i="5"/>
  <c r="AI69" i="5"/>
  <c r="AJ69" i="5"/>
  <c r="AK69" i="5"/>
  <c r="AL69" i="5"/>
  <c r="AM69" i="5"/>
  <c r="AN69" i="5"/>
  <c r="AO69" i="5"/>
  <c r="AP69" i="5"/>
  <c r="AQ69" i="5"/>
  <c r="AR69" i="5"/>
  <c r="AS69" i="5"/>
  <c r="AT69" i="5"/>
  <c r="AU69" i="5"/>
  <c r="AV69" i="5"/>
  <c r="AW69" i="5"/>
  <c r="AX69" i="5"/>
  <c r="AY69" i="5"/>
  <c r="AZ69" i="5"/>
  <c r="BA69" i="5"/>
  <c r="BB69" i="5"/>
  <c r="BC69" i="5"/>
  <c r="BD69" i="5"/>
  <c r="BE69" i="5"/>
  <c r="BF69" i="5"/>
  <c r="BG69" i="5"/>
  <c r="BH69" i="5"/>
  <c r="BI69" i="5"/>
  <c r="BJ69" i="5"/>
  <c r="BK69" i="5"/>
  <c r="BL69" i="5"/>
  <c r="BM69" i="5"/>
  <c r="BN69" i="5"/>
  <c r="BO69" i="5"/>
  <c r="BP69" i="5"/>
  <c r="BQ69" i="5"/>
  <c r="BR69" i="5"/>
  <c r="BS69" i="5"/>
  <c r="BT69" i="5"/>
  <c r="BU69" i="5"/>
  <c r="BV69" i="5"/>
  <c r="BW69" i="5"/>
  <c r="B70" i="5"/>
  <c r="C70" i="5"/>
  <c r="D70" i="5"/>
  <c r="E70" i="5"/>
  <c r="F70" i="5"/>
  <c r="G70" i="5"/>
  <c r="H70" i="5"/>
  <c r="I70" i="5"/>
  <c r="J70" i="5"/>
  <c r="L70" i="5"/>
  <c r="M70" i="5"/>
  <c r="N70" i="5"/>
  <c r="O70" i="5"/>
  <c r="P70" i="5"/>
  <c r="Q70" i="5"/>
  <c r="R70" i="5"/>
  <c r="S70" i="5"/>
  <c r="T70" i="5"/>
  <c r="U70" i="5"/>
  <c r="V70" i="5"/>
  <c r="W70" i="5"/>
  <c r="X70" i="5"/>
  <c r="Y70" i="5"/>
  <c r="Z70" i="5"/>
  <c r="AA70" i="5"/>
  <c r="AB70" i="5"/>
  <c r="AC70" i="5"/>
  <c r="AD70" i="5"/>
  <c r="AE70" i="5"/>
  <c r="AF70" i="5"/>
  <c r="AG70" i="5"/>
  <c r="AH70" i="5"/>
  <c r="AI70" i="5"/>
  <c r="AJ70" i="5"/>
  <c r="AK70" i="5"/>
  <c r="AL70" i="5"/>
  <c r="AM70" i="5"/>
  <c r="AN70" i="5"/>
  <c r="AO70" i="5"/>
  <c r="AP70" i="5"/>
  <c r="AQ70" i="5"/>
  <c r="AR70" i="5"/>
  <c r="AS70" i="5"/>
  <c r="AT70" i="5"/>
  <c r="AU70" i="5"/>
  <c r="AV70" i="5"/>
  <c r="AW70" i="5"/>
  <c r="AX70" i="5"/>
  <c r="AY70" i="5"/>
  <c r="AZ70" i="5"/>
  <c r="BA70" i="5"/>
  <c r="BB70" i="5"/>
  <c r="BC70" i="5"/>
  <c r="BD70" i="5"/>
  <c r="BE70" i="5"/>
  <c r="BF70" i="5"/>
  <c r="BG70" i="5"/>
  <c r="BH70" i="5"/>
  <c r="BI70" i="5"/>
  <c r="BJ70" i="5"/>
  <c r="BK70" i="5"/>
  <c r="BL70" i="5"/>
  <c r="BM70" i="5"/>
  <c r="BN70" i="5"/>
  <c r="BO70" i="5"/>
  <c r="BP70" i="5"/>
  <c r="BQ70" i="5"/>
  <c r="BR70" i="5"/>
  <c r="BS70" i="5"/>
  <c r="BT70" i="5"/>
  <c r="BU70" i="5"/>
  <c r="BV70" i="5"/>
  <c r="BW70" i="5"/>
  <c r="B71" i="5"/>
  <c r="C71" i="5"/>
  <c r="D71" i="5"/>
  <c r="E71" i="5"/>
  <c r="F71" i="5"/>
  <c r="G71" i="5"/>
  <c r="H71" i="5"/>
  <c r="I71" i="5"/>
  <c r="J71" i="5"/>
  <c r="L71" i="5"/>
  <c r="M71" i="5"/>
  <c r="N71" i="5"/>
  <c r="O71" i="5"/>
  <c r="P71" i="5"/>
  <c r="Q71" i="5"/>
  <c r="R71" i="5"/>
  <c r="S71" i="5"/>
  <c r="T71" i="5"/>
  <c r="U71" i="5"/>
  <c r="V71" i="5"/>
  <c r="W71" i="5"/>
  <c r="X71" i="5"/>
  <c r="Y71" i="5"/>
  <c r="Z71" i="5"/>
  <c r="AA71" i="5"/>
  <c r="AB71" i="5"/>
  <c r="AC71" i="5"/>
  <c r="AD71" i="5"/>
  <c r="AE71" i="5"/>
  <c r="AF71" i="5"/>
  <c r="AG71" i="5"/>
  <c r="AH71" i="5"/>
  <c r="AI71" i="5"/>
  <c r="AJ71" i="5"/>
  <c r="AK71" i="5"/>
  <c r="AL71" i="5"/>
  <c r="AM71" i="5"/>
  <c r="AN71" i="5"/>
  <c r="AO71" i="5"/>
  <c r="AP71" i="5"/>
  <c r="AQ71" i="5"/>
  <c r="AR71" i="5"/>
  <c r="AS71" i="5"/>
  <c r="AT71" i="5"/>
  <c r="AU71" i="5"/>
  <c r="AV71" i="5"/>
  <c r="AW71" i="5"/>
  <c r="AX71" i="5"/>
  <c r="AY71" i="5"/>
  <c r="AZ71" i="5"/>
  <c r="BA71" i="5"/>
  <c r="BB71" i="5"/>
  <c r="BC71" i="5"/>
  <c r="BD71" i="5"/>
  <c r="BE71" i="5"/>
  <c r="BF71" i="5"/>
  <c r="BG71" i="5"/>
  <c r="BH71" i="5"/>
  <c r="BI71" i="5"/>
  <c r="BJ71" i="5"/>
  <c r="BK71" i="5"/>
  <c r="BL71" i="5"/>
  <c r="BM71" i="5"/>
  <c r="BN71" i="5"/>
  <c r="BO71" i="5"/>
  <c r="BP71" i="5"/>
  <c r="BQ71" i="5"/>
  <c r="BR71" i="5"/>
  <c r="BS71" i="5"/>
  <c r="BT71" i="5"/>
  <c r="BU71" i="5"/>
  <c r="BV71" i="5"/>
  <c r="BW71" i="5"/>
  <c r="B72" i="5"/>
  <c r="C72" i="5"/>
  <c r="D72" i="5"/>
  <c r="E72" i="5"/>
  <c r="F72" i="5"/>
  <c r="G72" i="5"/>
  <c r="H72" i="5"/>
  <c r="I72" i="5"/>
  <c r="J72" i="5"/>
  <c r="L72" i="5"/>
  <c r="M72" i="5"/>
  <c r="N72" i="5"/>
  <c r="O72" i="5"/>
  <c r="P72" i="5"/>
  <c r="Q72" i="5"/>
  <c r="R72" i="5"/>
  <c r="S72" i="5"/>
  <c r="T72" i="5"/>
  <c r="U72" i="5"/>
  <c r="V72" i="5"/>
  <c r="W72" i="5"/>
  <c r="X72" i="5"/>
  <c r="Y72" i="5"/>
  <c r="Z72" i="5"/>
  <c r="AA72" i="5"/>
  <c r="AB72" i="5"/>
  <c r="AC72" i="5"/>
  <c r="AD72" i="5"/>
  <c r="AE72" i="5"/>
  <c r="AF72" i="5"/>
  <c r="AG72" i="5"/>
  <c r="AH72" i="5"/>
  <c r="AI72" i="5"/>
  <c r="AJ72" i="5"/>
  <c r="AK72" i="5"/>
  <c r="AL72" i="5"/>
  <c r="AM72" i="5"/>
  <c r="AN72" i="5"/>
  <c r="AO72" i="5"/>
  <c r="AP72" i="5"/>
  <c r="AQ72" i="5"/>
  <c r="AR72" i="5"/>
  <c r="AS72" i="5"/>
  <c r="AT72" i="5"/>
  <c r="AU72" i="5"/>
  <c r="AV72" i="5"/>
  <c r="AW72" i="5"/>
  <c r="AX72" i="5"/>
  <c r="AY72" i="5"/>
  <c r="AZ72" i="5"/>
  <c r="BA72" i="5"/>
  <c r="BB72" i="5"/>
  <c r="BC72" i="5"/>
  <c r="BD72" i="5"/>
  <c r="BE72" i="5"/>
  <c r="BF72" i="5"/>
  <c r="BG72" i="5"/>
  <c r="BH72" i="5"/>
  <c r="BI72" i="5"/>
  <c r="BJ72" i="5"/>
  <c r="BK72" i="5"/>
  <c r="BL72" i="5"/>
  <c r="BM72" i="5"/>
  <c r="BN72" i="5"/>
  <c r="BO72" i="5"/>
  <c r="BP72" i="5"/>
  <c r="BQ72" i="5"/>
  <c r="BR72" i="5"/>
  <c r="BS72" i="5"/>
  <c r="BT72" i="5"/>
  <c r="BU72" i="5"/>
  <c r="BV72" i="5"/>
  <c r="BW72" i="5"/>
  <c r="B73" i="5"/>
  <c r="C73" i="5"/>
  <c r="D73" i="5"/>
  <c r="E73" i="5"/>
  <c r="F73" i="5"/>
  <c r="G73" i="5"/>
  <c r="H73" i="5"/>
  <c r="I73" i="5"/>
  <c r="J73" i="5"/>
  <c r="L73" i="5"/>
  <c r="M73" i="5"/>
  <c r="N73" i="5"/>
  <c r="O73" i="5"/>
  <c r="P73" i="5"/>
  <c r="Q73" i="5"/>
  <c r="R73" i="5"/>
  <c r="S73" i="5"/>
  <c r="T73" i="5"/>
  <c r="U73" i="5"/>
  <c r="V73" i="5"/>
  <c r="W73" i="5"/>
  <c r="X73" i="5"/>
  <c r="Y73" i="5"/>
  <c r="Z73" i="5"/>
  <c r="AA73" i="5"/>
  <c r="AB73" i="5"/>
  <c r="AC73" i="5"/>
  <c r="AD73" i="5"/>
  <c r="AE73" i="5"/>
  <c r="AF73" i="5"/>
  <c r="AG73" i="5"/>
  <c r="AH73" i="5"/>
  <c r="AI73" i="5"/>
  <c r="AJ73" i="5"/>
  <c r="AK73" i="5"/>
  <c r="AL73" i="5"/>
  <c r="AM73" i="5"/>
  <c r="AN73" i="5"/>
  <c r="AO73" i="5"/>
  <c r="AP73" i="5"/>
  <c r="AQ73" i="5"/>
  <c r="AR73" i="5"/>
  <c r="AS73" i="5"/>
  <c r="AT73" i="5"/>
  <c r="AU73" i="5"/>
  <c r="AV73" i="5"/>
  <c r="AW73" i="5"/>
  <c r="AX73" i="5"/>
  <c r="AY73" i="5"/>
  <c r="AZ73" i="5"/>
  <c r="BA73" i="5"/>
  <c r="BB73" i="5"/>
  <c r="BC73" i="5"/>
  <c r="BD73" i="5"/>
  <c r="BE73" i="5"/>
  <c r="BF73" i="5"/>
  <c r="BG73" i="5"/>
  <c r="BH73" i="5"/>
  <c r="BI73" i="5"/>
  <c r="BJ73" i="5"/>
  <c r="BK73" i="5"/>
  <c r="BL73" i="5"/>
  <c r="BM73" i="5"/>
  <c r="BN73" i="5"/>
  <c r="BO73" i="5"/>
  <c r="BP73" i="5"/>
  <c r="BQ73" i="5"/>
  <c r="BR73" i="5"/>
  <c r="BS73" i="5"/>
  <c r="BT73" i="5"/>
  <c r="BU73" i="5"/>
  <c r="BV73" i="5"/>
  <c r="BW73" i="5"/>
  <c r="N76" i="5"/>
  <c r="AJ76" i="5"/>
  <c r="AR76" i="5"/>
  <c r="AV76" i="5"/>
  <c r="AZ76" i="5"/>
  <c r="BD76" i="5"/>
  <c r="BH76" i="5"/>
  <c r="BL76" i="5"/>
  <c r="BP76" i="5"/>
  <c r="BT76" i="5"/>
  <c r="B77" i="5"/>
  <c r="B5" i="7"/>
  <c r="I95" i="7"/>
  <c r="J95" i="7"/>
  <c r="I96" i="7"/>
  <c r="J96" i="7"/>
  <c r="I97" i="7"/>
  <c r="J97" i="7"/>
  <c r="I98" i="7"/>
  <c r="J98" i="7"/>
  <c r="I99" i="7"/>
  <c r="J99" i="7"/>
  <c r="I100" i="7"/>
  <c r="J100" i="7"/>
  <c r="I101" i="7"/>
  <c r="J101" i="7"/>
  <c r="I102" i="7"/>
  <c r="J102" i="7"/>
  <c r="K103" i="7"/>
  <c r="L103" i="7"/>
  <c r="K104" i="7"/>
  <c r="L104" i="7"/>
  <c r="K105" i="7"/>
  <c r="L105" i="7"/>
  <c r="K106" i="7"/>
  <c r="L106" i="7"/>
  <c r="K107" i="7"/>
  <c r="L107" i="7"/>
  <c r="K108" i="7"/>
  <c r="L108" i="7"/>
  <c r="K109" i="7"/>
  <c r="L109" i="7"/>
  <c r="J6" i="8"/>
  <c r="AJ6" i="8"/>
  <c r="J7" i="8"/>
  <c r="AJ7" i="8"/>
  <c r="J8" i="8"/>
  <c r="AJ8" i="8"/>
  <c r="J9" i="8"/>
  <c r="AJ9" i="8"/>
  <c r="J10" i="8"/>
  <c r="AJ10" i="8"/>
  <c r="J11" i="8"/>
  <c r="AJ11" i="8"/>
  <c r="H15" i="8"/>
  <c r="N15" i="8"/>
  <c r="AH15" i="8"/>
  <c r="AN15" i="8"/>
  <c r="H16" i="8"/>
  <c r="N16" i="8"/>
  <c r="AH16" i="8"/>
  <c r="AN16" i="8"/>
  <c r="H17" i="8"/>
  <c r="N17" i="8"/>
  <c r="AH17" i="8"/>
  <c r="AN17" i="8"/>
  <c r="H18" i="8"/>
  <c r="N18" i="8"/>
  <c r="AH18" i="8"/>
  <c r="AN18" i="8"/>
  <c r="E20" i="8"/>
  <c r="G20" i="8"/>
  <c r="AE20" i="8"/>
  <c r="D21" i="8"/>
  <c r="E21" i="8"/>
  <c r="F21" i="8"/>
  <c r="G21" i="8"/>
  <c r="AD21" i="8"/>
  <c r="AE21" i="8"/>
  <c r="AF21" i="8"/>
  <c r="AG21" i="8"/>
  <c r="B22" i="8"/>
  <c r="D20" i="8" s="1"/>
  <c r="AB22" i="8"/>
  <c r="AD20" i="8" s="1"/>
  <c r="B23" i="8"/>
  <c r="AB23" i="8"/>
  <c r="B24" i="8"/>
  <c r="F20" i="8" s="1"/>
  <c r="AB24" i="8"/>
  <c r="AF20" i="8" s="1"/>
  <c r="B25" i="8"/>
  <c r="AB25" i="8"/>
  <c r="AG20" i="8" s="1"/>
  <c r="D27" i="8"/>
  <c r="E27" i="8"/>
  <c r="F27" i="8"/>
  <c r="G27" i="8"/>
  <c r="AD27" i="8"/>
  <c r="AE27" i="8"/>
  <c r="AF27" i="8"/>
  <c r="AG27" i="8"/>
  <c r="B28" i="8"/>
  <c r="AB28" i="8"/>
  <c r="B29" i="8"/>
  <c r="AB29" i="8"/>
  <c r="B30" i="8"/>
  <c r="AB30" i="8"/>
  <c r="B31" i="8"/>
  <c r="AB31" i="8"/>
  <c r="K41" i="8"/>
  <c r="AK41" i="8"/>
  <c r="K42" i="8"/>
  <c r="AK42" i="8"/>
  <c r="K44" i="8"/>
  <c r="AK44" i="8"/>
  <c r="K45" i="8"/>
  <c r="N45" i="8"/>
  <c r="K43" i="8" s="1"/>
  <c r="AK45" i="8"/>
  <c r="AN45" i="8"/>
  <c r="AK43" i="8" s="1"/>
  <c r="C47" i="8"/>
  <c r="C51" i="8" s="1"/>
  <c r="G57" i="8" s="1"/>
  <c r="AC47" i="8"/>
  <c r="AC51" i="8" s="1"/>
  <c r="AG57" i="8" s="1"/>
  <c r="AJ56" i="8" s="1"/>
  <c r="J56" i="8"/>
  <c r="E61" i="8"/>
  <c r="F61" i="8"/>
  <c r="AE61" i="8"/>
  <c r="AF61" i="8"/>
  <c r="A79" i="8"/>
  <c r="AA79" i="8"/>
  <c r="A80" i="8"/>
  <c r="AA80" i="8"/>
  <c r="A81" i="8"/>
  <c r="AA81" i="8"/>
  <c r="A82" i="8"/>
  <c r="AA82" i="8"/>
  <c r="J88" i="8"/>
  <c r="AJ88" i="8"/>
  <c r="J89" i="8"/>
  <c r="AJ89" i="8"/>
  <c r="J90" i="8"/>
  <c r="AJ90" i="8"/>
  <c r="J91" i="8"/>
  <c r="AJ91" i="8"/>
  <c r="J92" i="8"/>
  <c r="AJ92" i="8"/>
  <c r="J93" i="8"/>
  <c r="AJ93" i="8"/>
  <c r="H97" i="8"/>
  <c r="N97" i="8"/>
  <c r="AH97" i="8"/>
  <c r="AN97" i="8"/>
  <c r="H98" i="8"/>
  <c r="N98" i="8"/>
  <c r="AH98" i="8"/>
  <c r="AN98" i="8"/>
  <c r="H99" i="8"/>
  <c r="N99" i="8"/>
  <c r="AH99" i="8"/>
  <c r="AN99" i="8"/>
  <c r="H100" i="8"/>
  <c r="N100" i="8"/>
  <c r="AH100" i="8"/>
  <c r="AN100" i="8"/>
  <c r="E102" i="8"/>
  <c r="G102" i="8"/>
  <c r="AE102" i="8"/>
  <c r="D103" i="8"/>
  <c r="E103" i="8"/>
  <c r="F103" i="8"/>
  <c r="G103" i="8"/>
  <c r="AD103" i="8"/>
  <c r="AE103" i="8"/>
  <c r="AF103" i="8"/>
  <c r="AG103" i="8"/>
  <c r="B104" i="8"/>
  <c r="D102" i="8" s="1"/>
  <c r="AB104" i="8"/>
  <c r="AD102" i="8" s="1"/>
  <c r="B105" i="8"/>
  <c r="AB105" i="8"/>
  <c r="B106" i="8"/>
  <c r="F102" i="8" s="1"/>
  <c r="AB106" i="8"/>
  <c r="AF102" i="8" s="1"/>
  <c r="B107" i="8"/>
  <c r="AB107" i="8"/>
  <c r="AG102" i="8" s="1"/>
  <c r="D109" i="8"/>
  <c r="E109" i="8"/>
  <c r="F109" i="8"/>
  <c r="G109" i="8"/>
  <c r="AD109" i="8"/>
  <c r="AE109" i="8"/>
  <c r="AF109" i="8"/>
  <c r="AG109" i="8"/>
  <c r="B110" i="8"/>
  <c r="AB110" i="8"/>
  <c r="B111" i="8"/>
  <c r="AB111" i="8"/>
  <c r="B112" i="8"/>
  <c r="AB112" i="8"/>
  <c r="B113" i="8"/>
  <c r="AB113" i="8"/>
  <c r="K123" i="8"/>
  <c r="AK123" i="8"/>
  <c r="K124" i="8"/>
  <c r="AK124" i="8"/>
  <c r="K126" i="8"/>
  <c r="AK126" i="8"/>
  <c r="K127" i="8"/>
  <c r="N127" i="8"/>
  <c r="K125" i="8" s="1"/>
  <c r="AK127" i="8"/>
  <c r="AN127" i="8"/>
  <c r="AK125" i="8" s="1"/>
  <c r="C129" i="8"/>
  <c r="C133" i="8" s="1"/>
  <c r="G139" i="8" s="1"/>
  <c r="AC129" i="8"/>
  <c r="AC133" i="8" s="1"/>
  <c r="AG139" i="8" s="1"/>
  <c r="AJ138" i="8" s="1"/>
  <c r="J138" i="8"/>
  <c r="E143" i="8"/>
  <c r="F143" i="8"/>
  <c r="AE143" i="8"/>
  <c r="AF143" i="8"/>
  <c r="A161" i="8"/>
  <c r="AA161" i="8"/>
  <c r="A162" i="8"/>
  <c r="AA162" i="8"/>
  <c r="A163" i="8"/>
  <c r="AA163" i="8"/>
  <c r="A164" i="8"/>
  <c r="AA164" i="8"/>
  <c r="J170" i="8"/>
  <c r="AJ170" i="8"/>
  <c r="J171" i="8"/>
  <c r="AJ171" i="8"/>
  <c r="J172" i="8"/>
  <c r="AJ172" i="8"/>
  <c r="J173" i="8"/>
  <c r="AJ173" i="8"/>
  <c r="J174" i="8"/>
  <c r="AJ174" i="8"/>
  <c r="J175" i="8"/>
  <c r="AJ175" i="8"/>
  <c r="H179" i="8"/>
  <c r="N179" i="8"/>
  <c r="AH179" i="8"/>
  <c r="AN179" i="8"/>
  <c r="H180" i="8"/>
  <c r="N180" i="8"/>
  <c r="AH180" i="8"/>
  <c r="AN180" i="8"/>
  <c r="H181" i="8"/>
  <c r="N181" i="8"/>
  <c r="AH181" i="8"/>
  <c r="AN181" i="8"/>
  <c r="H182" i="8"/>
  <c r="N182" i="8"/>
  <c r="AH182" i="8"/>
  <c r="AN182" i="8"/>
  <c r="E184" i="8"/>
  <c r="G184" i="8"/>
  <c r="AE184" i="8"/>
  <c r="D185" i="8"/>
  <c r="E185" i="8"/>
  <c r="F185" i="8"/>
  <c r="G185" i="8"/>
  <c r="AD185" i="8"/>
  <c r="AE185" i="8"/>
  <c r="AF185" i="8"/>
  <c r="AG185" i="8"/>
  <c r="B186" i="8"/>
  <c r="D184" i="8" s="1"/>
  <c r="AB186" i="8"/>
  <c r="AD184" i="8" s="1"/>
  <c r="B187" i="8"/>
  <c r="AB187" i="8"/>
  <c r="B188" i="8"/>
  <c r="F184" i="8" s="1"/>
  <c r="AB188" i="8"/>
  <c r="AF184" i="8" s="1"/>
  <c r="B189" i="8"/>
  <c r="AB189" i="8"/>
  <c r="AG184" i="8" s="1"/>
  <c r="D191" i="8"/>
  <c r="E191" i="8"/>
  <c r="F191" i="8"/>
  <c r="G191" i="8"/>
  <c r="AD191" i="8"/>
  <c r="AE191" i="8"/>
  <c r="AF191" i="8"/>
  <c r="AG191" i="8"/>
  <c r="B192" i="8"/>
  <c r="AB192" i="8"/>
  <c r="B193" i="8"/>
  <c r="AB193" i="8"/>
  <c r="B194" i="8"/>
  <c r="AB194" i="8"/>
  <c r="B195" i="8"/>
  <c r="AB195" i="8"/>
  <c r="K205" i="8"/>
  <c r="AK205" i="8"/>
  <c r="K206" i="8"/>
  <c r="AK206" i="8"/>
  <c r="K208" i="8"/>
  <c r="AK208" i="8"/>
  <c r="K209" i="8"/>
  <c r="N209" i="8"/>
  <c r="K207" i="8" s="1"/>
  <c r="AK209" i="8"/>
  <c r="AN209" i="8"/>
  <c r="AK207" i="8" s="1"/>
  <c r="C211" i="8"/>
  <c r="C215" i="8" s="1"/>
  <c r="G221" i="8" s="1"/>
  <c r="AC211" i="8"/>
  <c r="AC215" i="8" s="1"/>
  <c r="AG221" i="8" s="1"/>
  <c r="AJ220" i="8" s="1"/>
  <c r="J220" i="8"/>
  <c r="E225" i="8"/>
  <c r="F225" i="8"/>
  <c r="AE225" i="8"/>
  <c r="AF225" i="8"/>
  <c r="A243" i="8"/>
  <c r="AA243" i="8"/>
  <c r="A244" i="8"/>
  <c r="AA244" i="8"/>
  <c r="A245" i="8"/>
  <c r="AA245" i="8"/>
  <c r="A246" i="8"/>
  <c r="AA246" i="8"/>
  <c r="C334" i="8"/>
  <c r="D334" i="8"/>
  <c r="E334" i="8"/>
  <c r="F334" i="8"/>
  <c r="G334" i="8"/>
  <c r="H334" i="8"/>
  <c r="I334" i="8"/>
  <c r="J334" i="8"/>
  <c r="K334" i="8"/>
  <c r="L334" i="8"/>
  <c r="M334" i="8"/>
  <c r="B362" i="8"/>
  <c r="C362" i="8"/>
  <c r="B363" i="8"/>
  <c r="C363" i="8"/>
  <c r="B364" i="8"/>
  <c r="C364" i="8"/>
  <c r="B365" i="8"/>
  <c r="C365" i="8"/>
  <c r="B366" i="8"/>
  <c r="C366" i="8"/>
  <c r="B367" i="8"/>
  <c r="C367" i="8"/>
  <c r="AB395" i="8"/>
  <c r="AB396" i="8"/>
  <c r="AC396" i="8"/>
  <c r="AB397" i="8"/>
  <c r="AB398" i="8"/>
  <c r="AC398" i="8"/>
  <c r="AB399" i="8"/>
  <c r="AB400" i="8"/>
  <c r="AC400" i="8"/>
  <c r="AB401" i="8"/>
  <c r="AB402" i="8"/>
  <c r="AC402" i="8"/>
  <c r="J6" i="9"/>
  <c r="AJ6" i="9"/>
  <c r="J7" i="9"/>
  <c r="AJ7" i="9"/>
  <c r="J8" i="9"/>
  <c r="AJ8" i="9"/>
  <c r="J9" i="9"/>
  <c r="AJ9" i="9"/>
  <c r="J10" i="9"/>
  <c r="AJ10" i="9"/>
  <c r="J11" i="9"/>
  <c r="AJ11" i="9"/>
  <c r="H15" i="9"/>
  <c r="N15" i="9"/>
  <c r="AH15" i="9"/>
  <c r="AN15" i="9"/>
  <c r="H16" i="9"/>
  <c r="N16" i="9"/>
  <c r="AH16" i="9"/>
  <c r="AN16" i="9"/>
  <c r="H17" i="9"/>
  <c r="N17" i="9"/>
  <c r="AH17" i="9"/>
  <c r="AN17" i="9"/>
  <c r="H18" i="9"/>
  <c r="N18" i="9"/>
  <c r="AH18" i="9"/>
  <c r="AN18" i="9"/>
  <c r="F20" i="9"/>
  <c r="AD20" i="9"/>
  <c r="AF20" i="9"/>
  <c r="D21" i="9"/>
  <c r="E21" i="9"/>
  <c r="F21" i="9"/>
  <c r="G21" i="9"/>
  <c r="AD21" i="9"/>
  <c r="AE21" i="9"/>
  <c r="AF21" i="9"/>
  <c r="AG21" i="9"/>
  <c r="B22" i="9"/>
  <c r="D20" i="9" s="1"/>
  <c r="AB22" i="9"/>
  <c r="B23" i="9"/>
  <c r="E20" i="9" s="1"/>
  <c r="AB23" i="9"/>
  <c r="AE20" i="9" s="1"/>
  <c r="B24" i="9"/>
  <c r="AB24" i="9"/>
  <c r="B25" i="9"/>
  <c r="G20" i="9" s="1"/>
  <c r="AB25" i="9"/>
  <c r="AG20" i="9" s="1"/>
  <c r="D27" i="9"/>
  <c r="E27" i="9"/>
  <c r="F27" i="9"/>
  <c r="G27" i="9"/>
  <c r="AD27" i="9"/>
  <c r="AE27" i="9"/>
  <c r="AF27" i="9"/>
  <c r="AG27" i="9"/>
  <c r="B28" i="9"/>
  <c r="AB28" i="9"/>
  <c r="B29" i="9"/>
  <c r="AB29" i="9"/>
  <c r="B30" i="9"/>
  <c r="AB30" i="9"/>
  <c r="B31" i="9"/>
  <c r="AB31" i="9"/>
  <c r="N45" i="9"/>
  <c r="K45" i="9" s="1"/>
  <c r="AN45" i="9"/>
  <c r="AK45" i="9" s="1"/>
  <c r="E61" i="9"/>
  <c r="F61" i="9"/>
  <c r="AE61" i="9"/>
  <c r="AF61" i="9"/>
  <c r="A79" i="9"/>
  <c r="AA79" i="9"/>
  <c r="A80" i="9"/>
  <c r="AA80" i="9"/>
  <c r="A81" i="9"/>
  <c r="B362" i="9" s="1"/>
  <c r="AA81" i="9"/>
  <c r="A82" i="9"/>
  <c r="AA82" i="9"/>
  <c r="J88" i="9"/>
  <c r="AJ88" i="9"/>
  <c r="J89" i="9"/>
  <c r="AJ89" i="9"/>
  <c r="J90" i="9"/>
  <c r="AJ90" i="9"/>
  <c r="J91" i="9"/>
  <c r="AJ91" i="9"/>
  <c r="J92" i="9"/>
  <c r="AJ92" i="9"/>
  <c r="J93" i="9"/>
  <c r="AJ93" i="9"/>
  <c r="H97" i="9"/>
  <c r="N97" i="9"/>
  <c r="AH97" i="9"/>
  <c r="AN97" i="9"/>
  <c r="H98" i="9"/>
  <c r="N98" i="9"/>
  <c r="AH98" i="9"/>
  <c r="AN98" i="9"/>
  <c r="H99" i="9"/>
  <c r="N99" i="9"/>
  <c r="AH99" i="9"/>
  <c r="AN99" i="9"/>
  <c r="H100" i="9"/>
  <c r="N100" i="9"/>
  <c r="AH100" i="9"/>
  <c r="AN100" i="9"/>
  <c r="AD102" i="9"/>
  <c r="AF102" i="9"/>
  <c r="D103" i="9"/>
  <c r="E103" i="9"/>
  <c r="F103" i="9"/>
  <c r="G103" i="9"/>
  <c r="AD103" i="9"/>
  <c r="AE103" i="9"/>
  <c r="AF103" i="9"/>
  <c r="AG103" i="9"/>
  <c r="B104" i="9"/>
  <c r="D102" i="9" s="1"/>
  <c r="AB104" i="9"/>
  <c r="B105" i="9"/>
  <c r="E102" i="9" s="1"/>
  <c r="AB105" i="9"/>
  <c r="AE102" i="9" s="1"/>
  <c r="B106" i="9"/>
  <c r="F102" i="9" s="1"/>
  <c r="AB106" i="9"/>
  <c r="B107" i="9"/>
  <c r="G102" i="9" s="1"/>
  <c r="AB107" i="9"/>
  <c r="AG102" i="9" s="1"/>
  <c r="D109" i="9"/>
  <c r="E109" i="9"/>
  <c r="F109" i="9"/>
  <c r="G109" i="9"/>
  <c r="AD109" i="9"/>
  <c r="AE109" i="9"/>
  <c r="AF109" i="9"/>
  <c r="AG109" i="9"/>
  <c r="B110" i="9"/>
  <c r="AB110" i="9"/>
  <c r="B111" i="9"/>
  <c r="AB111" i="9"/>
  <c r="B112" i="9"/>
  <c r="AB112" i="9"/>
  <c r="B113" i="9"/>
  <c r="AB113" i="9"/>
  <c r="N127" i="9"/>
  <c r="K127" i="9" s="1"/>
  <c r="AN127" i="9"/>
  <c r="AK127" i="9" s="1"/>
  <c r="E143" i="9"/>
  <c r="F143" i="9"/>
  <c r="AE143" i="9"/>
  <c r="AF143" i="9"/>
  <c r="A161" i="9"/>
  <c r="AA161" i="9"/>
  <c r="A162" i="9"/>
  <c r="AA162" i="9"/>
  <c r="A163" i="9"/>
  <c r="AA163" i="9"/>
  <c r="A164" i="9"/>
  <c r="AA164" i="9"/>
  <c r="J170" i="9"/>
  <c r="AJ170" i="9"/>
  <c r="J171" i="9"/>
  <c r="AJ171" i="9"/>
  <c r="J172" i="9"/>
  <c r="AJ172" i="9"/>
  <c r="J173" i="9"/>
  <c r="AJ173" i="9"/>
  <c r="J174" i="9"/>
  <c r="AJ174" i="9"/>
  <c r="J175" i="9"/>
  <c r="AJ175" i="9"/>
  <c r="H179" i="9"/>
  <c r="N179" i="9"/>
  <c r="AH179" i="9"/>
  <c r="AN179" i="9"/>
  <c r="H180" i="9"/>
  <c r="N180" i="9"/>
  <c r="AH180" i="9"/>
  <c r="AN180" i="9"/>
  <c r="H181" i="9"/>
  <c r="N181" i="9"/>
  <c r="AH181" i="9"/>
  <c r="AN181" i="9"/>
  <c r="H182" i="9"/>
  <c r="N182" i="9"/>
  <c r="AH182" i="9"/>
  <c r="AN182" i="9"/>
  <c r="AD184" i="9"/>
  <c r="AF184" i="9"/>
  <c r="D185" i="9"/>
  <c r="E185" i="9"/>
  <c r="F185" i="9"/>
  <c r="G185" i="9"/>
  <c r="AD185" i="9"/>
  <c r="AE185" i="9"/>
  <c r="AF185" i="9"/>
  <c r="AG185" i="9"/>
  <c r="B186" i="9"/>
  <c r="D184" i="9" s="1"/>
  <c r="AB186" i="9"/>
  <c r="B187" i="9"/>
  <c r="E184" i="9" s="1"/>
  <c r="AB187" i="9"/>
  <c r="AE184" i="9" s="1"/>
  <c r="B188" i="9"/>
  <c r="F184" i="9" s="1"/>
  <c r="AB188" i="9"/>
  <c r="B189" i="9"/>
  <c r="G184" i="9" s="1"/>
  <c r="AB189" i="9"/>
  <c r="AG184" i="9" s="1"/>
  <c r="D191" i="9"/>
  <c r="E191" i="9"/>
  <c r="F191" i="9"/>
  <c r="G191" i="9"/>
  <c r="AD191" i="9"/>
  <c r="AE191" i="9"/>
  <c r="AF191" i="9"/>
  <c r="AG191" i="9"/>
  <c r="B192" i="9"/>
  <c r="AB192" i="9"/>
  <c r="B193" i="9"/>
  <c r="AB193" i="9"/>
  <c r="B194" i="9"/>
  <c r="AB194" i="9"/>
  <c r="B195" i="9"/>
  <c r="AB195" i="9"/>
  <c r="N209" i="9"/>
  <c r="K209" i="9" s="1"/>
  <c r="AN209" i="9"/>
  <c r="AK209" i="9" s="1"/>
  <c r="E225" i="9"/>
  <c r="F225" i="9"/>
  <c r="AE225" i="9"/>
  <c r="AF225" i="9"/>
  <c r="A243" i="9"/>
  <c r="AA243" i="9"/>
  <c r="A244" i="9"/>
  <c r="AA244" i="9"/>
  <c r="A245" i="9"/>
  <c r="B366" i="9" s="1"/>
  <c r="AA245" i="9"/>
  <c r="A246" i="9"/>
  <c r="AA246" i="9"/>
  <c r="C334" i="9"/>
  <c r="D334" i="9"/>
  <c r="E334" i="9"/>
  <c r="F334" i="9"/>
  <c r="G334" i="9"/>
  <c r="H334" i="9"/>
  <c r="I334" i="9"/>
  <c r="J334" i="9"/>
  <c r="K334" i="9"/>
  <c r="L334" i="9"/>
  <c r="M334" i="9"/>
  <c r="C362" i="9"/>
  <c r="B363" i="9"/>
  <c r="C363" i="9"/>
  <c r="B364" i="9"/>
  <c r="C364" i="9"/>
  <c r="B365" i="9"/>
  <c r="C365" i="9"/>
  <c r="C366" i="9"/>
  <c r="B367" i="9"/>
  <c r="C367" i="9"/>
  <c r="AB395" i="9"/>
  <c r="AB396" i="9"/>
  <c r="AC396" i="9"/>
  <c r="AB397" i="9"/>
  <c r="AB398" i="9"/>
  <c r="AC398" i="9"/>
  <c r="AB399" i="9"/>
  <c r="AB400" i="9"/>
  <c r="AC400" i="9"/>
  <c r="AB401" i="9"/>
  <c r="AB402" i="9"/>
  <c r="AC402" i="9"/>
  <c r="N422" i="9"/>
  <c r="EO111" i="4" l="1"/>
  <c r="EU111" i="4" s="1"/>
  <c r="AQ5" i="5"/>
  <c r="CG58" i="4"/>
  <c r="CG67" i="4"/>
  <c r="DV59" i="4"/>
  <c r="EM48" i="4"/>
  <c r="CX48" i="4"/>
  <c r="CI48" i="4" s="1"/>
  <c r="EQ48" i="4" s="1"/>
  <c r="EN42" i="4"/>
  <c r="EE42" i="4"/>
  <c r="CX42" i="4"/>
  <c r="CI42" i="4" s="1"/>
  <c r="DV67" i="4"/>
  <c r="DW68" i="4"/>
  <c r="AI3" i="5"/>
  <c r="AI16" i="5" s="1"/>
  <c r="AI11" i="5" s="1"/>
  <c r="AI5" i="5"/>
  <c r="Q7" i="5"/>
  <c r="Q4" i="5"/>
  <c r="Q16" i="5" s="1"/>
  <c r="Q11" i="5" s="1"/>
  <c r="AI10" i="5"/>
  <c r="AI7" i="5"/>
  <c r="R5" i="5"/>
  <c r="F4" i="5"/>
  <c r="F16" i="5" s="1"/>
  <c r="F11" i="5" s="1"/>
  <c r="CG68" i="4"/>
  <c r="BW80" i="4"/>
  <c r="DN111" i="4" s="1"/>
  <c r="DO111" i="4" s="1"/>
  <c r="BV81" i="4"/>
  <c r="DN59" i="4" s="1"/>
  <c r="DO59" i="4" s="1"/>
  <c r="BW79" i="4"/>
  <c r="DN110" i="4" s="1"/>
  <c r="DO110" i="4" s="1"/>
  <c r="AX5" i="5"/>
  <c r="AX8" i="5"/>
  <c r="L4" i="5"/>
  <c r="L3" i="5"/>
  <c r="L16" i="5" s="1"/>
  <c r="L11" i="5" s="1"/>
  <c r="M427" i="8"/>
  <c r="DB182" i="4" s="1"/>
  <c r="M426" i="8"/>
  <c r="DB181" i="4" s="1"/>
  <c r="T422" i="8"/>
  <c r="CX155" i="4"/>
  <c r="CI155" i="4" s="1"/>
  <c r="EN155" i="4"/>
  <c r="BA4" i="5"/>
  <c r="BA16" i="5" s="1"/>
  <c r="L9" i="5"/>
  <c r="AI8" i="5"/>
  <c r="AX7" i="5"/>
  <c r="AI4" i="5"/>
  <c r="CA181" i="4"/>
  <c r="BY118" i="4" s="1"/>
  <c r="BW62" i="4"/>
  <c r="DN104" i="4" s="1"/>
  <c r="DO104" i="4" s="1"/>
  <c r="BV62" i="4"/>
  <c r="DN51" i="4" s="1"/>
  <c r="DO51" i="4" s="1"/>
  <c r="BW60" i="4"/>
  <c r="DN102" i="4" s="1"/>
  <c r="DO102" i="4" s="1"/>
  <c r="BW61" i="4"/>
  <c r="DN103" i="4" s="1"/>
  <c r="DO103" i="4" s="1"/>
  <c r="BW43" i="4"/>
  <c r="DN96" i="4" s="1"/>
  <c r="DO96" i="4" s="1"/>
  <c r="BW40" i="4"/>
  <c r="DN93" i="4" s="1"/>
  <c r="DO93" i="4" s="1"/>
  <c r="ED179" i="4"/>
  <c r="EH179" i="4"/>
  <c r="EB186" i="4"/>
  <c r="ED186" i="4" s="1"/>
  <c r="ED185" i="4"/>
  <c r="EF189" i="4"/>
  <c r="EV189" i="4"/>
  <c r="EF216" i="4"/>
  <c r="EV216" i="4"/>
  <c r="EO192" i="4"/>
  <c r="EM219" i="4"/>
  <c r="EF243" i="4"/>
  <c r="EV243" i="4"/>
  <c r="EV245" i="4"/>
  <c r="EK245" i="4"/>
  <c r="EV248" i="4"/>
  <c r="EK248" i="4"/>
  <c r="EV256" i="4"/>
  <c r="EK256" i="4"/>
  <c r="EV258" i="4"/>
  <c r="EK258" i="4"/>
  <c r="DV42" i="4"/>
  <c r="CX59" i="4"/>
  <c r="CI59" i="4" s="1"/>
  <c r="P3" i="5"/>
  <c r="P16" i="5" s="1"/>
  <c r="P11" i="5" s="1"/>
  <c r="EE59" i="4"/>
  <c r="EJ59" i="4" s="1"/>
  <c r="BT77" i="5"/>
  <c r="Q10" i="5"/>
  <c r="L7" i="5"/>
  <c r="AV5" i="5"/>
  <c r="L5" i="5"/>
  <c r="AX4" i="5"/>
  <c r="AX16" i="5" s="1"/>
  <c r="CA185" i="4"/>
  <c r="BY137" i="4" s="1"/>
  <c r="EO45" i="4"/>
  <c r="EU45" i="4" s="1"/>
  <c r="I5" i="5"/>
  <c r="CG47" i="4"/>
  <c r="DA49" i="4"/>
  <c r="CG41" i="4"/>
  <c r="CG44" i="4"/>
  <c r="CG49" i="4"/>
  <c r="CG108" i="4"/>
  <c r="CG114" i="4"/>
  <c r="CG120" i="4"/>
  <c r="CG99" i="4"/>
  <c r="DA111" i="4"/>
  <c r="DA117" i="4"/>
  <c r="DA114" i="4"/>
  <c r="CG105" i="4"/>
  <c r="CG117" i="4"/>
  <c r="DA108" i="4"/>
  <c r="DA120" i="4"/>
  <c r="EV266" i="4"/>
  <c r="BV40" i="4"/>
  <c r="DN40" i="4" s="1"/>
  <c r="DO40" i="4" s="1"/>
  <c r="CI87" i="4"/>
  <c r="CI84" i="4"/>
  <c r="CG65" i="4"/>
  <c r="CG69" i="4"/>
  <c r="CG42" i="4"/>
  <c r="DA46" i="4"/>
  <c r="DA48" i="4"/>
  <c r="DA50" i="4"/>
  <c r="CG39" i="4"/>
  <c r="CG43" i="4"/>
  <c r="CG46" i="4"/>
  <c r="CG48" i="4"/>
  <c r="EO48" i="4" s="1"/>
  <c r="CG50" i="4"/>
  <c r="DT55" i="4"/>
  <c r="DT44" i="4"/>
  <c r="G10" i="9" s="1"/>
  <c r="DV51" i="4"/>
  <c r="DW70" i="4"/>
  <c r="DW57" i="4"/>
  <c r="DV48" i="4"/>
  <c r="AG8" i="8" s="1"/>
  <c r="DV63" i="4"/>
  <c r="DV72" i="4"/>
  <c r="DW75" i="4"/>
  <c r="DW55" i="4"/>
  <c r="H91" i="8" s="1"/>
  <c r="DV52" i="4"/>
  <c r="DW54" i="4"/>
  <c r="BZ186" i="4"/>
  <c r="BX140" i="4" s="1"/>
  <c r="DS121" i="4"/>
  <c r="BZ176" i="4"/>
  <c r="BX103" i="4" s="1"/>
  <c r="EJ66" i="4"/>
  <c r="EJ48" i="4"/>
  <c r="EJ42" i="4"/>
  <c r="EJ41" i="4"/>
  <c r="CI88" i="4"/>
  <c r="CG66" i="4"/>
  <c r="CG64" i="4"/>
  <c r="CG40" i="4"/>
  <c r="CG149" i="4"/>
  <c r="DA149" i="4"/>
  <c r="DB149" i="4" s="1"/>
  <c r="DA78" i="4"/>
  <c r="DA79" i="4"/>
  <c r="DA81" i="4"/>
  <c r="DA82" i="4"/>
  <c r="CG78" i="4"/>
  <c r="CG84" i="4"/>
  <c r="DV74" i="4"/>
  <c r="DT121" i="4"/>
  <c r="EJ88" i="4"/>
  <c r="EJ86" i="4"/>
  <c r="EJ78" i="4"/>
  <c r="EJ60" i="4"/>
  <c r="EJ47" i="4"/>
  <c r="CG88" i="4"/>
  <c r="DA87" i="4"/>
  <c r="DA84" i="4"/>
  <c r="CG77" i="4"/>
  <c r="CI64" i="4"/>
  <c r="CG63" i="4"/>
  <c r="CG62" i="4"/>
  <c r="DA47" i="4"/>
  <c r="DA155" i="4"/>
  <c r="DA152" i="4"/>
  <c r="DA139" i="4"/>
  <c r="CG130" i="4"/>
  <c r="CG139" i="4"/>
  <c r="EO139" i="4" s="1"/>
  <c r="DV195" i="4"/>
  <c r="DW195" i="4" s="1"/>
  <c r="CX62" i="4"/>
  <c r="CI62" i="4" s="1"/>
  <c r="EM62" i="4"/>
  <c r="DW60" i="4"/>
  <c r="EN65" i="4"/>
  <c r="DW49" i="4"/>
  <c r="DV49" i="4"/>
  <c r="CI85" i="4"/>
  <c r="CI79" i="4"/>
  <c r="CI77" i="4"/>
  <c r="CI66" i="4"/>
  <c r="CI61" i="4"/>
  <c r="CI60" i="4"/>
  <c r="EQ60" i="4" s="1"/>
  <c r="CI58" i="4"/>
  <c r="CI49" i="4"/>
  <c r="CI47" i="4"/>
  <c r="CI44" i="4"/>
  <c r="CI40" i="4"/>
  <c r="CI136" i="4"/>
  <c r="CI120" i="4"/>
  <c r="CI114" i="4"/>
  <c r="CI108" i="4"/>
  <c r="CG102" i="4"/>
  <c r="Q418" i="9"/>
  <c r="L418" i="9" s="1"/>
  <c r="F139" i="4" s="1"/>
  <c r="C17" i="4" s="1"/>
  <c r="I17" i="4" s="1"/>
  <c r="K17" i="4" s="1"/>
  <c r="EB192" i="4"/>
  <c r="ED192" i="4" s="1"/>
  <c r="EB195" i="4"/>
  <c r="ED195" i="4" s="1"/>
  <c r="EB202" i="4"/>
  <c r="ED202" i="4" s="1"/>
  <c r="EH155" i="4"/>
  <c r="DV45" i="4"/>
  <c r="G11" i="8" s="1"/>
  <c r="DW43" i="4"/>
  <c r="DW53" i="4"/>
  <c r="DV69" i="4"/>
  <c r="DW72" i="4"/>
  <c r="AH172" i="8" s="1"/>
  <c r="DV71" i="4"/>
  <c r="DV61" i="4"/>
  <c r="DW50" i="4"/>
  <c r="DV47" i="4"/>
  <c r="FE149" i="4"/>
  <c r="FG149" i="4" s="1"/>
  <c r="FB136" i="4"/>
  <c r="FE136" i="4" s="1"/>
  <c r="FE49" i="4"/>
  <c r="FE45" i="4"/>
  <c r="CI43" i="4"/>
  <c r="DA45" i="4"/>
  <c r="DA39" i="4"/>
  <c r="DB39" i="4" s="1"/>
  <c r="CI39" i="4"/>
  <c r="CI152" i="4"/>
  <c r="CI149" i="4"/>
  <c r="CI133" i="4"/>
  <c r="DA130" i="4"/>
  <c r="CI105" i="4"/>
  <c r="CI102" i="4"/>
  <c r="DA99" i="4"/>
  <c r="DB99" i="4" s="1"/>
  <c r="DC99" i="4" s="1"/>
  <c r="CI81" i="4"/>
  <c r="DA80" i="4"/>
  <c r="CI80" i="4"/>
  <c r="R417" i="9"/>
  <c r="M417" i="9" s="1"/>
  <c r="G136" i="4" s="1"/>
  <c r="D16" i="4" s="1"/>
  <c r="J16" i="4" s="1"/>
  <c r="L16" i="4" s="1"/>
  <c r="EB184" i="4"/>
  <c r="ED184" i="4" s="1"/>
  <c r="EB190" i="4"/>
  <c r="ED190" i="4" s="1"/>
  <c r="EB210" i="4"/>
  <c r="ED210" i="4" s="1"/>
  <c r="DW66" i="4"/>
  <c r="DT53" i="4"/>
  <c r="DU65" i="4"/>
  <c r="DU53" i="4"/>
  <c r="H89" i="9" s="1"/>
  <c r="DU52" i="4"/>
  <c r="H88" i="9" s="1"/>
  <c r="DT41" i="4"/>
  <c r="DU43" i="4"/>
  <c r="DW47" i="4"/>
  <c r="DW48" i="4"/>
  <c r="AH8" i="8" s="1"/>
  <c r="DW51" i="4"/>
  <c r="DW46" i="4"/>
  <c r="DW63" i="4"/>
  <c r="DW71" i="4"/>
  <c r="AH171" i="8" s="1"/>
  <c r="DV73" i="4"/>
  <c r="DW74" i="4"/>
  <c r="DW65" i="4"/>
  <c r="DV53" i="4"/>
  <c r="G89" i="8" s="1"/>
  <c r="DV55" i="4"/>
  <c r="DV56" i="4"/>
  <c r="DV40" i="4"/>
  <c r="DW42" i="4"/>
  <c r="H8" i="8" s="1"/>
  <c r="DW45" i="4"/>
  <c r="DT71" i="4"/>
  <c r="DU57" i="4"/>
  <c r="DT40" i="4"/>
  <c r="G6" i="9" s="1"/>
  <c r="DU42" i="4"/>
  <c r="DW59" i="4"/>
  <c r="DV60" i="4"/>
  <c r="DW62" i="4"/>
  <c r="AH92" i="8" s="1"/>
  <c r="DV75" i="4"/>
  <c r="DV66" i="4"/>
  <c r="DW69" i="4"/>
  <c r="H175" i="8" s="1"/>
  <c r="DV57" i="4"/>
  <c r="G93" i="8" s="1"/>
  <c r="DV41" i="4"/>
  <c r="DV43" i="4"/>
  <c r="DV44" i="4"/>
  <c r="FE43" i="4"/>
  <c r="Q416" i="9"/>
  <c r="L416" i="9" s="1"/>
  <c r="F133" i="4" s="1"/>
  <c r="C15" i="4" s="1"/>
  <c r="I15" i="4" s="1"/>
  <c r="K15" i="4" s="1"/>
  <c r="Q415" i="9"/>
  <c r="L415" i="9" s="1"/>
  <c r="F130" i="4" s="1"/>
  <c r="C14" i="4" s="1"/>
  <c r="I14" i="4" s="1"/>
  <c r="K14" i="4" s="1"/>
  <c r="EB203" i="4"/>
  <c r="ED203" i="4" s="1"/>
  <c r="EB207" i="4"/>
  <c r="ED207" i="4" s="1"/>
  <c r="EB211" i="4"/>
  <c r="ED211" i="4" s="1"/>
  <c r="DW44" i="4"/>
  <c r="DW67" i="4"/>
  <c r="DV65" i="4"/>
  <c r="DV62" i="4"/>
  <c r="DT52" i="4"/>
  <c r="FD130" i="4"/>
  <c r="FD133" i="4" s="1"/>
  <c r="FD136" i="4" s="1"/>
  <c r="FD139" i="4" s="1"/>
  <c r="FB139" i="4"/>
  <c r="FE139" i="4" s="1"/>
  <c r="FE47" i="4"/>
  <c r="FE44" i="4"/>
  <c r="FE39" i="4"/>
  <c r="FG39" i="4" s="1"/>
  <c r="EE99" i="4"/>
  <c r="DW40" i="4"/>
  <c r="DV54" i="4"/>
  <c r="DW56" i="4"/>
  <c r="DV64" i="4"/>
  <c r="DU88" i="4" s="1"/>
  <c r="DW73" i="4"/>
  <c r="DV58" i="4"/>
  <c r="DU41" i="4"/>
  <c r="FB130" i="4"/>
  <c r="FE130" i="4" s="1"/>
  <c r="FG130" i="4" s="1"/>
  <c r="FB117" i="4"/>
  <c r="FE117" i="4" s="1"/>
  <c r="FE87" i="4"/>
  <c r="FE84" i="4"/>
  <c r="FE81" i="4"/>
  <c r="FE78" i="4"/>
  <c r="FB66" i="4"/>
  <c r="FE66" i="4" s="1"/>
  <c r="DB273" i="4"/>
  <c r="EC179" i="4"/>
  <c r="DW52" i="4"/>
  <c r="DV68" i="4"/>
  <c r="DV70" i="4"/>
  <c r="DW61" i="4"/>
  <c r="AH91" i="8" s="1"/>
  <c r="DV50" i="4"/>
  <c r="FE155" i="4"/>
  <c r="FE152" i="4"/>
  <c r="FB111" i="4"/>
  <c r="FE111" i="4" s="1"/>
  <c r="FB102" i="4"/>
  <c r="FE102" i="4" s="1"/>
  <c r="FE79" i="4"/>
  <c r="FE77" i="4"/>
  <c r="FG77" i="4" s="1"/>
  <c r="FI77" i="4" s="1"/>
  <c r="FB60" i="4"/>
  <c r="FE60" i="4" s="1"/>
  <c r="EE155" i="4"/>
  <c r="BU77" i="5"/>
  <c r="BQ77" i="5"/>
  <c r="BV77" i="5"/>
  <c r="BW77" i="5"/>
  <c r="BZ187" i="4"/>
  <c r="BX150" i="4" s="1"/>
  <c r="CA187" i="4"/>
  <c r="CA186" i="4"/>
  <c r="BY140" i="4" s="1"/>
  <c r="CA188" i="4"/>
  <c r="BY153" i="4" s="1"/>
  <c r="BZ183" i="4"/>
  <c r="BX131" i="4" s="1"/>
  <c r="BZ184" i="4"/>
  <c r="BX134" i="4" s="1"/>
  <c r="BZ185" i="4"/>
  <c r="BX137" i="4" s="1"/>
  <c r="CA183" i="4"/>
  <c r="BY131" i="4" s="1"/>
  <c r="AE175" i="9"/>
  <c r="AD175" i="9"/>
  <c r="AE174" i="9"/>
  <c r="AD174" i="9"/>
  <c r="AE173" i="9"/>
  <c r="AD173" i="9"/>
  <c r="AE172" i="9"/>
  <c r="AD172" i="9"/>
  <c r="AG171" i="9"/>
  <c r="AE171" i="9"/>
  <c r="AD171" i="9"/>
  <c r="AE170" i="9"/>
  <c r="AC170" i="9" s="1"/>
  <c r="AD170" i="9"/>
  <c r="D93" i="9"/>
  <c r="H93" i="9"/>
  <c r="E93" i="9"/>
  <c r="E92" i="9"/>
  <c r="D92" i="9"/>
  <c r="D91" i="9"/>
  <c r="G91" i="9"/>
  <c r="E91" i="9"/>
  <c r="E90" i="9"/>
  <c r="D90" i="9"/>
  <c r="D89" i="9"/>
  <c r="G89" i="9"/>
  <c r="E89" i="9"/>
  <c r="E88" i="9"/>
  <c r="C88" i="9" s="1"/>
  <c r="D88" i="9"/>
  <c r="G88" i="9"/>
  <c r="AE11" i="9"/>
  <c r="AD11" i="9"/>
  <c r="AD10" i="9"/>
  <c r="AE10" i="9"/>
  <c r="AE9" i="9"/>
  <c r="AD9" i="9"/>
  <c r="AD8" i="9"/>
  <c r="AE8" i="9"/>
  <c r="AE7" i="9"/>
  <c r="AC7" i="9" s="1"/>
  <c r="AD7" i="9"/>
  <c r="AD6" i="9"/>
  <c r="AE6" i="9"/>
  <c r="BX190" i="4"/>
  <c r="BY150" i="4"/>
  <c r="CA180" i="4"/>
  <c r="BY115" i="4" s="1"/>
  <c r="BZ179" i="4"/>
  <c r="BX112" i="4" s="1"/>
  <c r="D175" i="8"/>
  <c r="E175" i="8"/>
  <c r="G175" i="8"/>
  <c r="D174" i="8"/>
  <c r="H174" i="8"/>
  <c r="G174" i="8"/>
  <c r="E174" i="8"/>
  <c r="C174" i="8" s="1"/>
  <c r="D173" i="8"/>
  <c r="G173" i="8"/>
  <c r="H173" i="8"/>
  <c r="E173" i="8"/>
  <c r="C173" i="8" s="1"/>
  <c r="G172" i="8"/>
  <c r="D172" i="8"/>
  <c r="E172" i="8"/>
  <c r="C172" i="8" s="1"/>
  <c r="H172" i="8"/>
  <c r="D171" i="8"/>
  <c r="H171" i="8"/>
  <c r="E171" i="8"/>
  <c r="C171" i="8" s="1"/>
  <c r="G171" i="8"/>
  <c r="H170" i="8"/>
  <c r="D170" i="8"/>
  <c r="E170" i="8"/>
  <c r="C170" i="8" s="1"/>
  <c r="E93" i="8"/>
  <c r="D93" i="8"/>
  <c r="H93" i="8"/>
  <c r="E92" i="8"/>
  <c r="D92" i="8"/>
  <c r="H92" i="8"/>
  <c r="G92" i="8"/>
  <c r="E91" i="8"/>
  <c r="D91" i="8"/>
  <c r="G91" i="8"/>
  <c r="E90" i="8"/>
  <c r="H90" i="8"/>
  <c r="D90" i="8"/>
  <c r="G90" i="8"/>
  <c r="E89" i="8"/>
  <c r="D89" i="8"/>
  <c r="H89" i="8"/>
  <c r="E88" i="8"/>
  <c r="D88" i="8"/>
  <c r="H88" i="8"/>
  <c r="G88" i="8"/>
  <c r="E11" i="8"/>
  <c r="D11" i="8"/>
  <c r="H11" i="8"/>
  <c r="E10" i="8"/>
  <c r="D10" i="8"/>
  <c r="H10" i="8"/>
  <c r="G10" i="8"/>
  <c r="E9" i="8"/>
  <c r="H9" i="8"/>
  <c r="D9" i="8"/>
  <c r="G9" i="8"/>
  <c r="E8" i="8"/>
  <c r="D8" i="8"/>
  <c r="G8" i="8"/>
  <c r="G7" i="8"/>
  <c r="E7" i="8"/>
  <c r="D7" i="8"/>
  <c r="H7" i="8"/>
  <c r="E6" i="8"/>
  <c r="C6" i="8" s="1"/>
  <c r="D6" i="8"/>
  <c r="H6" i="8"/>
  <c r="G6" i="8"/>
  <c r="DT124" i="4"/>
  <c r="CA175" i="4"/>
  <c r="E175" i="9"/>
  <c r="D175" i="9"/>
  <c r="E174" i="9"/>
  <c r="C174" i="9" s="1"/>
  <c r="D174" i="9"/>
  <c r="E173" i="9"/>
  <c r="D173" i="9"/>
  <c r="E172" i="9"/>
  <c r="C172" i="9" s="1"/>
  <c r="D172" i="9"/>
  <c r="E171" i="9"/>
  <c r="D171" i="9"/>
  <c r="H171" i="9"/>
  <c r="E170" i="9"/>
  <c r="D170" i="9"/>
  <c r="AE93" i="9"/>
  <c r="AD93" i="9"/>
  <c r="AD92" i="9"/>
  <c r="AE92" i="9"/>
  <c r="AE91" i="9"/>
  <c r="AD91" i="9"/>
  <c r="AD90" i="9"/>
  <c r="AE90" i="9"/>
  <c r="AE89" i="9"/>
  <c r="AD89" i="9"/>
  <c r="AD88" i="9"/>
  <c r="AE88" i="9"/>
  <c r="E11" i="9"/>
  <c r="D11" i="9"/>
  <c r="G11" i="9"/>
  <c r="E10" i="9"/>
  <c r="D10" i="9"/>
  <c r="E9" i="9"/>
  <c r="H9" i="9"/>
  <c r="D9" i="9"/>
  <c r="E8" i="9"/>
  <c r="C8" i="9" s="1"/>
  <c r="H8" i="9"/>
  <c r="D8" i="9"/>
  <c r="E7" i="9"/>
  <c r="D7" i="9"/>
  <c r="H7" i="9"/>
  <c r="G7" i="9"/>
  <c r="E6" i="9"/>
  <c r="C6" i="9" s="1"/>
  <c r="H6" i="9"/>
  <c r="D6" i="9"/>
  <c r="CA178" i="4"/>
  <c r="BY109" i="4" s="1"/>
  <c r="BZ177" i="4"/>
  <c r="BX106" i="4" s="1"/>
  <c r="BZ182" i="4"/>
  <c r="BX121" i="4" s="1"/>
  <c r="BZ175" i="4"/>
  <c r="BX100" i="4" s="1"/>
  <c r="CA176" i="4"/>
  <c r="BY103" i="4" s="1"/>
  <c r="BV85" i="4"/>
  <c r="DN60" i="4" s="1"/>
  <c r="DO60" i="4" s="1"/>
  <c r="BV86" i="4"/>
  <c r="DN61" i="4" s="1"/>
  <c r="DO61" i="4" s="1"/>
  <c r="BV87" i="4"/>
  <c r="DN62" i="4" s="1"/>
  <c r="DO62" i="4" s="1"/>
  <c r="BW87" i="4"/>
  <c r="DN115" i="4" s="1"/>
  <c r="DO115" i="4" s="1"/>
  <c r="BW85" i="4"/>
  <c r="DN113" i="4" s="1"/>
  <c r="DO113" i="4" s="1"/>
  <c r="BW88" i="4"/>
  <c r="DN116" i="4" s="1"/>
  <c r="DO116" i="4" s="1"/>
  <c r="BV88" i="4"/>
  <c r="DN63" i="4" s="1"/>
  <c r="DO63" i="4" s="1"/>
  <c r="BW86" i="4"/>
  <c r="DN114" i="4" s="1"/>
  <c r="DO114" i="4" s="1"/>
  <c r="EU139" i="4"/>
  <c r="R418" i="9"/>
  <c r="M418" i="9" s="1"/>
  <c r="G139" i="4" s="1"/>
  <c r="D17" i="4" s="1"/>
  <c r="Q417" i="9"/>
  <c r="L417" i="9" s="1"/>
  <c r="F136" i="4" s="1"/>
  <c r="C16" i="4" s="1"/>
  <c r="AD175" i="8"/>
  <c r="AH175" i="8"/>
  <c r="AE175" i="8"/>
  <c r="AG175" i="8"/>
  <c r="AH174" i="8"/>
  <c r="AE174" i="8"/>
  <c r="AC174" i="8" s="1"/>
  <c r="AG174" i="8"/>
  <c r="AD174" i="8"/>
  <c r="AD173" i="8"/>
  <c r="AH173" i="8"/>
  <c r="AG173" i="8"/>
  <c r="AE173" i="8"/>
  <c r="AG172" i="8"/>
  <c r="AE172" i="8"/>
  <c r="AD172" i="8"/>
  <c r="AD171" i="8"/>
  <c r="AG171" i="8"/>
  <c r="AE171" i="8"/>
  <c r="AE170" i="8"/>
  <c r="AD170" i="8"/>
  <c r="AH170" i="8"/>
  <c r="AG170" i="8"/>
  <c r="AD93" i="8"/>
  <c r="AH93" i="8"/>
  <c r="AE93" i="8"/>
  <c r="AG93" i="8"/>
  <c r="AE92" i="8"/>
  <c r="AC92" i="8" s="1"/>
  <c r="AG92" i="8"/>
  <c r="AD92" i="8"/>
  <c r="AD91" i="8"/>
  <c r="AG91" i="8"/>
  <c r="AE91" i="8"/>
  <c r="AE90" i="8"/>
  <c r="AH90" i="8"/>
  <c r="AD90" i="8"/>
  <c r="AG90" i="8"/>
  <c r="AD89" i="8"/>
  <c r="AH89" i="8"/>
  <c r="AG89" i="8"/>
  <c r="AE89" i="8"/>
  <c r="AE88" i="8"/>
  <c r="AD88" i="8"/>
  <c r="AH88" i="8"/>
  <c r="AG88" i="8"/>
  <c r="AE11" i="8"/>
  <c r="AD11" i="8"/>
  <c r="AH11" i="8"/>
  <c r="AG11" i="8"/>
  <c r="AE10" i="8"/>
  <c r="AH10" i="8"/>
  <c r="AG10" i="8"/>
  <c r="AD10" i="8"/>
  <c r="AD9" i="8"/>
  <c r="AH9" i="8"/>
  <c r="AG9" i="8"/>
  <c r="AE9" i="8"/>
  <c r="AE8" i="8"/>
  <c r="AD8" i="8"/>
  <c r="AD7" i="8"/>
  <c r="AH7" i="8"/>
  <c r="AG7" i="8"/>
  <c r="AE7" i="8"/>
  <c r="AE6" i="8"/>
  <c r="AD6" i="8"/>
  <c r="AH6" i="8"/>
  <c r="AG6" i="8"/>
  <c r="DT122" i="4"/>
  <c r="DT125" i="4"/>
  <c r="DT127" i="4"/>
  <c r="BV66" i="4"/>
  <c r="DN52" i="4" s="1"/>
  <c r="DO52" i="4" s="1"/>
  <c r="BW68" i="4"/>
  <c r="DN107" i="4" s="1"/>
  <c r="DO107" i="4" s="1"/>
  <c r="BW69" i="4"/>
  <c r="DN108" i="4" s="1"/>
  <c r="DO108" i="4" s="1"/>
  <c r="BV69" i="4"/>
  <c r="DN55" i="4" s="1"/>
  <c r="DO55" i="4" s="1"/>
  <c r="BW66" i="4"/>
  <c r="DN105" i="4" s="1"/>
  <c r="DO105" i="4" s="1"/>
  <c r="BV67" i="4"/>
  <c r="DN53" i="4" s="1"/>
  <c r="DO53" i="4" s="1"/>
  <c r="BV68" i="4"/>
  <c r="DN54" i="4" s="1"/>
  <c r="DO54" i="4" s="1"/>
  <c r="BW67" i="4"/>
  <c r="DN106" i="4" s="1"/>
  <c r="DO106" i="4" s="1"/>
  <c r="BV47" i="4"/>
  <c r="DN44" i="4" s="1"/>
  <c r="DO44" i="4" s="1"/>
  <c r="BW47" i="4"/>
  <c r="DN97" i="4" s="1"/>
  <c r="DO97" i="4" s="1"/>
  <c r="BW48" i="4"/>
  <c r="DN98" i="4" s="1"/>
  <c r="DO98" i="4" s="1"/>
  <c r="BW49" i="4"/>
  <c r="DN99" i="4" s="1"/>
  <c r="DO99" i="4" s="1"/>
  <c r="BW50" i="4"/>
  <c r="DN100" i="4" s="1"/>
  <c r="DO100" i="4" s="1"/>
  <c r="BV49" i="4"/>
  <c r="DN46" i="4" s="1"/>
  <c r="DO46" i="4" s="1"/>
  <c r="BV48" i="4"/>
  <c r="DN45" i="4" s="1"/>
  <c r="DO45" i="4" s="1"/>
  <c r="BV50" i="4"/>
  <c r="DN47" i="4" s="1"/>
  <c r="DO47" i="4" s="1"/>
  <c r="DB130" i="4"/>
  <c r="DC130" i="4"/>
  <c r="BW81" i="4"/>
  <c r="DN112" i="4" s="1"/>
  <c r="DO112" i="4" s="1"/>
  <c r="BW78" i="4"/>
  <c r="DN109" i="4" s="1"/>
  <c r="DO109" i="4" s="1"/>
  <c r="BV80" i="4"/>
  <c r="DN58" i="4" s="1"/>
  <c r="DO58" i="4" s="1"/>
  <c r="BV78" i="4"/>
  <c r="DN56" i="4" s="1"/>
  <c r="DO56" i="4" s="1"/>
  <c r="BV61" i="4"/>
  <c r="DN50" i="4" s="1"/>
  <c r="DO50" i="4" s="1"/>
  <c r="BV60" i="4"/>
  <c r="DN49" i="4" s="1"/>
  <c r="DO49" i="4" s="1"/>
  <c r="BV59" i="4"/>
  <c r="DN48" i="4" s="1"/>
  <c r="DO48" i="4" s="1"/>
  <c r="BV43" i="4"/>
  <c r="DN43" i="4" s="1"/>
  <c r="DO43" i="4" s="1"/>
  <c r="BV42" i="4"/>
  <c r="DN42" i="4" s="1"/>
  <c r="DO42" i="4" s="1"/>
  <c r="BV41" i="4"/>
  <c r="DN41" i="4" s="1"/>
  <c r="DO41" i="4" s="1"/>
  <c r="CG155" i="4"/>
  <c r="CG152" i="4"/>
  <c r="DA102" i="4"/>
  <c r="DA83" i="4"/>
  <c r="CG82" i="4"/>
  <c r="CG80" i="4"/>
  <c r="EC272" i="4"/>
  <c r="EC276" i="4"/>
  <c r="ED191" i="4"/>
  <c r="DV199" i="4"/>
  <c r="DW199" i="4" s="1"/>
  <c r="DX199" i="4" s="1"/>
  <c r="DV201" i="4"/>
  <c r="DW201" i="4" s="1"/>
  <c r="DX201" i="4" s="1"/>
  <c r="DV203" i="4"/>
  <c r="DW203" i="4" s="1"/>
  <c r="DX203" i="4" s="1"/>
  <c r="EC205" i="4"/>
  <c r="DV205" i="4"/>
  <c r="DW205" i="4" s="1"/>
  <c r="DX205" i="4" s="1"/>
  <c r="DV207" i="4"/>
  <c r="DW207" i="4" s="1"/>
  <c r="DX207" i="4" s="1"/>
  <c r="DV209" i="4"/>
  <c r="DW209" i="4" s="1"/>
  <c r="DX209" i="4" s="1"/>
  <c r="DV211" i="4"/>
  <c r="DW211" i="4" s="1"/>
  <c r="DX211" i="4" s="1"/>
  <c r="DV213" i="4"/>
  <c r="DW213" i="4" s="1"/>
  <c r="DX213" i="4" s="1"/>
  <c r="DV216" i="4"/>
  <c r="DW216" i="4" s="1"/>
  <c r="EC219" i="4"/>
  <c r="DV232" i="4"/>
  <c r="DW232" i="4" s="1"/>
  <c r="EC235" i="4"/>
  <c r="DV243" i="4"/>
  <c r="DW243" i="4" s="1"/>
  <c r="EC255" i="4"/>
  <c r="DV255" i="4"/>
  <c r="DW255" i="4" s="1"/>
  <c r="DV263" i="4"/>
  <c r="DW263" i="4" s="1"/>
  <c r="S417" i="8"/>
  <c r="EE136" i="4"/>
  <c r="S413" i="8"/>
  <c r="EE117" i="4"/>
  <c r="S409" i="8"/>
  <c r="EE105" i="4"/>
  <c r="BV79" i="4"/>
  <c r="DN57" i="4" s="1"/>
  <c r="DO57" i="4" s="1"/>
  <c r="DC149" i="4"/>
  <c r="CG83" i="4"/>
  <c r="DA77" i="4"/>
  <c r="EC271" i="4"/>
  <c r="EC275" i="4"/>
  <c r="EC182" i="4"/>
  <c r="EC191" i="4"/>
  <c r="EC192" i="4"/>
  <c r="EC193" i="4"/>
  <c r="EC194" i="4"/>
  <c r="EB206" i="4"/>
  <c r="ED206" i="4" s="1"/>
  <c r="EB200" i="4"/>
  <c r="ED200" i="4" s="1"/>
  <c r="EB204" i="4"/>
  <c r="ED204" i="4" s="1"/>
  <c r="EB208" i="4"/>
  <c r="ED208" i="4" s="1"/>
  <c r="DV220" i="4"/>
  <c r="DW220" i="4" s="1"/>
  <c r="EC223" i="4"/>
  <c r="DV236" i="4"/>
  <c r="DW236" i="4" s="1"/>
  <c r="DV245" i="4"/>
  <c r="DW245" i="4" s="1"/>
  <c r="DV257" i="4"/>
  <c r="DW257" i="4" s="1"/>
  <c r="DV265" i="4"/>
  <c r="DW265" i="4" s="1"/>
  <c r="EE139" i="4"/>
  <c r="S418" i="8"/>
  <c r="EE120" i="4"/>
  <c r="S414" i="8"/>
  <c r="EE108" i="4"/>
  <c r="S410" i="8"/>
  <c r="BY100" i="4"/>
  <c r="DA69" i="4"/>
  <c r="DA68" i="4"/>
  <c r="DA67" i="4"/>
  <c r="DA66" i="4"/>
  <c r="DA65" i="4"/>
  <c r="DA64" i="4"/>
  <c r="DA63" i="4"/>
  <c r="DA62" i="4"/>
  <c r="DA61" i="4"/>
  <c r="DA60" i="4"/>
  <c r="DA59" i="4"/>
  <c r="DA58" i="4"/>
  <c r="DA44" i="4"/>
  <c r="DA43" i="4"/>
  <c r="DA42" i="4"/>
  <c r="DA41" i="4"/>
  <c r="DA40" i="4"/>
  <c r="DB155" i="4"/>
  <c r="DC155" i="4" s="1"/>
  <c r="DB152" i="4"/>
  <c r="DC152" i="4" s="1"/>
  <c r="DA136" i="4"/>
  <c r="DA133" i="4"/>
  <c r="DA105" i="4"/>
  <c r="EC270" i="4"/>
  <c r="EC274" i="4"/>
  <c r="EC278" i="4"/>
  <c r="EC183" i="4"/>
  <c r="EC184" i="4"/>
  <c r="EC187" i="4"/>
  <c r="EC188" i="4"/>
  <c r="EC189" i="4"/>
  <c r="EC190" i="4"/>
  <c r="DV200" i="4"/>
  <c r="DW200" i="4" s="1"/>
  <c r="DX200" i="4" s="1"/>
  <c r="DV202" i="4"/>
  <c r="DW202" i="4" s="1"/>
  <c r="DX202" i="4" s="1"/>
  <c r="DV204" i="4"/>
  <c r="DW204" i="4" s="1"/>
  <c r="DX204" i="4" s="1"/>
  <c r="DV206" i="4"/>
  <c r="DW206" i="4" s="1"/>
  <c r="DX206" i="4" s="1"/>
  <c r="DV208" i="4"/>
  <c r="DW208" i="4" s="1"/>
  <c r="DX208" i="4" s="1"/>
  <c r="DV210" i="4"/>
  <c r="DW210" i="4" s="1"/>
  <c r="DX210" i="4" s="1"/>
  <c r="DV212" i="4"/>
  <c r="DW212" i="4" s="1"/>
  <c r="DX212" i="4" s="1"/>
  <c r="EB212" i="4" s="1"/>
  <c r="ED212" i="4" s="1"/>
  <c r="DV214" i="4"/>
  <c r="DW214" i="4" s="1"/>
  <c r="DX214" i="4" s="1"/>
  <c r="EB214" i="4" s="1"/>
  <c r="ED214" i="4" s="1"/>
  <c r="DV224" i="4"/>
  <c r="DW224" i="4" s="1"/>
  <c r="EC227" i="4"/>
  <c r="EC239" i="4"/>
  <c r="DV239" i="4"/>
  <c r="DW239" i="4" s="1"/>
  <c r="DV247" i="4"/>
  <c r="DW247" i="4" s="1"/>
  <c r="EC251" i="4"/>
  <c r="DV251" i="4"/>
  <c r="DW251" i="4" s="1"/>
  <c r="DV259" i="4"/>
  <c r="DW259" i="4" s="1"/>
  <c r="EC267" i="4"/>
  <c r="DV267" i="4"/>
  <c r="DW267" i="4" s="1"/>
  <c r="S419" i="8"/>
  <c r="EE149" i="4"/>
  <c r="S415" i="8"/>
  <c r="EE130" i="4"/>
  <c r="S411" i="8"/>
  <c r="EE111" i="4"/>
  <c r="BW41" i="4"/>
  <c r="DN94" i="4" s="1"/>
  <c r="DO94" i="4" s="1"/>
  <c r="CG60" i="4"/>
  <c r="CG59" i="4"/>
  <c r="EC273" i="4"/>
  <c r="EC277" i="4"/>
  <c r="EC181" i="4"/>
  <c r="EC185" i="4"/>
  <c r="EC186" i="4"/>
  <c r="EB201" i="4"/>
  <c r="ED201" i="4" s="1"/>
  <c r="EB205" i="4"/>
  <c r="ED205" i="4" s="1"/>
  <c r="EB209" i="4"/>
  <c r="ED209" i="4" s="1"/>
  <c r="EB213" i="4"/>
  <c r="ED213" i="4" s="1"/>
  <c r="EC215" i="4"/>
  <c r="DV228" i="4"/>
  <c r="DW228" i="4" s="1"/>
  <c r="EB228" i="4" s="1"/>
  <c r="ED228" i="4" s="1"/>
  <c r="EC231" i="4"/>
  <c r="DV241" i="4"/>
  <c r="DW241" i="4" s="1"/>
  <c r="DV249" i="4"/>
  <c r="DW249" i="4" s="1"/>
  <c r="DV253" i="4"/>
  <c r="DW253" i="4" s="1"/>
  <c r="DV261" i="4"/>
  <c r="DW261" i="4" s="1"/>
  <c r="DV269" i="4"/>
  <c r="DW269" i="4" s="1"/>
  <c r="DP80" i="4"/>
  <c r="EE133" i="4"/>
  <c r="S416" i="8"/>
  <c r="EE114" i="4"/>
  <c r="S412" i="8"/>
  <c r="EE102" i="4"/>
  <c r="S408" i="8"/>
  <c r="EH99" i="4"/>
  <c r="EC196" i="4"/>
  <c r="EC197" i="4"/>
  <c r="EC198" i="4"/>
  <c r="EC218" i="4"/>
  <c r="EC222" i="4"/>
  <c r="EC226" i="4"/>
  <c r="EC230" i="4"/>
  <c r="EC234" i="4"/>
  <c r="EC238" i="4"/>
  <c r="EC240" i="4"/>
  <c r="EC242" i="4"/>
  <c r="EC244" i="4"/>
  <c r="EC246" i="4"/>
  <c r="EC248" i="4"/>
  <c r="EC250" i="4"/>
  <c r="EC252" i="4"/>
  <c r="EC254" i="4"/>
  <c r="EC256" i="4"/>
  <c r="EC258" i="4"/>
  <c r="EC260" i="4"/>
  <c r="EC262" i="4"/>
  <c r="EC264" i="4"/>
  <c r="EC266" i="4"/>
  <c r="EC268" i="4"/>
  <c r="EC217" i="4"/>
  <c r="EC221" i="4"/>
  <c r="EC225" i="4"/>
  <c r="EC229" i="4"/>
  <c r="EC233" i="4"/>
  <c r="EC237" i="4"/>
  <c r="S407" i="8"/>
  <c r="DT69" i="4"/>
  <c r="G175" i="9" s="1"/>
  <c r="DU68" i="4"/>
  <c r="H174" i="9" s="1"/>
  <c r="DU54" i="4"/>
  <c r="H90" i="9" s="1"/>
  <c r="DT57" i="4"/>
  <c r="G93" i="9" s="1"/>
  <c r="DT43" i="4"/>
  <c r="G9" i="9" s="1"/>
  <c r="DU45" i="4"/>
  <c r="H11" i="9" s="1"/>
  <c r="DU62" i="4"/>
  <c r="AH92" i="9" s="1"/>
  <c r="DT75" i="4"/>
  <c r="AG175" i="9" s="1"/>
  <c r="DT70" i="4"/>
  <c r="AG170" i="9" s="1"/>
  <c r="DT65" i="4"/>
  <c r="G171" i="9" s="1"/>
  <c r="DU56" i="4"/>
  <c r="H92" i="9" s="1"/>
  <c r="DT54" i="4"/>
  <c r="G90" i="9" s="1"/>
  <c r="DU66" i="4"/>
  <c r="H172" i="9" s="1"/>
  <c r="DU69" i="4"/>
  <c r="H175" i="9" s="1"/>
  <c r="DT67" i="4"/>
  <c r="G173" i="9" s="1"/>
  <c r="DU55" i="4"/>
  <c r="H91" i="9" s="1"/>
  <c r="DT56" i="4"/>
  <c r="G92" i="9" s="1"/>
  <c r="DU44" i="4"/>
  <c r="H10" i="9" s="1"/>
  <c r="DT42" i="4"/>
  <c r="G8" i="9" s="1"/>
  <c r="FH77" i="4"/>
  <c r="DT51" i="4"/>
  <c r="AG11" i="9" s="1"/>
  <c r="DT46" i="4"/>
  <c r="AG6" i="9" s="1"/>
  <c r="DU47" i="4"/>
  <c r="AH7" i="9" s="1"/>
  <c r="DU48" i="4"/>
  <c r="AH8" i="9" s="1"/>
  <c r="DU50" i="4"/>
  <c r="AH10" i="9" s="1"/>
  <c r="DT48" i="4"/>
  <c r="AG8" i="9" s="1"/>
  <c r="DU49" i="4"/>
  <c r="AH9" i="9" s="1"/>
  <c r="DT50" i="4"/>
  <c r="AG10" i="9" s="1"/>
  <c r="DU46" i="4"/>
  <c r="AH6" i="9" s="1"/>
  <c r="DU61" i="4"/>
  <c r="AH91" i="9" s="1"/>
  <c r="DU60" i="4"/>
  <c r="AH90" i="9" s="1"/>
  <c r="DT62" i="4"/>
  <c r="AG92" i="9" s="1"/>
  <c r="DU74" i="4"/>
  <c r="AH174" i="9" s="1"/>
  <c r="DU51" i="4"/>
  <c r="AH11" i="9" s="1"/>
  <c r="DU59" i="4"/>
  <c r="AH89" i="9" s="1"/>
  <c r="DT61" i="4"/>
  <c r="AG91" i="9" s="1"/>
  <c r="DU63" i="4"/>
  <c r="AH93" i="9" s="1"/>
  <c r="DU58" i="4"/>
  <c r="AH88" i="9" s="1"/>
  <c r="DT60" i="4"/>
  <c r="AG90" i="9" s="1"/>
  <c r="DU72" i="4"/>
  <c r="AH172" i="9" s="1"/>
  <c r="DU73" i="4"/>
  <c r="AH173" i="9" s="1"/>
  <c r="DT74" i="4"/>
  <c r="AG174" i="9" s="1"/>
  <c r="DU64" i="4"/>
  <c r="H170" i="9" s="1"/>
  <c r="DT66" i="4"/>
  <c r="G172" i="9" s="1"/>
  <c r="DT49" i="4"/>
  <c r="AG9" i="9" s="1"/>
  <c r="DT59" i="4"/>
  <c r="AG89" i="9" s="1"/>
  <c r="DT63" i="4"/>
  <c r="AG93" i="9" s="1"/>
  <c r="DT58" i="4"/>
  <c r="AG88" i="9" s="1"/>
  <c r="DU71" i="4"/>
  <c r="AH171" i="9" s="1"/>
  <c r="DT72" i="4"/>
  <c r="AG172" i="9" s="1"/>
  <c r="DU75" i="4"/>
  <c r="AH175" i="9" s="1"/>
  <c r="DU70" i="4"/>
  <c r="AH170" i="9" s="1"/>
  <c r="DT73" i="4"/>
  <c r="AG173" i="9" s="1"/>
  <c r="DT64" i="4"/>
  <c r="G170" i="9" s="1"/>
  <c r="DU67" i="4"/>
  <c r="H173" i="9" s="1"/>
  <c r="DT68" i="4"/>
  <c r="G174" i="9" s="1"/>
  <c r="FG78" i="4"/>
  <c r="FH99" i="4"/>
  <c r="FG102" i="4" s="1"/>
  <c r="AA6" i="5"/>
  <c r="FH39" i="4"/>
  <c r="DT47" i="4"/>
  <c r="AG7" i="9" s="1"/>
  <c r="FH149" i="4"/>
  <c r="FG152" i="4" s="1"/>
  <c r="FH58" i="4"/>
  <c r="O6" i="5"/>
  <c r="FG40" i="4"/>
  <c r="FH40" i="4" s="1"/>
  <c r="FG41" i="4" s="1"/>
  <c r="FH78" i="4"/>
  <c r="FG79" i="4" s="1"/>
  <c r="FG59" i="4"/>
  <c r="EH152" i="4"/>
  <c r="DB274" i="4"/>
  <c r="DD273" i="4"/>
  <c r="AF273" i="4" s="1"/>
  <c r="DV180" i="4"/>
  <c r="DW180" i="4" s="1"/>
  <c r="DZ180" i="4" s="1"/>
  <c r="FH130" i="4" l="1"/>
  <c r="FG133" i="4" s="1"/>
  <c r="FH133" i="4" s="1"/>
  <c r="FG136" i="4" s="1"/>
  <c r="FI130" i="4"/>
  <c r="EO64" i="4"/>
  <c r="U5" i="5"/>
  <c r="EO46" i="4"/>
  <c r="EU46" i="4" s="1"/>
  <c r="J5" i="5"/>
  <c r="EQ87" i="4"/>
  <c r="EU87" i="4" s="1"/>
  <c r="AK9" i="5"/>
  <c r="EO120" i="4"/>
  <c r="AT5" i="5"/>
  <c r="EQ59" i="4"/>
  <c r="P9" i="5"/>
  <c r="EM245" i="4"/>
  <c r="EO218" i="4"/>
  <c r="DD181" i="4"/>
  <c r="AF181" i="4" s="1"/>
  <c r="DE181" i="4"/>
  <c r="E58" i="5"/>
  <c r="E77" i="5" s="1"/>
  <c r="ED180" i="4"/>
  <c r="EH180" i="4"/>
  <c r="EB235" i="4"/>
  <c r="ED235" i="4" s="1"/>
  <c r="EC228" i="4"/>
  <c r="EC259" i="4"/>
  <c r="EC247" i="4"/>
  <c r="EC263" i="4"/>
  <c r="EC243" i="4"/>
  <c r="EB226" i="4"/>
  <c r="ED226" i="4" s="1"/>
  <c r="AC8" i="8"/>
  <c r="AC172" i="8"/>
  <c r="C10" i="9"/>
  <c r="AC91" i="9"/>
  <c r="G170" i="8"/>
  <c r="I170" i="8" s="1"/>
  <c r="AC172" i="9"/>
  <c r="AC174" i="9"/>
  <c r="DU89" i="4"/>
  <c r="DE273" i="4"/>
  <c r="BR58" i="5"/>
  <c r="BR77" i="5" s="1"/>
  <c r="C6" i="5"/>
  <c r="FI39" i="4"/>
  <c r="EF203" i="4"/>
  <c r="EV203" i="4"/>
  <c r="DU84" i="4"/>
  <c r="EF210" i="4"/>
  <c r="EV210" i="4"/>
  <c r="EQ80" i="4"/>
  <c r="AD9" i="5"/>
  <c r="EQ102" i="4"/>
  <c r="AN9" i="5"/>
  <c r="EQ149" i="4"/>
  <c r="AY9" i="5"/>
  <c r="EI155" i="4"/>
  <c r="EJ155" i="4" s="1"/>
  <c r="EB155" i="4"/>
  <c r="AU155" i="4"/>
  <c r="EQ120" i="4"/>
  <c r="AT9" i="5"/>
  <c r="EQ47" i="4"/>
  <c r="K9" i="5"/>
  <c r="EQ61" i="4"/>
  <c r="EU61" i="4" s="1"/>
  <c r="R9" i="5"/>
  <c r="EQ85" i="4"/>
  <c r="EU85" i="4" s="1"/>
  <c r="AI9" i="5"/>
  <c r="EC195" i="4"/>
  <c r="EO62" i="4"/>
  <c r="S5" i="5"/>
  <c r="AA5" i="5"/>
  <c r="EO77" i="4"/>
  <c r="AL5" i="5"/>
  <c r="EO88" i="4"/>
  <c r="EU88" i="4" s="1"/>
  <c r="AH5" i="5"/>
  <c r="EO84" i="4"/>
  <c r="EO40" i="4"/>
  <c r="D5" i="5"/>
  <c r="EO66" i="4"/>
  <c r="W5" i="5"/>
  <c r="EQ88" i="4"/>
  <c r="AL9" i="5"/>
  <c r="EO43" i="4"/>
  <c r="G5" i="5"/>
  <c r="EO65" i="4"/>
  <c r="EU65" i="4" s="1"/>
  <c r="V5" i="5"/>
  <c r="EO114" i="4"/>
  <c r="AR5" i="5"/>
  <c r="EO41" i="4"/>
  <c r="EU41" i="4" s="1"/>
  <c r="E5" i="5"/>
  <c r="EK189" i="4"/>
  <c r="I38" i="5"/>
  <c r="EF179" i="4"/>
  <c r="EV179" i="4"/>
  <c r="DD182" i="4"/>
  <c r="AF182" i="4" s="1"/>
  <c r="DE182" i="4"/>
  <c r="F58" i="5"/>
  <c r="F77" i="5" s="1"/>
  <c r="EO67" i="4"/>
  <c r="EU67" i="4" s="1"/>
  <c r="X5" i="5"/>
  <c r="EQ133" i="4"/>
  <c r="EU133" i="4" s="1"/>
  <c r="AV9" i="5"/>
  <c r="EQ114" i="4"/>
  <c r="AR9" i="5"/>
  <c r="EO69" i="4"/>
  <c r="EU69" i="4" s="1"/>
  <c r="Z5" i="5"/>
  <c r="EO44" i="4"/>
  <c r="EU44" i="4" s="1"/>
  <c r="H5" i="5"/>
  <c r="EM256" i="4"/>
  <c r="EO229" i="4"/>
  <c r="EC180" i="4"/>
  <c r="EB225" i="4"/>
  <c r="ED225" i="4" s="1"/>
  <c r="EC224" i="4"/>
  <c r="EB221" i="4"/>
  <c r="ED221" i="4" s="1"/>
  <c r="EC201" i="4"/>
  <c r="DB105" i="4"/>
  <c r="DC39" i="4"/>
  <c r="AC10" i="8"/>
  <c r="AC90" i="8"/>
  <c r="C171" i="9"/>
  <c r="C175" i="9"/>
  <c r="C90" i="9"/>
  <c r="DU87" i="4"/>
  <c r="DU85" i="4"/>
  <c r="EF190" i="4"/>
  <c r="EV190" i="4"/>
  <c r="EQ105" i="4"/>
  <c r="AO9" i="5"/>
  <c r="EQ152" i="4"/>
  <c r="AZ9" i="5"/>
  <c r="EF202" i="4"/>
  <c r="EV202" i="4"/>
  <c r="EO102" i="4"/>
  <c r="EU102" i="4" s="1"/>
  <c r="AN5" i="5"/>
  <c r="EQ136" i="4"/>
  <c r="EU136" i="4" s="1"/>
  <c r="AW9" i="5"/>
  <c r="EQ49" i="4"/>
  <c r="M9" i="5"/>
  <c r="EQ66" i="4"/>
  <c r="W9" i="5"/>
  <c r="EO63" i="4"/>
  <c r="EU63" i="4" s="1"/>
  <c r="T5" i="5"/>
  <c r="EO78" i="4"/>
  <c r="EU78" i="4" s="1"/>
  <c r="AB5" i="5"/>
  <c r="EO50" i="4"/>
  <c r="EU50" i="4" s="1"/>
  <c r="N5" i="5"/>
  <c r="EO39" i="4"/>
  <c r="C5" i="5"/>
  <c r="EO42" i="4"/>
  <c r="F5" i="5"/>
  <c r="EO117" i="4"/>
  <c r="EU117" i="4" s="1"/>
  <c r="AS5" i="5"/>
  <c r="EO108" i="4"/>
  <c r="AP5" i="5"/>
  <c r="EM258" i="4"/>
  <c r="EO231" i="4"/>
  <c r="EM248" i="4"/>
  <c r="EO221" i="4"/>
  <c r="EF185" i="4"/>
  <c r="EV185" i="4"/>
  <c r="EQ155" i="4"/>
  <c r="BA9" i="5"/>
  <c r="EO58" i="4"/>
  <c r="O5" i="5"/>
  <c r="EF207" i="4"/>
  <c r="EV207" i="4"/>
  <c r="EF192" i="4"/>
  <c r="EV192" i="4"/>
  <c r="EQ44" i="4"/>
  <c r="H9" i="5"/>
  <c r="EQ79" i="4"/>
  <c r="EU79" i="4" s="1"/>
  <c r="AC9" i="5"/>
  <c r="EO149" i="4"/>
  <c r="EU149" i="4" s="1"/>
  <c r="AY5" i="5"/>
  <c r="AU6" i="5"/>
  <c r="L436" i="8"/>
  <c r="EB230" i="4"/>
  <c r="ED230" i="4" s="1"/>
  <c r="C9" i="9"/>
  <c r="C8" i="8"/>
  <c r="C9" i="8"/>
  <c r="C10" i="8"/>
  <c r="C88" i="8"/>
  <c r="C90" i="8"/>
  <c r="C91" i="8"/>
  <c r="C92" i="8"/>
  <c r="C92" i="9"/>
  <c r="AC173" i="9"/>
  <c r="EL155" i="4"/>
  <c r="EF211" i="4"/>
  <c r="EV211" i="4"/>
  <c r="EF184" i="4"/>
  <c r="EV184" i="4"/>
  <c r="EQ81" i="4"/>
  <c r="AE9" i="5"/>
  <c r="EQ39" i="4"/>
  <c r="C9" i="5"/>
  <c r="EQ43" i="4"/>
  <c r="G9" i="5"/>
  <c r="AY6" i="5"/>
  <c r="FI149" i="4"/>
  <c r="EF195" i="4"/>
  <c r="EV195" i="4"/>
  <c r="EQ108" i="4"/>
  <c r="AP9" i="5"/>
  <c r="EQ40" i="4"/>
  <c r="D9" i="5"/>
  <c r="EQ58" i="4"/>
  <c r="O9" i="5"/>
  <c r="EQ77" i="4"/>
  <c r="EU77" i="4" s="1"/>
  <c r="AA9" i="5"/>
  <c r="EQ62" i="4"/>
  <c r="S9" i="5"/>
  <c r="EO130" i="4"/>
  <c r="EU130" i="4" s="1"/>
  <c r="AU5" i="5"/>
  <c r="EQ64" i="4"/>
  <c r="U9" i="5"/>
  <c r="DT123" i="4"/>
  <c r="DT126" i="4"/>
  <c r="Q370" i="9"/>
  <c r="DU86" i="4"/>
  <c r="EQ84" i="4"/>
  <c r="AH9" i="5"/>
  <c r="EO105" i="4"/>
  <c r="EU105" i="4" s="1"/>
  <c r="AO5" i="5"/>
  <c r="EO99" i="4"/>
  <c r="EU99" i="4" s="1"/>
  <c r="AM5" i="5"/>
  <c r="EO49" i="4"/>
  <c r="EU49" i="4" s="1"/>
  <c r="M5" i="5"/>
  <c r="EO47" i="4"/>
  <c r="K5" i="5"/>
  <c r="AN36" i="5"/>
  <c r="AN76" i="5" s="1"/>
  <c r="EK243" i="4"/>
  <c r="EK216" i="4"/>
  <c r="M36" i="5"/>
  <c r="M76" i="5" s="1"/>
  <c r="EF186" i="4"/>
  <c r="EV186" i="4"/>
  <c r="Q9" i="5"/>
  <c r="EO68" i="4"/>
  <c r="EU68" i="4" s="1"/>
  <c r="Y5" i="5"/>
  <c r="EQ42" i="4"/>
  <c r="F9" i="5"/>
  <c r="EU48" i="4"/>
  <c r="AK7" i="9"/>
  <c r="AO7" i="9" s="1"/>
  <c r="AM7" i="9"/>
  <c r="AL7" i="9"/>
  <c r="AN7" i="9"/>
  <c r="AI7" i="9"/>
  <c r="AG18" i="9" s="1"/>
  <c r="AQ7" i="9"/>
  <c r="AW6" i="5"/>
  <c r="FI136" i="4"/>
  <c r="FH136" i="4"/>
  <c r="FG139" i="4" s="1"/>
  <c r="FH139" i="4" s="1"/>
  <c r="N170" i="9"/>
  <c r="I170" i="9"/>
  <c r="M170" i="9"/>
  <c r="L170" i="9"/>
  <c r="P170" i="9" s="1"/>
  <c r="K170" i="9"/>
  <c r="Q170" i="9"/>
  <c r="AM172" i="9"/>
  <c r="AN172" i="9"/>
  <c r="AK172" i="9"/>
  <c r="AL172" i="9"/>
  <c r="AI172" i="9"/>
  <c r="AQ172" i="9"/>
  <c r="AN89" i="9"/>
  <c r="AI89" i="9"/>
  <c r="AM89" i="9"/>
  <c r="AK89" i="9"/>
  <c r="AO89" i="9" s="1"/>
  <c r="AL89" i="9"/>
  <c r="AP89" i="9" s="1"/>
  <c r="AQ89" i="9"/>
  <c r="AN174" i="9"/>
  <c r="AK174" i="9"/>
  <c r="AD180" i="9" s="1"/>
  <c r="AL174" i="9"/>
  <c r="AM174" i="9"/>
  <c r="AI174" i="9"/>
  <c r="AQ174" i="9"/>
  <c r="AK8" i="9"/>
  <c r="AM8" i="9"/>
  <c r="AI8" i="9"/>
  <c r="AN8" i="9"/>
  <c r="AL8" i="9"/>
  <c r="AQ8" i="9"/>
  <c r="AK6" i="9"/>
  <c r="AM6" i="9"/>
  <c r="AI6" i="9"/>
  <c r="AL6" i="9"/>
  <c r="AN6" i="9"/>
  <c r="AQ6" i="9"/>
  <c r="K171" i="9"/>
  <c r="N171" i="9"/>
  <c r="I171" i="9"/>
  <c r="M171" i="9"/>
  <c r="L171" i="9"/>
  <c r="Q171" i="9"/>
  <c r="EF226" i="4"/>
  <c r="EV226" i="4"/>
  <c r="AL173" i="9"/>
  <c r="AN173" i="9"/>
  <c r="AI173" i="9"/>
  <c r="AM173" i="9"/>
  <c r="AK173" i="9"/>
  <c r="AQ173" i="9"/>
  <c r="AK9" i="9"/>
  <c r="AL9" i="9"/>
  <c r="AP9" i="9" s="1"/>
  <c r="AN9" i="9"/>
  <c r="AI9" i="9"/>
  <c r="AM9" i="9"/>
  <c r="AQ9" i="9"/>
  <c r="AK11" i="9"/>
  <c r="AL11" i="9"/>
  <c r="AI11" i="9"/>
  <c r="AN11" i="9"/>
  <c r="AM11" i="9"/>
  <c r="AQ11" i="9"/>
  <c r="I92" i="9"/>
  <c r="M92" i="9"/>
  <c r="N92" i="9"/>
  <c r="K92" i="9"/>
  <c r="L92" i="9"/>
  <c r="P92" i="9" s="1"/>
  <c r="Q92" i="9"/>
  <c r="AK170" i="9"/>
  <c r="AM170" i="9"/>
  <c r="AL170" i="9"/>
  <c r="AN170" i="9"/>
  <c r="AI170" i="9"/>
  <c r="AQ170" i="9"/>
  <c r="L9" i="9"/>
  <c r="N9" i="9"/>
  <c r="K9" i="9"/>
  <c r="I9" i="9"/>
  <c r="M9" i="9"/>
  <c r="Q9" i="9"/>
  <c r="K175" i="9"/>
  <c r="L175" i="9"/>
  <c r="M175" i="9"/>
  <c r="N175" i="9"/>
  <c r="I175" i="9"/>
  <c r="Q175" i="9"/>
  <c r="EF221" i="4"/>
  <c r="EV221" i="4"/>
  <c r="L174" i="9"/>
  <c r="M174" i="9"/>
  <c r="I174" i="9"/>
  <c r="K174" i="9"/>
  <c r="O174" i="9" s="1"/>
  <c r="N174" i="9"/>
  <c r="Q174" i="9"/>
  <c r="AL88" i="9"/>
  <c r="AN88" i="9"/>
  <c r="AI88" i="9"/>
  <c r="AM88" i="9"/>
  <c r="AK88" i="9"/>
  <c r="AQ88" i="9"/>
  <c r="L172" i="9"/>
  <c r="K172" i="9"/>
  <c r="N172" i="9"/>
  <c r="I172" i="9"/>
  <c r="G182" i="9" s="1"/>
  <c r="D201" i="9" s="1"/>
  <c r="M172" i="9"/>
  <c r="Q172" i="9"/>
  <c r="AM91" i="9"/>
  <c r="AN91" i="9"/>
  <c r="AL91" i="9"/>
  <c r="AK91" i="9"/>
  <c r="AI91" i="9"/>
  <c r="AQ91" i="9"/>
  <c r="AK92" i="9"/>
  <c r="AL92" i="9"/>
  <c r="AM92" i="9"/>
  <c r="AI92" i="9"/>
  <c r="AG99" i="9" s="1"/>
  <c r="AD118" i="9" s="1"/>
  <c r="AN92" i="9"/>
  <c r="AQ92" i="9"/>
  <c r="AN10" i="9"/>
  <c r="AK10" i="9"/>
  <c r="AO10" i="9" s="1"/>
  <c r="AM10" i="9"/>
  <c r="AI10" i="9"/>
  <c r="AL10" i="9"/>
  <c r="AP10" i="9" s="1"/>
  <c r="AQ10" i="9"/>
  <c r="L90" i="9"/>
  <c r="N90" i="9"/>
  <c r="I90" i="9"/>
  <c r="K90" i="9"/>
  <c r="O90" i="9" s="1"/>
  <c r="M90" i="9"/>
  <c r="Q90" i="9"/>
  <c r="AK175" i="9"/>
  <c r="AL175" i="9"/>
  <c r="AP175" i="9" s="1"/>
  <c r="AI175" i="9"/>
  <c r="AM175" i="9"/>
  <c r="AN175" i="9"/>
  <c r="AQ175" i="9"/>
  <c r="K93" i="9"/>
  <c r="L93" i="9"/>
  <c r="M93" i="9"/>
  <c r="I93" i="9"/>
  <c r="G99" i="9" s="1"/>
  <c r="N93" i="9"/>
  <c r="Q93" i="9"/>
  <c r="EF214" i="4"/>
  <c r="EV214" i="4"/>
  <c r="E6" i="5"/>
  <c r="FI41" i="4"/>
  <c r="FH152" i="4"/>
  <c r="FG155" i="4" s="1"/>
  <c r="AJ145" i="4" s="1"/>
  <c r="AE145" i="4" s="1"/>
  <c r="FI152" i="4"/>
  <c r="AZ6" i="5"/>
  <c r="AN6" i="5"/>
  <c r="FI102" i="4"/>
  <c r="FH102" i="4"/>
  <c r="FG105" i="4" s="1"/>
  <c r="AI93" i="9"/>
  <c r="AM93" i="9"/>
  <c r="AN93" i="9"/>
  <c r="AL93" i="9"/>
  <c r="AP93" i="9" s="1"/>
  <c r="AK93" i="9"/>
  <c r="AQ93" i="9"/>
  <c r="AL90" i="9"/>
  <c r="AN90" i="9"/>
  <c r="AI90" i="9"/>
  <c r="AK90" i="9"/>
  <c r="AM90" i="9"/>
  <c r="AQ90" i="9"/>
  <c r="N8" i="9"/>
  <c r="I8" i="9"/>
  <c r="K8" i="9"/>
  <c r="O8" i="9" s="1"/>
  <c r="L8" i="9"/>
  <c r="P8" i="9" s="1"/>
  <c r="M8" i="9"/>
  <c r="Q8" i="9"/>
  <c r="L173" i="9"/>
  <c r="D181" i="9" s="1"/>
  <c r="M173" i="9"/>
  <c r="K173" i="9"/>
  <c r="I173" i="9"/>
  <c r="N173" i="9"/>
  <c r="Q173" i="9"/>
  <c r="EF212" i="4"/>
  <c r="EV212" i="4"/>
  <c r="DD274" i="4"/>
  <c r="AF274" i="4" s="1"/>
  <c r="DE274" i="4"/>
  <c r="BS58" i="5"/>
  <c r="BS77" i="5" s="1"/>
  <c r="P6" i="5"/>
  <c r="FI59" i="4"/>
  <c r="AC6" i="5"/>
  <c r="FI79" i="4"/>
  <c r="EH114" i="4"/>
  <c r="EF230" i="4"/>
  <c r="EV230" i="4"/>
  <c r="EF201" i="4"/>
  <c r="EV201" i="4"/>
  <c r="DN123" i="4" a="1"/>
  <c r="DN123" i="4" s="1"/>
  <c r="DN127" i="4" a="1"/>
  <c r="DN127" i="4" s="1"/>
  <c r="DN122" i="4" a="1"/>
  <c r="DN122" i="4" s="1"/>
  <c r="DN126" i="4" a="1"/>
  <c r="DN126" i="4" s="1"/>
  <c r="DN125" i="4" a="1"/>
  <c r="DN125" i="4" s="1"/>
  <c r="DN124" i="4" a="1"/>
  <c r="DN124" i="4" s="1"/>
  <c r="EB233" i="4"/>
  <c r="ED233" i="4" s="1"/>
  <c r="EF200" i="4"/>
  <c r="EV200" i="4"/>
  <c r="EB229" i="4"/>
  <c r="ED229" i="4" s="1"/>
  <c r="EF191" i="4"/>
  <c r="EV191" i="4"/>
  <c r="EO82" i="4"/>
  <c r="AF5" i="5"/>
  <c r="EO155" i="4"/>
  <c r="EU155" i="4" s="1"/>
  <c r="BA5" i="5"/>
  <c r="EB234" i="4"/>
  <c r="ED234" i="4" s="1"/>
  <c r="DB120" i="4"/>
  <c r="DC120" i="4" s="1"/>
  <c r="DB108" i="4"/>
  <c r="DC108" i="4" s="1"/>
  <c r="DB50" i="4"/>
  <c r="DC50" i="4" s="1"/>
  <c r="DB46" i="4"/>
  <c r="DC46" i="4" s="1"/>
  <c r="DB42" i="4"/>
  <c r="AL6" i="8"/>
  <c r="AP6" i="8" s="1"/>
  <c r="AN6" i="8"/>
  <c r="AI6" i="8"/>
  <c r="AK6" i="8"/>
  <c r="AM6" i="8"/>
  <c r="AQ6" i="8"/>
  <c r="AC7" i="8"/>
  <c r="AC9" i="8"/>
  <c r="AB10" i="8"/>
  <c r="AF10" i="8"/>
  <c r="AI11" i="8"/>
  <c r="AM11" i="8"/>
  <c r="AN11" i="8"/>
  <c r="AL11" i="8"/>
  <c r="AK11" i="8"/>
  <c r="AQ11" i="8"/>
  <c r="AL88" i="8"/>
  <c r="AP88" i="8" s="1"/>
  <c r="AN88" i="8"/>
  <c r="AI88" i="8"/>
  <c r="AK88" i="8"/>
  <c r="AM88" i="8"/>
  <c r="AQ88" i="8"/>
  <c r="AC89" i="8"/>
  <c r="AL90" i="8"/>
  <c r="AN90" i="8"/>
  <c r="AI90" i="8"/>
  <c r="AK90" i="8"/>
  <c r="AM90" i="8"/>
  <c r="AQ90" i="8"/>
  <c r="AB92" i="8"/>
  <c r="AF92" i="8"/>
  <c r="AI93" i="8"/>
  <c r="AM93" i="8"/>
  <c r="AN93" i="8"/>
  <c r="AK93" i="8"/>
  <c r="AL93" i="8"/>
  <c r="AQ93" i="8"/>
  <c r="AL170" i="8"/>
  <c r="AN170" i="8"/>
  <c r="AI170" i="8"/>
  <c r="AK170" i="8"/>
  <c r="AO170" i="8" s="1"/>
  <c r="AM170" i="8"/>
  <c r="AQ170" i="8"/>
  <c r="AC171" i="8"/>
  <c r="AC173" i="8"/>
  <c r="AB174" i="8"/>
  <c r="AF174" i="8"/>
  <c r="AI175" i="8"/>
  <c r="AM175" i="8"/>
  <c r="AN175" i="8"/>
  <c r="AK175" i="8"/>
  <c r="AL175" i="8"/>
  <c r="AQ175" i="8"/>
  <c r="EB231" i="4"/>
  <c r="ED231" i="4" s="1"/>
  <c r="E17" i="9"/>
  <c r="E15" i="9"/>
  <c r="B6" i="9"/>
  <c r="E18" i="9"/>
  <c r="E16" i="9"/>
  <c r="F6" i="9"/>
  <c r="K7" i="9"/>
  <c r="O7" i="9" s="1"/>
  <c r="M7" i="9"/>
  <c r="L7" i="9"/>
  <c r="N7" i="9"/>
  <c r="I7" i="9"/>
  <c r="G18" i="9" s="1"/>
  <c r="Q7" i="9"/>
  <c r="AC88" i="9"/>
  <c r="AC90" i="9"/>
  <c r="AC92" i="9"/>
  <c r="D179" i="9"/>
  <c r="B170" i="9"/>
  <c r="G179" i="9"/>
  <c r="E179" i="9"/>
  <c r="G181" i="9"/>
  <c r="E180" i="9"/>
  <c r="G180" i="9"/>
  <c r="E181" i="9"/>
  <c r="E182" i="9"/>
  <c r="F170" i="9"/>
  <c r="B172" i="9"/>
  <c r="F172" i="9"/>
  <c r="B174" i="9"/>
  <c r="F174" i="9"/>
  <c r="EB222" i="4"/>
  <c r="ED222" i="4" s="1"/>
  <c r="B7" i="8"/>
  <c r="F7" i="8"/>
  <c r="B8" i="8"/>
  <c r="F8" i="8"/>
  <c r="B9" i="8"/>
  <c r="F9" i="8"/>
  <c r="B11" i="8"/>
  <c r="F11" i="8"/>
  <c r="B89" i="8"/>
  <c r="F89" i="8"/>
  <c r="B90" i="8"/>
  <c r="F90" i="8"/>
  <c r="B91" i="8"/>
  <c r="F91" i="8"/>
  <c r="B93" i="8"/>
  <c r="F93" i="8"/>
  <c r="N170" i="8"/>
  <c r="L170" i="8"/>
  <c r="P170" i="8" s="1"/>
  <c r="L174" i="8"/>
  <c r="M174" i="8"/>
  <c r="I174" i="8"/>
  <c r="K174" i="8"/>
  <c r="N174" i="8"/>
  <c r="Q174" i="8"/>
  <c r="C175" i="8"/>
  <c r="AC6" i="9"/>
  <c r="AC8" i="9"/>
  <c r="AB11" i="9"/>
  <c r="AF11" i="9"/>
  <c r="L88" i="9"/>
  <c r="N88" i="9"/>
  <c r="I88" i="9"/>
  <c r="M88" i="9"/>
  <c r="K88" i="9"/>
  <c r="Q88" i="9"/>
  <c r="C89" i="9"/>
  <c r="C93" i="9"/>
  <c r="AB175" i="9"/>
  <c r="AF175" i="9"/>
  <c r="AB6" i="5"/>
  <c r="FI78" i="4"/>
  <c r="EC269" i="4"/>
  <c r="EC253" i="4"/>
  <c r="EC241" i="4"/>
  <c r="EF228" i="4"/>
  <c r="EV228" i="4"/>
  <c r="EF213" i="4"/>
  <c r="EV213" i="4"/>
  <c r="EH111" i="4"/>
  <c r="EH149" i="4"/>
  <c r="EB237" i="4"/>
  <c r="ED237" i="4" s="1"/>
  <c r="EC212" i="4"/>
  <c r="EC208" i="4"/>
  <c r="EC204" i="4"/>
  <c r="EC200" i="4"/>
  <c r="DB58" i="4"/>
  <c r="DB59" i="4"/>
  <c r="DB60" i="4"/>
  <c r="DB61" i="4"/>
  <c r="DC61" i="4" s="1"/>
  <c r="DB62" i="4"/>
  <c r="DB63" i="4"/>
  <c r="DC63" i="4" s="1"/>
  <c r="DB64" i="4"/>
  <c r="DC64" i="4" s="1"/>
  <c r="DB65" i="4"/>
  <c r="DC65" i="4" s="1"/>
  <c r="DB66" i="4"/>
  <c r="DB67" i="4"/>
  <c r="DC67" i="4" s="1"/>
  <c r="DB68" i="4"/>
  <c r="DC68" i="4" s="1"/>
  <c r="DB69" i="4"/>
  <c r="DC69" i="4" s="1"/>
  <c r="DC58" i="4"/>
  <c r="DC62" i="4"/>
  <c r="DC66" i="4"/>
  <c r="EH120" i="4"/>
  <c r="EC265" i="4"/>
  <c r="EC245" i="4"/>
  <c r="EF206" i="4"/>
  <c r="EV206" i="4"/>
  <c r="DB83" i="4"/>
  <c r="DC83" i="4" s="1"/>
  <c r="DB78" i="4"/>
  <c r="DC78" i="4" s="1"/>
  <c r="DB80" i="4"/>
  <c r="DC80" i="4" s="1"/>
  <c r="DB82" i="4"/>
  <c r="DC82" i="4" s="1"/>
  <c r="DB77" i="4"/>
  <c r="DB81" i="4"/>
  <c r="DC81" i="4" s="1"/>
  <c r="DC77" i="4"/>
  <c r="DB79" i="4"/>
  <c r="DC79" i="4" s="1"/>
  <c r="DB84" i="4"/>
  <c r="DC84" i="4" s="1"/>
  <c r="DB85" i="4"/>
  <c r="DC85" i="4" s="1"/>
  <c r="DB86" i="4"/>
  <c r="DC86" i="4" s="1"/>
  <c r="DB87" i="4"/>
  <c r="DC87" i="4" s="1"/>
  <c r="DB88" i="4"/>
  <c r="DC88" i="4" s="1"/>
  <c r="EH105" i="4"/>
  <c r="EH136" i="4"/>
  <c r="EC213" i="4"/>
  <c r="EC209" i="4"/>
  <c r="DN69" i="4" a="1"/>
  <c r="DN69" i="4" s="1"/>
  <c r="DN73" i="4" a="1"/>
  <c r="DN73" i="4" s="1"/>
  <c r="DN70" i="4" a="1"/>
  <c r="DN70" i="4" s="1"/>
  <c r="DN71" i="4" a="1"/>
  <c r="DN71" i="4" s="1"/>
  <c r="DN72" i="4" a="1"/>
  <c r="DN72" i="4" s="1"/>
  <c r="DN74" i="4" a="1"/>
  <c r="DN74" i="4" s="1"/>
  <c r="EB223" i="4"/>
  <c r="ED223" i="4" s="1"/>
  <c r="DB117" i="4"/>
  <c r="DC117" i="4" s="1"/>
  <c r="DB139" i="4"/>
  <c r="DC139" i="4" s="1"/>
  <c r="DB49" i="4"/>
  <c r="DC49" i="4" s="1"/>
  <c r="DB45" i="4"/>
  <c r="DC45" i="4" s="1"/>
  <c r="DB41" i="4"/>
  <c r="DC41" i="4" s="1"/>
  <c r="AL7" i="8"/>
  <c r="AN7" i="8"/>
  <c r="AI7" i="8"/>
  <c r="AK7" i="8"/>
  <c r="AM7" i="8"/>
  <c r="AQ7" i="8"/>
  <c r="AB8" i="8"/>
  <c r="AF8" i="8"/>
  <c r="AL9" i="8"/>
  <c r="AN9" i="8"/>
  <c r="AI9" i="8"/>
  <c r="AK9" i="8"/>
  <c r="AM9" i="8"/>
  <c r="AQ9" i="8"/>
  <c r="AK10" i="8"/>
  <c r="AL10" i="8"/>
  <c r="AM10" i="8"/>
  <c r="AI10" i="8"/>
  <c r="AG17" i="8" s="1"/>
  <c r="AN10" i="8"/>
  <c r="AQ10" i="8"/>
  <c r="AL89" i="8"/>
  <c r="AN89" i="8"/>
  <c r="AI89" i="8"/>
  <c r="AM89" i="8"/>
  <c r="AK89" i="8"/>
  <c r="AO89" i="8" s="1"/>
  <c r="AQ89" i="8"/>
  <c r="AB90" i="8"/>
  <c r="AF90" i="8"/>
  <c r="AC91" i="8"/>
  <c r="AK92" i="8"/>
  <c r="AO92" i="8" s="1"/>
  <c r="AL92" i="8"/>
  <c r="AM92" i="8"/>
  <c r="AI92" i="8"/>
  <c r="AN92" i="8"/>
  <c r="AQ92" i="8"/>
  <c r="AC93" i="8"/>
  <c r="AL171" i="8"/>
  <c r="AN171" i="8"/>
  <c r="AM171" i="8"/>
  <c r="AK171" i="8"/>
  <c r="AI171" i="8"/>
  <c r="AQ171" i="8"/>
  <c r="AB172" i="8"/>
  <c r="AF172" i="8"/>
  <c r="AL173" i="8"/>
  <c r="AN173" i="8"/>
  <c r="AI173" i="8"/>
  <c r="AK173" i="8"/>
  <c r="AM173" i="8"/>
  <c r="AQ173" i="8"/>
  <c r="AK174" i="8"/>
  <c r="AL174" i="8"/>
  <c r="AM174" i="8"/>
  <c r="AN174" i="8"/>
  <c r="AI174" i="8"/>
  <c r="AQ174" i="8"/>
  <c r="AC175" i="8"/>
  <c r="EB227" i="4"/>
  <c r="ED227" i="4" s="1"/>
  <c r="B8" i="9"/>
  <c r="F8" i="9"/>
  <c r="B9" i="9"/>
  <c r="F9" i="9"/>
  <c r="B10" i="9"/>
  <c r="F10" i="9"/>
  <c r="N11" i="9"/>
  <c r="K11" i="9"/>
  <c r="O11" i="9" s="1"/>
  <c r="L11" i="9"/>
  <c r="M11" i="9"/>
  <c r="I11" i="9"/>
  <c r="G17" i="9" s="1"/>
  <c r="Q11" i="9"/>
  <c r="AB91" i="9"/>
  <c r="AF91" i="9"/>
  <c r="C170" i="9"/>
  <c r="B171" i="9"/>
  <c r="F171" i="9"/>
  <c r="B175" i="9"/>
  <c r="F175" i="9"/>
  <c r="E15" i="8"/>
  <c r="E16" i="8"/>
  <c r="E17" i="8"/>
  <c r="B6" i="8"/>
  <c r="E18" i="8"/>
  <c r="F6" i="8"/>
  <c r="C7" i="8"/>
  <c r="B10" i="8"/>
  <c r="F10" i="8"/>
  <c r="C11" i="8"/>
  <c r="E97" i="8"/>
  <c r="E98" i="8"/>
  <c r="E99" i="8"/>
  <c r="B88" i="8"/>
  <c r="E100" i="8"/>
  <c r="F88" i="8"/>
  <c r="C89" i="8"/>
  <c r="B92" i="8"/>
  <c r="F92" i="8"/>
  <c r="C93" i="8"/>
  <c r="E179" i="8"/>
  <c r="E180" i="8"/>
  <c r="B170" i="8"/>
  <c r="E182" i="8"/>
  <c r="F170" i="8"/>
  <c r="B172" i="8"/>
  <c r="F172" i="8"/>
  <c r="K173" i="8"/>
  <c r="M173" i="8"/>
  <c r="L173" i="8"/>
  <c r="N173" i="8"/>
  <c r="I173" i="8"/>
  <c r="Q173" i="8"/>
  <c r="AB9" i="9"/>
  <c r="AF9" i="9"/>
  <c r="AC10" i="9"/>
  <c r="L89" i="9"/>
  <c r="N89" i="9"/>
  <c r="I89" i="9"/>
  <c r="G100" i="9" s="1"/>
  <c r="D119" i="9" s="1"/>
  <c r="M89" i="9"/>
  <c r="K89" i="9"/>
  <c r="Q89" i="9"/>
  <c r="B90" i="9"/>
  <c r="F90" i="9"/>
  <c r="C91" i="9"/>
  <c r="AG180" i="9"/>
  <c r="AE181" i="9"/>
  <c r="AB170" i="9"/>
  <c r="AE182" i="9"/>
  <c r="AG179" i="9"/>
  <c r="AE179" i="9"/>
  <c r="AE180" i="9"/>
  <c r="AG181" i="9"/>
  <c r="AF170" i="9"/>
  <c r="AB171" i="9"/>
  <c r="AF171" i="9"/>
  <c r="AB173" i="9"/>
  <c r="AF173" i="9"/>
  <c r="EI152" i="4"/>
  <c r="EJ152" i="4" s="1"/>
  <c r="AU152" i="4"/>
  <c r="EB152" i="4"/>
  <c r="FH59" i="4"/>
  <c r="FG60" i="4" s="1"/>
  <c r="FH79" i="4"/>
  <c r="FG80" i="4" s="1"/>
  <c r="AV6" i="5"/>
  <c r="AJ126" i="4"/>
  <c r="AE126" i="4" s="1"/>
  <c r="FI133" i="4"/>
  <c r="EH102" i="4"/>
  <c r="EH133" i="4"/>
  <c r="EF235" i="4"/>
  <c r="EV235" i="4"/>
  <c r="EF209" i="4"/>
  <c r="EV209" i="4"/>
  <c r="EO59" i="4"/>
  <c r="P5" i="5"/>
  <c r="DC42" i="4"/>
  <c r="DC59" i="4"/>
  <c r="EB236" i="4"/>
  <c r="ED236" i="4" s="1"/>
  <c r="EF208" i="4"/>
  <c r="EV208" i="4"/>
  <c r="EO83" i="4"/>
  <c r="AG5" i="5"/>
  <c r="EB232" i="4"/>
  <c r="ED232" i="4" s="1"/>
  <c r="V208" i="4"/>
  <c r="V209" i="4"/>
  <c r="V210" i="4"/>
  <c r="V211" i="4"/>
  <c r="V212" i="4"/>
  <c r="V213" i="4"/>
  <c r="DB114" i="4"/>
  <c r="DC114" i="4" s="1"/>
  <c r="DB136" i="4"/>
  <c r="DC136" i="4" s="1"/>
  <c r="DB48" i="4"/>
  <c r="DC48" i="4" s="1"/>
  <c r="DB44" i="4"/>
  <c r="DC44" i="4" s="1"/>
  <c r="DB40" i="4"/>
  <c r="DC40" i="4" s="1"/>
  <c r="AD15" i="8"/>
  <c r="AB6" i="8"/>
  <c r="AE18" i="8"/>
  <c r="AG15" i="8"/>
  <c r="AE15" i="8"/>
  <c r="AE16" i="8"/>
  <c r="AE17" i="8"/>
  <c r="AG16" i="8"/>
  <c r="AF6" i="8"/>
  <c r="AB11" i="8"/>
  <c r="AF11" i="8"/>
  <c r="AD97" i="8"/>
  <c r="AB88" i="8"/>
  <c r="AE100" i="8"/>
  <c r="AG97" i="8"/>
  <c r="AE97" i="8"/>
  <c r="AD99" i="8"/>
  <c r="AG99" i="8"/>
  <c r="AE98" i="8"/>
  <c r="AE99" i="8"/>
  <c r="AG98" i="8"/>
  <c r="AF88" i="8"/>
  <c r="AL91" i="8"/>
  <c r="AM91" i="8"/>
  <c r="AN91" i="8"/>
  <c r="AK91" i="8"/>
  <c r="AO91" i="8" s="1"/>
  <c r="AI91" i="8"/>
  <c r="AG100" i="8" s="1"/>
  <c r="AQ91" i="8"/>
  <c r="AB170" i="8"/>
  <c r="AE182" i="8"/>
  <c r="AG181" i="8"/>
  <c r="AE180" i="8"/>
  <c r="AG179" i="8"/>
  <c r="AE179" i="8"/>
  <c r="AG180" i="8"/>
  <c r="AE181" i="8"/>
  <c r="AF170" i="8"/>
  <c r="I16" i="4"/>
  <c r="K16" i="4" s="1"/>
  <c r="B7" i="9"/>
  <c r="F7" i="9"/>
  <c r="B11" i="9"/>
  <c r="F11" i="9"/>
  <c r="AB89" i="9"/>
  <c r="AF89" i="9"/>
  <c r="AB93" i="9"/>
  <c r="AF93" i="9"/>
  <c r="B173" i="9"/>
  <c r="F173" i="9"/>
  <c r="L7" i="8"/>
  <c r="P7" i="8" s="1"/>
  <c r="N7" i="8"/>
  <c r="I7" i="8"/>
  <c r="G18" i="8" s="1"/>
  <c r="K7" i="8"/>
  <c r="D17" i="8" s="1"/>
  <c r="M7" i="8"/>
  <c r="Q7" i="8"/>
  <c r="K11" i="8"/>
  <c r="O11" i="8" s="1"/>
  <c r="L11" i="8"/>
  <c r="M11" i="8"/>
  <c r="I11" i="8"/>
  <c r="N11" i="8"/>
  <c r="Q11" i="8"/>
  <c r="L89" i="8"/>
  <c r="P89" i="8" s="1"/>
  <c r="N89" i="8"/>
  <c r="I89" i="8"/>
  <c r="G100" i="8" s="1"/>
  <c r="K89" i="8"/>
  <c r="M89" i="8"/>
  <c r="Q89" i="8"/>
  <c r="K93" i="8"/>
  <c r="O93" i="8" s="1"/>
  <c r="L93" i="8"/>
  <c r="M93" i="8"/>
  <c r="I93" i="8"/>
  <c r="N93" i="8"/>
  <c r="Q93" i="8"/>
  <c r="B171" i="8"/>
  <c r="F171" i="8"/>
  <c r="L172" i="8"/>
  <c r="P172" i="8" s="1"/>
  <c r="K172" i="8"/>
  <c r="N172" i="8"/>
  <c r="I172" i="8"/>
  <c r="M172" i="8"/>
  <c r="Q172" i="8"/>
  <c r="B173" i="8"/>
  <c r="F173" i="8"/>
  <c r="B174" i="8"/>
  <c r="F174" i="8"/>
  <c r="B175" i="8"/>
  <c r="F175" i="8"/>
  <c r="AB7" i="9"/>
  <c r="AF7" i="9"/>
  <c r="AC9" i="9"/>
  <c r="AC11" i="9"/>
  <c r="D100" i="9"/>
  <c r="D97" i="9"/>
  <c r="B88" i="9"/>
  <c r="E100" i="9"/>
  <c r="G97" i="9"/>
  <c r="E97" i="9"/>
  <c r="D99" i="9"/>
  <c r="E98" i="9"/>
  <c r="G98" i="9"/>
  <c r="E99" i="9"/>
  <c r="F88" i="9"/>
  <c r="L91" i="9"/>
  <c r="M91" i="9"/>
  <c r="N91" i="9"/>
  <c r="K91" i="9"/>
  <c r="D98" i="9" s="1"/>
  <c r="I91" i="9"/>
  <c r="Q91" i="9"/>
  <c r="B92" i="9"/>
  <c r="F92" i="9"/>
  <c r="AC171" i="9"/>
  <c r="AB172" i="9"/>
  <c r="AF172" i="9"/>
  <c r="AB174" i="9"/>
  <c r="AF174" i="9"/>
  <c r="AC175" i="9"/>
  <c r="D6" i="5"/>
  <c r="FI40" i="4"/>
  <c r="FH60" i="4"/>
  <c r="FG61" i="4" s="1"/>
  <c r="FH41" i="4"/>
  <c r="FG42" i="4" s="1"/>
  <c r="EI99" i="4"/>
  <c r="EJ99" i="4" s="1"/>
  <c r="EB99" i="4"/>
  <c r="AU99" i="4"/>
  <c r="Q370" i="8"/>
  <c r="DP81" i="4"/>
  <c r="DP85" i="4"/>
  <c r="DP82" i="4"/>
  <c r="DP86" i="4"/>
  <c r="DP83" i="4"/>
  <c r="DP84" i="4"/>
  <c r="AC12" i="5"/>
  <c r="AD12" i="5"/>
  <c r="AA12" i="5"/>
  <c r="AB12" i="5"/>
  <c r="EC261" i="4"/>
  <c r="EC249" i="4"/>
  <c r="EF225" i="4"/>
  <c r="EV225" i="4"/>
  <c r="EF205" i="4"/>
  <c r="EV205" i="4"/>
  <c r="EO60" i="4"/>
  <c r="EU60" i="4" s="1"/>
  <c r="Q5" i="5"/>
  <c r="EH130" i="4"/>
  <c r="EB224" i="4"/>
  <c r="ED224" i="4" s="1"/>
  <c r="EC214" i="4"/>
  <c r="EC210" i="4"/>
  <c r="EC206" i="4"/>
  <c r="EC202" i="4"/>
  <c r="DC105" i="4"/>
  <c r="DC60" i="4"/>
  <c r="EH108" i="4"/>
  <c r="EH139" i="4"/>
  <c r="EC257" i="4"/>
  <c r="EC236" i="4"/>
  <c r="EC220" i="4"/>
  <c r="EF204" i="4"/>
  <c r="EV204" i="4"/>
  <c r="EH117" i="4"/>
  <c r="EC232" i="4"/>
  <c r="EC216" i="4"/>
  <c r="EC211" i="4"/>
  <c r="EC207" i="4"/>
  <c r="EC203" i="4"/>
  <c r="EC199" i="4"/>
  <c r="EO80" i="4"/>
  <c r="AD5" i="5"/>
  <c r="EO152" i="4"/>
  <c r="EU152" i="4" s="1"/>
  <c r="AZ5" i="5"/>
  <c r="EB238" i="4"/>
  <c r="ED238" i="4" s="1"/>
  <c r="DB111" i="4"/>
  <c r="DC111" i="4" s="1"/>
  <c r="DB102" i="4"/>
  <c r="DC102" i="4" s="1"/>
  <c r="DB133" i="4"/>
  <c r="DC133" i="4" s="1"/>
  <c r="DB47" i="4"/>
  <c r="DC47" i="4" s="1"/>
  <c r="DB43" i="4"/>
  <c r="DC43" i="4" s="1"/>
  <c r="AC6" i="8"/>
  <c r="AB7" i="8"/>
  <c r="AF7" i="8"/>
  <c r="AL8" i="8"/>
  <c r="AM8" i="8"/>
  <c r="AN8" i="8"/>
  <c r="AK8" i="8"/>
  <c r="AI8" i="8"/>
  <c r="AG18" i="8" s="1"/>
  <c r="AQ8" i="8"/>
  <c r="AB9" i="8"/>
  <c r="AF9" i="8"/>
  <c r="AC11" i="8"/>
  <c r="AC88" i="8"/>
  <c r="AB89" i="8"/>
  <c r="AF89" i="8"/>
  <c r="AB91" i="8"/>
  <c r="AF91" i="8"/>
  <c r="AB93" i="8"/>
  <c r="AF93" i="8"/>
  <c r="AC170" i="8"/>
  <c r="AB171" i="8"/>
  <c r="AF171" i="8"/>
  <c r="AL172" i="8"/>
  <c r="AM172" i="8"/>
  <c r="AN172" i="8"/>
  <c r="AK172" i="8"/>
  <c r="AI172" i="8"/>
  <c r="AG182" i="8" s="1"/>
  <c r="AQ172" i="8"/>
  <c r="AB173" i="8"/>
  <c r="AF173" i="8"/>
  <c r="AB175" i="8"/>
  <c r="AF175" i="8"/>
  <c r="J17" i="4"/>
  <c r="L17" i="4" s="1"/>
  <c r="K6" i="9"/>
  <c r="O6" i="9" s="1"/>
  <c r="M6" i="9"/>
  <c r="L6" i="9"/>
  <c r="N6" i="9"/>
  <c r="I6" i="9"/>
  <c r="G16" i="9" s="1"/>
  <c r="Q6" i="9"/>
  <c r="C7" i="9"/>
  <c r="K10" i="9"/>
  <c r="O10" i="9" s="1"/>
  <c r="L10" i="9"/>
  <c r="M10" i="9"/>
  <c r="N10" i="9"/>
  <c r="I10" i="9"/>
  <c r="G15" i="9" s="1"/>
  <c r="Q10" i="9"/>
  <c r="C11" i="9"/>
  <c r="AD100" i="9"/>
  <c r="AB88" i="9"/>
  <c r="AE100" i="9"/>
  <c r="AG97" i="9"/>
  <c r="AE97" i="9"/>
  <c r="AD98" i="9"/>
  <c r="AE98" i="9"/>
  <c r="AG100" i="9"/>
  <c r="AG98" i="9"/>
  <c r="AE99" i="9"/>
  <c r="AF88" i="9"/>
  <c r="AC89" i="9"/>
  <c r="AB90" i="9"/>
  <c r="AF90" i="9"/>
  <c r="AB92" i="9"/>
  <c r="AF92" i="9"/>
  <c r="AC93" i="9"/>
  <c r="C173" i="9"/>
  <c r="L6" i="8"/>
  <c r="N6" i="8"/>
  <c r="I6" i="8"/>
  <c r="G16" i="8" s="1"/>
  <c r="K6" i="8"/>
  <c r="M6" i="8"/>
  <c r="Q6" i="8"/>
  <c r="K8" i="8"/>
  <c r="M8" i="8"/>
  <c r="L8" i="8"/>
  <c r="N8" i="8"/>
  <c r="I8" i="8"/>
  <c r="G17" i="8" s="1"/>
  <c r="Q8" i="8"/>
  <c r="N9" i="8"/>
  <c r="K9" i="8"/>
  <c r="O9" i="8" s="1"/>
  <c r="I9" i="8"/>
  <c r="L9" i="8"/>
  <c r="M9" i="8"/>
  <c r="Q9" i="8"/>
  <c r="M10" i="8"/>
  <c r="N10" i="8"/>
  <c r="K10" i="8"/>
  <c r="O10" i="8" s="1"/>
  <c r="L10" i="8"/>
  <c r="I10" i="8"/>
  <c r="G15" i="8" s="1"/>
  <c r="Q10" i="8"/>
  <c r="L88" i="8"/>
  <c r="N88" i="8"/>
  <c r="I88" i="8"/>
  <c r="G98" i="8" s="1"/>
  <c r="K88" i="8"/>
  <c r="M88" i="8"/>
  <c r="Q88" i="8"/>
  <c r="K90" i="8"/>
  <c r="M90" i="8"/>
  <c r="L90" i="8"/>
  <c r="N90" i="8"/>
  <c r="I90" i="8"/>
  <c r="G99" i="8" s="1"/>
  <c r="Q90" i="8"/>
  <c r="N91" i="8"/>
  <c r="K91" i="8"/>
  <c r="O91" i="8" s="1"/>
  <c r="I91" i="8"/>
  <c r="L91" i="8"/>
  <c r="M91" i="8"/>
  <c r="Q91" i="8"/>
  <c r="M92" i="8"/>
  <c r="N92" i="8"/>
  <c r="K92" i="8"/>
  <c r="O92" i="8" s="1"/>
  <c r="L92" i="8"/>
  <c r="I92" i="8"/>
  <c r="G97" i="8" s="1"/>
  <c r="Q92" i="8"/>
  <c r="N171" i="8"/>
  <c r="K171" i="8"/>
  <c r="I171" i="8"/>
  <c r="G180" i="8" s="1"/>
  <c r="M171" i="8"/>
  <c r="L171" i="8"/>
  <c r="P171" i="8" s="1"/>
  <c r="Q171" i="8"/>
  <c r="K175" i="8"/>
  <c r="M175" i="8"/>
  <c r="N175" i="8"/>
  <c r="L175" i="8"/>
  <c r="P175" i="8" s="1"/>
  <c r="I175" i="8"/>
  <c r="G179" i="8" s="1"/>
  <c r="Q175" i="8"/>
  <c r="CA190" i="4"/>
  <c r="BY156" i="4" s="1"/>
  <c r="CA189" i="4"/>
  <c r="BZ190" i="4"/>
  <c r="BX156" i="4" s="1"/>
  <c r="BZ189" i="4"/>
  <c r="AD17" i="9"/>
  <c r="AG16" i="9"/>
  <c r="AD18" i="9"/>
  <c r="AD15" i="9"/>
  <c r="AB6" i="9"/>
  <c r="AE18" i="9"/>
  <c r="AE15" i="9"/>
  <c r="AE16" i="9"/>
  <c r="AG17" i="9"/>
  <c r="AE17" i="9"/>
  <c r="AG15" i="9"/>
  <c r="AF6" i="9"/>
  <c r="AB8" i="9"/>
  <c r="AF8" i="9"/>
  <c r="AB10" i="9"/>
  <c r="AF10" i="9"/>
  <c r="B89" i="9"/>
  <c r="F89" i="9"/>
  <c r="B91" i="9"/>
  <c r="F91" i="9"/>
  <c r="B93" i="9"/>
  <c r="F93" i="9"/>
  <c r="AL171" i="9"/>
  <c r="AK171" i="9"/>
  <c r="AO171" i="9" s="1"/>
  <c r="AM171" i="9"/>
  <c r="AN171" i="9"/>
  <c r="AI171" i="9"/>
  <c r="AG182" i="9" s="1"/>
  <c r="AQ171" i="9"/>
  <c r="EU58" i="4" l="1"/>
  <c r="EU39" i="4"/>
  <c r="D34" i="9"/>
  <c r="I100" i="9"/>
  <c r="AD179" i="8"/>
  <c r="E181" i="8"/>
  <c r="H198" i="8" s="1"/>
  <c r="AP173" i="8"/>
  <c r="AP171" i="8"/>
  <c r="AP89" i="8"/>
  <c r="AP9" i="8"/>
  <c r="AP7" i="8"/>
  <c r="M170" i="8"/>
  <c r="EK179" i="4"/>
  <c r="C36" i="5"/>
  <c r="C76" i="5" s="1"/>
  <c r="EU40" i="4"/>
  <c r="EU62" i="4"/>
  <c r="N422" i="8"/>
  <c r="L155" i="4"/>
  <c r="N155" i="4" s="1"/>
  <c r="EK155" i="4"/>
  <c r="BZ156" i="4"/>
  <c r="M155" i="4"/>
  <c r="O155" i="4" s="1"/>
  <c r="CA156" i="4"/>
  <c r="BA11" i="5"/>
  <c r="EK210" i="4"/>
  <c r="EM210" i="4" s="1"/>
  <c r="K47" i="5"/>
  <c r="EF180" i="4"/>
  <c r="EV180" i="4"/>
  <c r="EK192" i="4"/>
  <c r="EM192" i="4" s="1"/>
  <c r="J37" i="5"/>
  <c r="AD35" i="9"/>
  <c r="P91" i="8"/>
  <c r="O88" i="8"/>
  <c r="P9" i="8"/>
  <c r="O6" i="8"/>
  <c r="P6" i="9"/>
  <c r="AD37" i="8"/>
  <c r="AP8" i="8"/>
  <c r="G182" i="8"/>
  <c r="AD181" i="8"/>
  <c r="O89" i="9"/>
  <c r="P89" i="9"/>
  <c r="F107" i="9" s="1"/>
  <c r="F113" i="9" s="1"/>
  <c r="K170" i="8"/>
  <c r="P7" i="9"/>
  <c r="AO90" i="8"/>
  <c r="AO11" i="8"/>
  <c r="AO90" i="9"/>
  <c r="P93" i="9"/>
  <c r="AP92" i="9"/>
  <c r="AO91" i="9"/>
  <c r="O172" i="9"/>
  <c r="AP6" i="9"/>
  <c r="AP172" i="9"/>
  <c r="AP7" i="9"/>
  <c r="EO189" i="4"/>
  <c r="EM216" i="4"/>
  <c r="EU47" i="4"/>
  <c r="J40" i="5"/>
  <c r="EK195" i="4"/>
  <c r="EM195" i="4" s="1"/>
  <c r="EK211" i="4"/>
  <c r="EM211" i="4" s="1"/>
  <c r="K48" i="5"/>
  <c r="EK207" i="4"/>
  <c r="EM207" i="4" s="1"/>
  <c r="K44" i="5"/>
  <c r="EU108" i="4"/>
  <c r="EU42" i="4"/>
  <c r="EK190" i="4"/>
  <c r="EM190" i="4" s="1"/>
  <c r="I39" i="5"/>
  <c r="I76" i="5" s="1"/>
  <c r="EU84" i="4"/>
  <c r="DW84" i="4"/>
  <c r="DW86" i="4" s="1"/>
  <c r="DX84" i="4"/>
  <c r="DX86" i="4" s="1"/>
  <c r="EU120" i="4"/>
  <c r="EK186" i="4"/>
  <c r="EM186" i="4" s="1"/>
  <c r="H37" i="5"/>
  <c r="EK184" i="4"/>
  <c r="G37" i="5"/>
  <c r="G76" i="5" s="1"/>
  <c r="EK185" i="4"/>
  <c r="H36" i="5"/>
  <c r="H76" i="5" s="1"/>
  <c r="EK202" i="4"/>
  <c r="EM202" i="4" s="1"/>
  <c r="K39" i="5"/>
  <c r="EK203" i="4"/>
  <c r="EM203" i="4" s="1"/>
  <c r="K40" i="5"/>
  <c r="EU64" i="4"/>
  <c r="AD201" i="9"/>
  <c r="AD16" i="9"/>
  <c r="AI15" i="9" s="1"/>
  <c r="AD22" i="9" s="1"/>
  <c r="D98" i="8"/>
  <c r="AD97" i="9"/>
  <c r="AI100" i="9" s="1"/>
  <c r="D116" i="8"/>
  <c r="D34" i="8"/>
  <c r="AD99" i="9"/>
  <c r="AD201" i="8"/>
  <c r="AD119" i="8"/>
  <c r="AD100" i="8"/>
  <c r="AI100" i="8" s="1"/>
  <c r="AD17" i="8"/>
  <c r="EU59" i="4"/>
  <c r="AD179" i="9"/>
  <c r="G181" i="8"/>
  <c r="D200" i="8" s="1"/>
  <c r="P11" i="9"/>
  <c r="AO174" i="8"/>
  <c r="AP92" i="8"/>
  <c r="AO10" i="8"/>
  <c r="O174" i="8"/>
  <c r="Q170" i="8"/>
  <c r="D180" i="9"/>
  <c r="I181" i="9" s="1"/>
  <c r="F188" i="9" s="1"/>
  <c r="F194" i="9" s="1"/>
  <c r="D182" i="9"/>
  <c r="I180" i="9" s="1"/>
  <c r="E188" i="9" s="1"/>
  <c r="E194" i="9" s="1"/>
  <c r="AP174" i="9"/>
  <c r="AO172" i="9"/>
  <c r="EO216" i="4"/>
  <c r="EM243" i="4"/>
  <c r="EM189" i="4"/>
  <c r="EU114" i="4"/>
  <c r="EU43" i="4"/>
  <c r="EU66" i="4"/>
  <c r="D119" i="8"/>
  <c r="D37" i="8"/>
  <c r="D36" i="9"/>
  <c r="D199" i="8"/>
  <c r="D118" i="8"/>
  <c r="D117" i="8"/>
  <c r="D36" i="8"/>
  <c r="D35" i="8"/>
  <c r="D35" i="9"/>
  <c r="D37" i="9"/>
  <c r="AD36" i="9"/>
  <c r="AD37" i="9"/>
  <c r="O175" i="8"/>
  <c r="O90" i="8"/>
  <c r="O8" i="8"/>
  <c r="AD117" i="9"/>
  <c r="AI99" i="9"/>
  <c r="AH119" i="9"/>
  <c r="AF100" i="9"/>
  <c r="S6" i="9"/>
  <c r="R6" i="9"/>
  <c r="T6" i="9" s="1"/>
  <c r="AR172" i="8"/>
  <c r="AT172" i="8" s="1"/>
  <c r="AS172" i="8"/>
  <c r="EI139" i="4"/>
  <c r="EJ139" i="4" s="1"/>
  <c r="EB139" i="4"/>
  <c r="AU139" i="4"/>
  <c r="EI108" i="4"/>
  <c r="EJ108" i="4" s="1"/>
  <c r="AU108" i="4"/>
  <c r="EB108" i="4"/>
  <c r="V36" i="5"/>
  <c r="V76" i="5" s="1"/>
  <c r="EK225" i="4"/>
  <c r="DR84" i="4"/>
  <c r="ET83" i="4" s="1"/>
  <c r="DR81" i="4"/>
  <c r="ET80" i="4" s="1"/>
  <c r="DR82" i="4"/>
  <c r="ET81" i="4" s="1"/>
  <c r="EU81" i="4" s="1"/>
  <c r="DR83" i="4"/>
  <c r="ET82" i="4" s="1"/>
  <c r="EU82" i="4" s="1"/>
  <c r="N407" i="8"/>
  <c r="R417" i="8" s="1"/>
  <c r="M417" i="8" s="1"/>
  <c r="DB191" i="4" s="1"/>
  <c r="L99" i="4"/>
  <c r="EK99" i="4"/>
  <c r="EL99" i="4"/>
  <c r="BZ100" i="4"/>
  <c r="M99" i="4"/>
  <c r="CA100" i="4"/>
  <c r="AM11" i="5"/>
  <c r="F6" i="5"/>
  <c r="FI42" i="4"/>
  <c r="R91" i="9"/>
  <c r="T91" i="9" s="1"/>
  <c r="S91" i="9"/>
  <c r="H118" i="9"/>
  <c r="F99" i="9"/>
  <c r="I99" i="9"/>
  <c r="H119" i="9"/>
  <c r="F100" i="9"/>
  <c r="R89" i="8"/>
  <c r="T89" i="8" s="1"/>
  <c r="S89" i="8"/>
  <c r="R7" i="8"/>
  <c r="T7" i="8" s="1"/>
  <c r="S7" i="8"/>
  <c r="AH200" i="8"/>
  <c r="AF181" i="8"/>
  <c r="AH199" i="8"/>
  <c r="AF180" i="8"/>
  <c r="AH201" i="8"/>
  <c r="AF182" i="8"/>
  <c r="AR91" i="8"/>
  <c r="AT91" i="8" s="1"/>
  <c r="AS91" i="8"/>
  <c r="AH119" i="8"/>
  <c r="AF100" i="8"/>
  <c r="AH37" i="8"/>
  <c r="AF18" i="8"/>
  <c r="EF232" i="4"/>
  <c r="EV232" i="4"/>
  <c r="K45" i="5"/>
  <c r="EK208" i="4"/>
  <c r="EM208" i="4" s="1"/>
  <c r="AD6" i="5"/>
  <c r="FI80" i="4"/>
  <c r="N420" i="8"/>
  <c r="R422" i="8" s="1"/>
  <c r="L152" i="4"/>
  <c r="M152" i="4"/>
  <c r="EL152" i="4"/>
  <c r="CA153" i="4"/>
  <c r="AZ11" i="5"/>
  <c r="EK152" i="4"/>
  <c r="BZ153" i="4"/>
  <c r="AH199" i="9"/>
  <c r="AF180" i="9"/>
  <c r="AH201" i="9"/>
  <c r="AF182" i="9"/>
  <c r="AH200" i="9"/>
  <c r="AF181" i="9"/>
  <c r="O173" i="8"/>
  <c r="F182" i="8"/>
  <c r="H201" i="8"/>
  <c r="F179" i="8"/>
  <c r="D182" i="8"/>
  <c r="D97" i="8"/>
  <c r="F18" i="8"/>
  <c r="H37" i="8"/>
  <c r="F17" i="8"/>
  <c r="H36" i="8"/>
  <c r="S11" i="9"/>
  <c r="R11" i="9"/>
  <c r="T11" i="9" s="1"/>
  <c r="EF227" i="4"/>
  <c r="EV227" i="4"/>
  <c r="AR173" i="8"/>
  <c r="AT173" i="8" s="1"/>
  <c r="AS173" i="8"/>
  <c r="AR171" i="8"/>
  <c r="AT171" i="8" s="1"/>
  <c r="AS171" i="8"/>
  <c r="AR89" i="8"/>
  <c r="AT89" i="8" s="1"/>
  <c r="AS89" i="8"/>
  <c r="AR9" i="8"/>
  <c r="AT9" i="8" s="1"/>
  <c r="AS9" i="8"/>
  <c r="AR7" i="8"/>
  <c r="AT7" i="8" s="1"/>
  <c r="AS7" i="8"/>
  <c r="AG235" i="8"/>
  <c r="BR88" i="4"/>
  <c r="Y12" i="5"/>
  <c r="AT84" i="4"/>
  <c r="BR85" i="4"/>
  <c r="BR87" i="4"/>
  <c r="Z12" i="5"/>
  <c r="BR86" i="4"/>
  <c r="W12" i="5"/>
  <c r="X12" i="5"/>
  <c r="BR79" i="4"/>
  <c r="BR81" i="4"/>
  <c r="U12" i="5"/>
  <c r="V12" i="5"/>
  <c r="S12" i="5"/>
  <c r="G235" i="8"/>
  <c r="AT77" i="4"/>
  <c r="BR78" i="4"/>
  <c r="BR80" i="4"/>
  <c r="T12" i="5"/>
  <c r="EI105" i="4"/>
  <c r="EJ105" i="4" s="1"/>
  <c r="AU105" i="4"/>
  <c r="EB105" i="4"/>
  <c r="R174" i="8"/>
  <c r="T174" i="8" s="1"/>
  <c r="S174" i="8"/>
  <c r="EF222" i="4"/>
  <c r="EV222" i="4"/>
  <c r="D199" i="9"/>
  <c r="D200" i="9"/>
  <c r="H37" i="9"/>
  <c r="F18" i="9"/>
  <c r="D18" i="9"/>
  <c r="AP175" i="8"/>
  <c r="AP93" i="8"/>
  <c r="AP90" i="8"/>
  <c r="AO88" i="8"/>
  <c r="AR11" i="8"/>
  <c r="AT11" i="8" s="1"/>
  <c r="AS11" i="8"/>
  <c r="AO6" i="8"/>
  <c r="EF229" i="4"/>
  <c r="EV229" i="4"/>
  <c r="BS80" i="4"/>
  <c r="BS79" i="4"/>
  <c r="G235" i="9"/>
  <c r="BS81" i="4"/>
  <c r="BS78" i="4"/>
  <c r="BI77" i="4"/>
  <c r="K49" i="5"/>
  <c r="EK212" i="4"/>
  <c r="EM212" i="4" s="1"/>
  <c r="O173" i="9"/>
  <c r="AO93" i="9"/>
  <c r="FH155" i="4"/>
  <c r="EK214" i="4"/>
  <c r="EM214" i="4" s="1"/>
  <c r="K51" i="5"/>
  <c r="AO175" i="9"/>
  <c r="AO88" i="9"/>
  <c r="AP88" i="9"/>
  <c r="R36" i="5"/>
  <c r="R76" i="5" s="1"/>
  <c r="EK221" i="4"/>
  <c r="P9" i="9"/>
  <c r="AP170" i="9"/>
  <c r="AO9" i="9"/>
  <c r="EK226" i="4"/>
  <c r="W36" i="5"/>
  <c r="W76" i="5" s="1"/>
  <c r="AO6" i="9"/>
  <c r="AR171" i="9"/>
  <c r="AT171" i="9" s="1"/>
  <c r="AS171" i="9"/>
  <c r="AH35" i="9"/>
  <c r="AF16" i="9"/>
  <c r="AI17" i="9"/>
  <c r="R171" i="8"/>
  <c r="T171" i="8" s="1"/>
  <c r="S171" i="8"/>
  <c r="O171" i="8"/>
  <c r="P92" i="8"/>
  <c r="R91" i="8"/>
  <c r="T91" i="8" s="1"/>
  <c r="S91" i="8"/>
  <c r="R88" i="8"/>
  <c r="T88" i="8" s="1"/>
  <c r="S88" i="8"/>
  <c r="P10" i="8"/>
  <c r="R9" i="8"/>
  <c r="T9" i="8" s="1"/>
  <c r="S9" i="8"/>
  <c r="R6" i="8"/>
  <c r="T6" i="8" s="1"/>
  <c r="S6" i="8"/>
  <c r="AD119" i="9"/>
  <c r="AI98" i="9"/>
  <c r="S10" i="9"/>
  <c r="R10" i="9"/>
  <c r="T10" i="9" s="1"/>
  <c r="P10" i="9"/>
  <c r="AP172" i="8"/>
  <c r="AO8" i="8"/>
  <c r="EF238" i="4"/>
  <c r="EV238" i="4"/>
  <c r="EU80" i="4"/>
  <c r="K41" i="5"/>
  <c r="EK204" i="4"/>
  <c r="EM204" i="4" s="1"/>
  <c r="EI130" i="4"/>
  <c r="EJ130" i="4" s="1"/>
  <c r="AU130" i="4"/>
  <c r="EB130" i="4"/>
  <c r="P91" i="9"/>
  <c r="D117" i="9"/>
  <c r="I98" i="9"/>
  <c r="E107" i="9" s="1"/>
  <c r="E113" i="9" s="1"/>
  <c r="AD199" i="8"/>
  <c r="AD200" i="8"/>
  <c r="AP91" i="8"/>
  <c r="AH118" i="8"/>
  <c r="AF99" i="8"/>
  <c r="AD98" i="8"/>
  <c r="AH36" i="8"/>
  <c r="AF17" i="8"/>
  <c r="AD16" i="8"/>
  <c r="EF236" i="4"/>
  <c r="EV236" i="4"/>
  <c r="K46" i="5"/>
  <c r="EK209" i="4"/>
  <c r="EM209" i="4" s="1"/>
  <c r="FI60" i="4"/>
  <c r="Q6" i="5"/>
  <c r="FH61" i="4"/>
  <c r="FG62" i="4" s="1"/>
  <c r="FH62" i="4" s="1"/>
  <c r="FG63" i="4" s="1"/>
  <c r="AD181" i="9"/>
  <c r="AD199" i="9"/>
  <c r="F180" i="8"/>
  <c r="H199" i="8"/>
  <c r="D100" i="8"/>
  <c r="F98" i="8"/>
  <c r="H117" i="8"/>
  <c r="H116" i="8"/>
  <c r="F97" i="8"/>
  <c r="AG153" i="8"/>
  <c r="Q12" i="5"/>
  <c r="AT65" i="4"/>
  <c r="BR66" i="4"/>
  <c r="BR68" i="4"/>
  <c r="R12" i="5"/>
  <c r="BR67" i="4"/>
  <c r="BR69" i="4"/>
  <c r="O12" i="5"/>
  <c r="P12" i="5"/>
  <c r="BR41" i="4"/>
  <c r="BR43" i="4"/>
  <c r="E12" i="5"/>
  <c r="F12" i="5"/>
  <c r="C12" i="5"/>
  <c r="G71" i="8"/>
  <c r="AT39" i="4"/>
  <c r="BR40" i="4"/>
  <c r="BR42" i="4"/>
  <c r="D12" i="5"/>
  <c r="EI120" i="4"/>
  <c r="EJ120" i="4" s="1"/>
  <c r="AU120" i="4"/>
  <c r="EB120" i="4"/>
  <c r="K50" i="5"/>
  <c r="EK213" i="4"/>
  <c r="EM213" i="4" s="1"/>
  <c r="R88" i="9"/>
  <c r="T88" i="9" s="1"/>
  <c r="S88" i="9"/>
  <c r="P174" i="8"/>
  <c r="H35" i="9"/>
  <c r="F16" i="9"/>
  <c r="H34" i="9"/>
  <c r="F15" i="9"/>
  <c r="AO175" i="8"/>
  <c r="AR170" i="8"/>
  <c r="AT170" i="8" s="1"/>
  <c r="AS170" i="8"/>
  <c r="AO93" i="8"/>
  <c r="EF234" i="4"/>
  <c r="EV234" i="4"/>
  <c r="BS42" i="4"/>
  <c r="BS41" i="4"/>
  <c r="G71" i="9"/>
  <c r="BS43" i="4"/>
  <c r="BS40" i="4"/>
  <c r="BI39" i="4"/>
  <c r="K38" i="5"/>
  <c r="EK201" i="4"/>
  <c r="EM201" i="4" s="1"/>
  <c r="S173" i="9"/>
  <c r="R173" i="9"/>
  <c r="T173" i="9" s="1"/>
  <c r="AS90" i="9"/>
  <c r="AR90" i="9"/>
  <c r="AT90" i="9" s="1"/>
  <c r="FH105" i="4"/>
  <c r="FG108" i="4" s="1"/>
  <c r="R93" i="9"/>
  <c r="T93" i="9" s="1"/>
  <c r="S93" i="9"/>
  <c r="R90" i="9"/>
  <c r="T90" i="9" s="1"/>
  <c r="S90" i="9"/>
  <c r="AS92" i="9"/>
  <c r="AR92" i="9"/>
  <c r="AT92" i="9" s="1"/>
  <c r="S172" i="9"/>
  <c r="R172" i="9"/>
  <c r="T172" i="9" s="1"/>
  <c r="S174" i="9"/>
  <c r="R174" i="9"/>
  <c r="T174" i="9" s="1"/>
  <c r="S175" i="9"/>
  <c r="R175" i="9"/>
  <c r="T175" i="9" s="1"/>
  <c r="P175" i="9"/>
  <c r="AR170" i="9"/>
  <c r="AT170" i="9" s="1"/>
  <c r="AS170" i="9"/>
  <c r="O92" i="9"/>
  <c r="AR11" i="9"/>
  <c r="AT11" i="9" s="1"/>
  <c r="AS11" i="9"/>
  <c r="AP11" i="9"/>
  <c r="AR173" i="9"/>
  <c r="AT173" i="9" s="1"/>
  <c r="AS173" i="9"/>
  <c r="S171" i="9"/>
  <c r="R171" i="9"/>
  <c r="T171" i="9" s="1"/>
  <c r="AR8" i="9"/>
  <c r="AT8" i="9" s="1"/>
  <c r="AS8" i="9"/>
  <c r="AS89" i="9"/>
  <c r="AR89" i="9"/>
  <c r="AT89" i="9" s="1"/>
  <c r="S170" i="9"/>
  <c r="R170" i="9"/>
  <c r="T170" i="9" s="1"/>
  <c r="AP171" i="9"/>
  <c r="AD34" i="9"/>
  <c r="AH34" i="9"/>
  <c r="AF15" i="9"/>
  <c r="AI18" i="9"/>
  <c r="AI16" i="9"/>
  <c r="P90" i="8"/>
  <c r="P88" i="8"/>
  <c r="P8" i="8"/>
  <c r="P6" i="8"/>
  <c r="AH117" i="9"/>
  <c r="AF98" i="9"/>
  <c r="AH116" i="9"/>
  <c r="AF97" i="9"/>
  <c r="AI97" i="9"/>
  <c r="AO172" i="8"/>
  <c r="EI117" i="4"/>
  <c r="EJ117" i="4" s="1"/>
  <c r="AU117" i="4"/>
  <c r="EB117" i="4"/>
  <c r="EF224" i="4"/>
  <c r="EV224" i="4"/>
  <c r="K42" i="5"/>
  <c r="EK205" i="4"/>
  <c r="EM205" i="4" s="1"/>
  <c r="FH42" i="4"/>
  <c r="FG43" i="4" s="1"/>
  <c r="FH43" i="4" s="1"/>
  <c r="FG44" i="4" s="1"/>
  <c r="FI61" i="4"/>
  <c r="R6" i="5"/>
  <c r="O91" i="9"/>
  <c r="H117" i="9"/>
  <c r="F98" i="9"/>
  <c r="H116" i="9"/>
  <c r="F97" i="9"/>
  <c r="I97" i="9"/>
  <c r="R172" i="8"/>
  <c r="T172" i="8" s="1"/>
  <c r="S172" i="8"/>
  <c r="O172" i="8"/>
  <c r="R93" i="8"/>
  <c r="T93" i="8" s="1"/>
  <c r="S93" i="8"/>
  <c r="P93" i="8"/>
  <c r="O89" i="8"/>
  <c r="R11" i="8"/>
  <c r="T11" i="8" s="1"/>
  <c r="S11" i="8"/>
  <c r="P11" i="8"/>
  <c r="O7" i="8"/>
  <c r="AH198" i="8"/>
  <c r="AF179" i="8"/>
  <c r="AH117" i="8"/>
  <c r="AF98" i="8"/>
  <c r="AH116" i="8"/>
  <c r="AF97" i="8"/>
  <c r="AH35" i="8"/>
  <c r="AF16" i="8"/>
  <c r="AH34" i="8"/>
  <c r="AF15" i="8"/>
  <c r="EU83" i="4"/>
  <c r="EI133" i="4"/>
  <c r="EJ133" i="4" s="1"/>
  <c r="EB133" i="4"/>
  <c r="AU133" i="4"/>
  <c r="EI102" i="4"/>
  <c r="EJ102" i="4" s="1"/>
  <c r="AU102" i="4"/>
  <c r="EB102" i="4"/>
  <c r="AD200" i="9"/>
  <c r="AH198" i="9"/>
  <c r="AF179" i="9"/>
  <c r="R89" i="9"/>
  <c r="T89" i="9" s="1"/>
  <c r="S89" i="9"/>
  <c r="P173" i="8"/>
  <c r="D180" i="8"/>
  <c r="F100" i="8"/>
  <c r="H119" i="8"/>
  <c r="F99" i="8"/>
  <c r="H118" i="8"/>
  <c r="D15" i="8"/>
  <c r="D16" i="8"/>
  <c r="AR174" i="8"/>
  <c r="AT174" i="8" s="1"/>
  <c r="AS174" i="8"/>
  <c r="AP174" i="8"/>
  <c r="AO173" i="8"/>
  <c r="AO171" i="8"/>
  <c r="AR10" i="8"/>
  <c r="AT10" i="8" s="1"/>
  <c r="AS10" i="8"/>
  <c r="AP10" i="8"/>
  <c r="AO9" i="8"/>
  <c r="AO7" i="8"/>
  <c r="BR60" i="4"/>
  <c r="BR62" i="4"/>
  <c r="M12" i="5"/>
  <c r="N12" i="5"/>
  <c r="G153" i="8"/>
  <c r="K12" i="5"/>
  <c r="AT58" i="4"/>
  <c r="BR59" i="4"/>
  <c r="BR61" i="4"/>
  <c r="L12" i="5"/>
  <c r="O88" i="9"/>
  <c r="P88" i="9"/>
  <c r="R170" i="8"/>
  <c r="T170" i="8" s="1"/>
  <c r="S170" i="8"/>
  <c r="H201" i="9"/>
  <c r="F182" i="9"/>
  <c r="H198" i="9"/>
  <c r="F179" i="9"/>
  <c r="I182" i="9"/>
  <c r="S7" i="9"/>
  <c r="R7" i="9"/>
  <c r="T7" i="9" s="1"/>
  <c r="D17" i="9"/>
  <c r="EF231" i="4"/>
  <c r="EV231" i="4"/>
  <c r="AP170" i="8"/>
  <c r="AR88" i="8"/>
  <c r="AT88" i="8" s="1"/>
  <c r="AS88" i="8"/>
  <c r="AP11" i="8"/>
  <c r="AR6" i="8"/>
  <c r="AT6" i="8" s="1"/>
  <c r="AS6" i="8"/>
  <c r="K37" i="5"/>
  <c r="EK200" i="4"/>
  <c r="G153" i="9"/>
  <c r="BS62" i="4"/>
  <c r="BS59" i="4"/>
  <c r="BI58" i="4"/>
  <c r="BS61" i="4"/>
  <c r="BS60" i="4"/>
  <c r="BS88" i="4"/>
  <c r="BS86" i="4"/>
  <c r="AG235" i="9"/>
  <c r="BS85" i="4"/>
  <c r="BI84" i="4"/>
  <c r="BS87" i="4"/>
  <c r="P173" i="9"/>
  <c r="AP90" i="9"/>
  <c r="O93" i="9"/>
  <c r="P90" i="9"/>
  <c r="AO92" i="9"/>
  <c r="AP91" i="9"/>
  <c r="P172" i="9"/>
  <c r="P174" i="9"/>
  <c r="O175" i="9"/>
  <c r="O9" i="9"/>
  <c r="AO170" i="9"/>
  <c r="AO11" i="9"/>
  <c r="AO173" i="9"/>
  <c r="AP173" i="9"/>
  <c r="P171" i="9"/>
  <c r="O171" i="9"/>
  <c r="AP8" i="9"/>
  <c r="AO8" i="9"/>
  <c r="O170" i="9"/>
  <c r="AR7" i="9"/>
  <c r="AT7" i="9" s="1"/>
  <c r="AS7" i="9"/>
  <c r="AH36" i="9"/>
  <c r="AF17" i="9"/>
  <c r="AH37" i="9"/>
  <c r="AF18" i="9"/>
  <c r="R175" i="8"/>
  <c r="T175" i="8" s="1"/>
  <c r="S175" i="8"/>
  <c r="R92" i="8"/>
  <c r="T92" i="8" s="1"/>
  <c r="S92" i="8"/>
  <c r="R90" i="8"/>
  <c r="T90" i="8" s="1"/>
  <c r="S90" i="8"/>
  <c r="R10" i="8"/>
  <c r="T10" i="8" s="1"/>
  <c r="S10" i="8"/>
  <c r="R8" i="8"/>
  <c r="T8" i="8" s="1"/>
  <c r="S8" i="8"/>
  <c r="AH118" i="9"/>
  <c r="AF99" i="9"/>
  <c r="AD116" i="9"/>
  <c r="AR8" i="8"/>
  <c r="AT8" i="8" s="1"/>
  <c r="AS8" i="8"/>
  <c r="D118" i="9"/>
  <c r="D116" i="9"/>
  <c r="G107" i="9"/>
  <c r="G113" i="9" s="1"/>
  <c r="D107" i="9"/>
  <c r="AD198" i="8"/>
  <c r="AD180" i="8"/>
  <c r="AI181" i="8" s="1"/>
  <c r="AD182" i="8"/>
  <c r="AI182" i="8" s="1"/>
  <c r="AD117" i="8"/>
  <c r="AD118" i="8"/>
  <c r="AD116" i="8"/>
  <c r="AD35" i="8"/>
  <c r="AD36" i="8"/>
  <c r="AD34" i="8"/>
  <c r="AD18" i="8"/>
  <c r="AI18" i="8" s="1"/>
  <c r="EK235" i="4"/>
  <c r="AF36" i="5"/>
  <c r="AF76" i="5" s="1"/>
  <c r="AD198" i="9"/>
  <c r="AD182" i="9"/>
  <c r="AI182" i="9" s="1"/>
  <c r="R173" i="8"/>
  <c r="T173" i="8" s="1"/>
  <c r="S173" i="8"/>
  <c r="D179" i="8"/>
  <c r="D99" i="8"/>
  <c r="D18" i="8"/>
  <c r="I18" i="8" s="1"/>
  <c r="F16" i="8"/>
  <c r="H35" i="8"/>
  <c r="H34" i="8"/>
  <c r="F15" i="8"/>
  <c r="AR92" i="8"/>
  <c r="AT92" i="8" s="1"/>
  <c r="AS92" i="8"/>
  <c r="EF223" i="4"/>
  <c r="EV223" i="4"/>
  <c r="AG71" i="8"/>
  <c r="I12" i="5"/>
  <c r="AT46" i="4"/>
  <c r="BR47" i="4"/>
  <c r="BR49" i="4"/>
  <c r="J12" i="5"/>
  <c r="BR48" i="4"/>
  <c r="BR50" i="4"/>
  <c r="G12" i="5"/>
  <c r="H12" i="5"/>
  <c r="EI136" i="4"/>
  <c r="EJ136" i="4" s="1"/>
  <c r="EB136" i="4"/>
  <c r="AU136" i="4"/>
  <c r="EK206" i="4"/>
  <c r="EM206" i="4" s="1"/>
  <c r="K43" i="5"/>
  <c r="EF237" i="4"/>
  <c r="EV237" i="4"/>
  <c r="EI149" i="4"/>
  <c r="EJ149" i="4" s="1"/>
  <c r="AU149" i="4"/>
  <c r="EB149" i="4"/>
  <c r="EI111" i="4"/>
  <c r="EJ111" i="4" s="1"/>
  <c r="AU111" i="4"/>
  <c r="EB111" i="4"/>
  <c r="Y36" i="5"/>
  <c r="Y76" i="5" s="1"/>
  <c r="EK228" i="4"/>
  <c r="H200" i="9"/>
  <c r="F181" i="9"/>
  <c r="H199" i="9"/>
  <c r="F180" i="9"/>
  <c r="D198" i="9"/>
  <c r="D15" i="9"/>
  <c r="D16" i="9"/>
  <c r="H36" i="9"/>
  <c r="F17" i="9"/>
  <c r="AR175" i="8"/>
  <c r="AT175" i="8" s="1"/>
  <c r="AS175" i="8"/>
  <c r="AR93" i="8"/>
  <c r="AT93" i="8" s="1"/>
  <c r="AS93" i="8"/>
  <c r="AR90" i="8"/>
  <c r="AT90" i="8" s="1"/>
  <c r="AS90" i="8"/>
  <c r="EK191" i="4"/>
  <c r="J36" i="5"/>
  <c r="EF233" i="4"/>
  <c r="EV233" i="4"/>
  <c r="BS68" i="4"/>
  <c r="BS67" i="4"/>
  <c r="AG153" i="9"/>
  <c r="BS69" i="4"/>
  <c r="BS66" i="4"/>
  <c r="BI65" i="4"/>
  <c r="BS48" i="4"/>
  <c r="AG71" i="9"/>
  <c r="BS50" i="4"/>
  <c r="BS47" i="4"/>
  <c r="BI46" i="4"/>
  <c r="BS49" i="4"/>
  <c r="EK230" i="4"/>
  <c r="AA36" i="5"/>
  <c r="AA76" i="5" s="1"/>
  <c r="EI114" i="4"/>
  <c r="EJ114" i="4" s="1"/>
  <c r="AU114" i="4"/>
  <c r="EB114" i="4"/>
  <c r="FH80" i="4"/>
  <c r="FG81" i="4" s="1"/>
  <c r="S8" i="9"/>
  <c r="R8" i="9"/>
  <c r="T8" i="9" s="1"/>
  <c r="AS93" i="9"/>
  <c r="AR93" i="9"/>
  <c r="AT93" i="9" s="1"/>
  <c r="FI105" i="4"/>
  <c r="AO6" i="5"/>
  <c r="FI155" i="4"/>
  <c r="BA6" i="5"/>
  <c r="AR175" i="9"/>
  <c r="AT175" i="9" s="1"/>
  <c r="AS175" i="9"/>
  <c r="AR10" i="9"/>
  <c r="AT10" i="9" s="1"/>
  <c r="AS10" i="9"/>
  <c r="AS91" i="9"/>
  <c r="AR91" i="9"/>
  <c r="AT91" i="9" s="1"/>
  <c r="AS88" i="9"/>
  <c r="AR88" i="9"/>
  <c r="AT88" i="9" s="1"/>
  <c r="S9" i="9"/>
  <c r="R9" i="9"/>
  <c r="T9" i="9" s="1"/>
  <c r="R92" i="9"/>
  <c r="T92" i="9" s="1"/>
  <c r="S92" i="9"/>
  <c r="AR9" i="9"/>
  <c r="AT9" i="9" s="1"/>
  <c r="AS9" i="9"/>
  <c r="AR6" i="9"/>
  <c r="AT6" i="9" s="1"/>
  <c r="AS6" i="9"/>
  <c r="AR174" i="9"/>
  <c r="AT174" i="9" s="1"/>
  <c r="AS174" i="9"/>
  <c r="AO174" i="9"/>
  <c r="AR172" i="9"/>
  <c r="AT172" i="9" s="1"/>
  <c r="AS172" i="9"/>
  <c r="AX6" i="5"/>
  <c r="FI139" i="4"/>
  <c r="EU35" i="4" l="1"/>
  <c r="EU170" i="4" s="1"/>
  <c r="AD107" i="9"/>
  <c r="AG107" i="9"/>
  <c r="AG113" i="9" s="1"/>
  <c r="AF107" i="9"/>
  <c r="AF113" i="9" s="1"/>
  <c r="AE107" i="9"/>
  <c r="AE113" i="9" s="1"/>
  <c r="J76" i="5"/>
  <c r="I99" i="8"/>
  <c r="AI97" i="8"/>
  <c r="AD107" i="8" s="1"/>
  <c r="I179" i="9"/>
  <c r="D201" i="8"/>
  <c r="EO184" i="4"/>
  <c r="EM185" i="4"/>
  <c r="M424" i="8"/>
  <c r="DB179" i="4" s="1"/>
  <c r="M425" i="8"/>
  <c r="DB180" i="4" s="1"/>
  <c r="EM179" i="4"/>
  <c r="EO179" i="4"/>
  <c r="FH63" i="4"/>
  <c r="FG64" i="4" s="1"/>
  <c r="D188" i="9"/>
  <c r="D194" i="9" s="1"/>
  <c r="H200" i="8"/>
  <c r="AE22" i="9"/>
  <c r="AE28" i="9" s="1"/>
  <c r="AI98" i="8"/>
  <c r="EO185" i="4"/>
  <c r="D198" i="8"/>
  <c r="EK180" i="4"/>
  <c r="D36" i="5"/>
  <c r="D76" i="5" s="1"/>
  <c r="I16" i="9"/>
  <c r="F181" i="8"/>
  <c r="AG22" i="9"/>
  <c r="AG28" i="9" s="1"/>
  <c r="EO183" i="4"/>
  <c r="EM184" i="4"/>
  <c r="O170" i="8"/>
  <c r="D181" i="8"/>
  <c r="I179" i="8" s="1"/>
  <c r="CL155" i="4"/>
  <c r="BA10" i="5" s="1"/>
  <c r="AU156" i="4"/>
  <c r="EA155" i="4" s="1"/>
  <c r="AF188" i="8"/>
  <c r="AF194" i="8" s="1"/>
  <c r="AG188" i="8"/>
  <c r="AG194" i="8" s="1"/>
  <c r="N412" i="8"/>
  <c r="Q416" i="8" s="1"/>
  <c r="L416" i="8" s="1"/>
  <c r="DB196" i="4" s="1"/>
  <c r="EK114" i="4"/>
  <c r="CA115" i="4"/>
  <c r="L114" i="4"/>
  <c r="M114" i="4"/>
  <c r="BZ115" i="4"/>
  <c r="AR11" i="5"/>
  <c r="EL114" i="4"/>
  <c r="AD36" i="5"/>
  <c r="AD76" i="5" s="1"/>
  <c r="EK233" i="4"/>
  <c r="I15" i="9"/>
  <c r="EM228" i="4"/>
  <c r="EO201" i="4"/>
  <c r="N411" i="8"/>
  <c r="R416" i="8" s="1"/>
  <c r="M416" i="8" s="1"/>
  <c r="DB195" i="4" s="1"/>
  <c r="L111" i="4"/>
  <c r="M111" i="4"/>
  <c r="EK111" i="4"/>
  <c r="CA112" i="4"/>
  <c r="BZ112" i="4"/>
  <c r="AQ11" i="5"/>
  <c r="EL111" i="4"/>
  <c r="I181" i="8"/>
  <c r="I15" i="8"/>
  <c r="N416" i="8"/>
  <c r="R419" i="8" s="1"/>
  <c r="M419" i="8" s="1"/>
  <c r="DB188" i="4" s="1"/>
  <c r="L133" i="4"/>
  <c r="BZ134" i="4"/>
  <c r="AV11" i="5"/>
  <c r="CA134" i="4"/>
  <c r="M133" i="4"/>
  <c r="O133" i="4" s="1"/>
  <c r="EK133" i="4"/>
  <c r="EL133" i="4"/>
  <c r="AI179" i="8"/>
  <c r="FI43" i="4"/>
  <c r="G6" i="5"/>
  <c r="U36" i="5"/>
  <c r="U76" i="5" s="1"/>
  <c r="EK224" i="4"/>
  <c r="FH108" i="4"/>
  <c r="FG111" i="4" s="1"/>
  <c r="AI16" i="8"/>
  <c r="AF24" i="9"/>
  <c r="AF30" i="9" s="1"/>
  <c r="AE24" i="9"/>
  <c r="AE30" i="9" s="1"/>
  <c r="AG24" i="9"/>
  <c r="AG30" i="9" s="1"/>
  <c r="AD24" i="9"/>
  <c r="EO199" i="4"/>
  <c r="EM226" i="4"/>
  <c r="EM221" i="4"/>
  <c r="EO194" i="4"/>
  <c r="Z36" i="5"/>
  <c r="Z76" i="5" s="1"/>
  <c r="EK229" i="4"/>
  <c r="I18" i="9"/>
  <c r="G23" i="9" s="1"/>
  <c r="G29" i="9" s="1"/>
  <c r="I97" i="8"/>
  <c r="M422" i="8"/>
  <c r="DB184" i="4" s="1"/>
  <c r="R421" i="8"/>
  <c r="M421" i="8" s="1"/>
  <c r="DB186" i="4" s="1"/>
  <c r="G106" i="9"/>
  <c r="G112" i="9" s="1"/>
  <c r="F106" i="9"/>
  <c r="F112" i="9" s="1"/>
  <c r="E106" i="9"/>
  <c r="E112" i="9" s="1"/>
  <c r="D106" i="9"/>
  <c r="CL99" i="4"/>
  <c r="AM10" i="5" s="1"/>
  <c r="AU100" i="4"/>
  <c r="EA99" i="4" s="1"/>
  <c r="FI81" i="4"/>
  <c r="AE6" i="5"/>
  <c r="AH36" i="5"/>
  <c r="AH76" i="5" s="1"/>
  <c r="EK237" i="4"/>
  <c r="D25" i="8"/>
  <c r="G25" i="8"/>
  <c r="G31" i="8" s="1"/>
  <c r="AI180" i="9"/>
  <c r="AE189" i="9" s="1"/>
  <c r="AE195" i="9" s="1"/>
  <c r="AE25" i="8"/>
  <c r="AE31" i="8" s="1"/>
  <c r="AG25" i="8"/>
  <c r="AG31" i="8" s="1"/>
  <c r="AE107" i="8"/>
  <c r="AE113" i="8" s="1"/>
  <c r="AG107" i="8"/>
  <c r="AG113" i="8" s="1"/>
  <c r="AG189" i="8"/>
  <c r="AG195" i="8" s="1"/>
  <c r="AF189" i="8"/>
  <c r="AF195" i="8" s="1"/>
  <c r="AD189" i="8"/>
  <c r="EM200" i="4"/>
  <c r="EO187" i="4"/>
  <c r="F187" i="9"/>
  <c r="F193" i="9" s="1"/>
  <c r="G187" i="9"/>
  <c r="G193" i="9" s="1"/>
  <c r="D187" i="9"/>
  <c r="E187" i="9"/>
  <c r="E193" i="9" s="1"/>
  <c r="I180" i="8"/>
  <c r="N408" i="8"/>
  <c r="R415" i="8" s="1"/>
  <c r="M415" i="8" s="1"/>
  <c r="DB192" i="4" s="1"/>
  <c r="EK102" i="4"/>
  <c r="CA103" i="4"/>
  <c r="L102" i="4"/>
  <c r="M102" i="4"/>
  <c r="AN11" i="5"/>
  <c r="BZ103" i="4"/>
  <c r="EL102" i="4"/>
  <c r="H6" i="5"/>
  <c r="FI44" i="4"/>
  <c r="AF104" i="9"/>
  <c r="AF110" i="9" s="1"/>
  <c r="AE104" i="9"/>
  <c r="AE110" i="9" s="1"/>
  <c r="AD104" i="9"/>
  <c r="AG104" i="9"/>
  <c r="AG110" i="9" s="1"/>
  <c r="FH44" i="4"/>
  <c r="FG45" i="4" s="1"/>
  <c r="EK234" i="4"/>
  <c r="AE36" i="5"/>
  <c r="AE76" i="5" s="1"/>
  <c r="N414" i="8"/>
  <c r="R418" i="8" s="1"/>
  <c r="M418" i="8" s="1"/>
  <c r="DB198" i="4" s="1"/>
  <c r="M120" i="4"/>
  <c r="BZ121" i="4"/>
  <c r="L120" i="4"/>
  <c r="EK120" i="4"/>
  <c r="CA121" i="4"/>
  <c r="AT11" i="5"/>
  <c r="EL120" i="4"/>
  <c r="D105" i="9"/>
  <c r="E105" i="9"/>
  <c r="E111" i="9" s="1"/>
  <c r="G105" i="9"/>
  <c r="G111" i="9" s="1"/>
  <c r="F105" i="9"/>
  <c r="F111" i="9" s="1"/>
  <c r="AD105" i="9"/>
  <c r="AE105" i="9"/>
  <c r="AE111" i="9" s="1"/>
  <c r="AG105" i="9"/>
  <c r="AG111" i="9" s="1"/>
  <c r="AF105" i="9"/>
  <c r="AF111" i="9" s="1"/>
  <c r="N409" i="8"/>
  <c r="Q417" i="8" s="1"/>
  <c r="L417" i="8" s="1"/>
  <c r="DB193" i="4" s="1"/>
  <c r="M105" i="4"/>
  <c r="L105" i="4"/>
  <c r="BZ106" i="4"/>
  <c r="EK105" i="4"/>
  <c r="CA106" i="4"/>
  <c r="AO11" i="5"/>
  <c r="EL105" i="4"/>
  <c r="EK227" i="4"/>
  <c r="X36" i="5"/>
  <c r="X76" i="5" s="1"/>
  <c r="I182" i="8"/>
  <c r="AI99" i="8"/>
  <c r="AF105" i="8" s="1"/>
  <c r="AF111" i="8" s="1"/>
  <c r="K136" i="4"/>
  <c r="H16" i="4" s="1"/>
  <c r="O99" i="4"/>
  <c r="I136" i="4"/>
  <c r="F16" i="4" s="1"/>
  <c r="P16" i="4" s="1"/>
  <c r="N99" i="4"/>
  <c r="AG106" i="9"/>
  <c r="AG112" i="9" s="1"/>
  <c r="AF106" i="9"/>
  <c r="AF112" i="9" s="1"/>
  <c r="AE106" i="9"/>
  <c r="AE112" i="9" s="1"/>
  <c r="AD106" i="9"/>
  <c r="EO203" i="4"/>
  <c r="EM230" i="4"/>
  <c r="EO186" i="4"/>
  <c r="EM191" i="4"/>
  <c r="FI64" i="4"/>
  <c r="U6" i="5"/>
  <c r="N417" i="8"/>
  <c r="R420" i="8" s="1"/>
  <c r="M420" i="8" s="1"/>
  <c r="DB190" i="4" s="1"/>
  <c r="L136" i="4"/>
  <c r="BZ137" i="4"/>
  <c r="CA137" i="4"/>
  <c r="AW11" i="5"/>
  <c r="M136" i="4"/>
  <c r="O136" i="4" s="1"/>
  <c r="EK136" i="4"/>
  <c r="EL136" i="4"/>
  <c r="EK223" i="4"/>
  <c r="T36" i="5"/>
  <c r="T76" i="5" s="1"/>
  <c r="F106" i="8"/>
  <c r="F112" i="8" s="1"/>
  <c r="D106" i="8"/>
  <c r="AI180" i="8"/>
  <c r="AE188" i="8" s="1"/>
  <c r="AE194" i="8" s="1"/>
  <c r="D113" i="9"/>
  <c r="H113" i="9" s="1"/>
  <c r="H107" i="9"/>
  <c r="K76" i="5"/>
  <c r="EK231" i="4"/>
  <c r="AB36" i="5"/>
  <c r="AB76" i="5" s="1"/>
  <c r="D189" i="9"/>
  <c r="E189" i="9"/>
  <c r="E195" i="9" s="1"/>
  <c r="F189" i="9"/>
  <c r="F195" i="9" s="1"/>
  <c r="G189" i="9"/>
  <c r="G195" i="9" s="1"/>
  <c r="T6" i="5"/>
  <c r="FI63" i="4"/>
  <c r="AI15" i="8"/>
  <c r="AD25" i="8" s="1"/>
  <c r="AE23" i="9"/>
  <c r="AE29" i="9" s="1"/>
  <c r="AD23" i="9"/>
  <c r="AG23" i="9"/>
  <c r="AG29" i="9" s="1"/>
  <c r="AF23" i="9"/>
  <c r="AF29" i="9" s="1"/>
  <c r="FI108" i="4"/>
  <c r="AP6" i="5"/>
  <c r="D186" i="9"/>
  <c r="E186" i="9"/>
  <c r="E192" i="9" s="1"/>
  <c r="F186" i="9"/>
  <c r="F192" i="9" s="1"/>
  <c r="G186" i="9"/>
  <c r="G192" i="9" s="1"/>
  <c r="G188" i="9"/>
  <c r="G194" i="9" s="1"/>
  <c r="I100" i="8"/>
  <c r="AI181" i="9"/>
  <c r="AF189" i="9" s="1"/>
  <c r="AF195" i="9" s="1"/>
  <c r="N415" i="8"/>
  <c r="Q419" i="8" s="1"/>
  <c r="L419" i="8" s="1"/>
  <c r="DB187" i="4" s="1"/>
  <c r="L130" i="4"/>
  <c r="M130" i="4"/>
  <c r="O130" i="4" s="1"/>
  <c r="BZ131" i="4"/>
  <c r="CA131" i="4"/>
  <c r="EK130" i="4"/>
  <c r="AU11" i="5"/>
  <c r="EL130" i="4"/>
  <c r="AF22" i="9"/>
  <c r="AF28" i="9" s="1"/>
  <c r="EK222" i="4"/>
  <c r="S36" i="5"/>
  <c r="S76" i="5" s="1"/>
  <c r="AU153" i="4"/>
  <c r="EA152" i="4" s="1"/>
  <c r="CL152" i="4"/>
  <c r="AZ10" i="5" s="1"/>
  <c r="K155" i="4"/>
  <c r="H20" i="4" s="1"/>
  <c r="O152" i="4"/>
  <c r="AI17" i="8"/>
  <c r="DD191" i="4"/>
  <c r="AF191" i="4" s="1"/>
  <c r="DE191" i="4"/>
  <c r="J58" i="5"/>
  <c r="N418" i="8"/>
  <c r="Q420" i="8" s="1"/>
  <c r="L420" i="8" s="1"/>
  <c r="DB189" i="4" s="1"/>
  <c r="L139" i="4"/>
  <c r="BZ140" i="4"/>
  <c r="M139" i="4"/>
  <c r="O139" i="4" s="1"/>
  <c r="CA140" i="4"/>
  <c r="AX11" i="5"/>
  <c r="EK139" i="4"/>
  <c r="EL139" i="4"/>
  <c r="I17" i="8"/>
  <c r="F25" i="8" s="1"/>
  <c r="F31" i="8" s="1"/>
  <c r="D23" i="9"/>
  <c r="E23" i="9"/>
  <c r="E29" i="9" s="1"/>
  <c r="FH81" i="4"/>
  <c r="FG82" i="4" s="1"/>
  <c r="N419" i="8"/>
  <c r="Q422" i="8" s="1"/>
  <c r="M149" i="4"/>
  <c r="L149" i="4"/>
  <c r="BZ150" i="4"/>
  <c r="CA150" i="4"/>
  <c r="EK149" i="4"/>
  <c r="AY11" i="5"/>
  <c r="EL149" i="4"/>
  <c r="AG189" i="9"/>
  <c r="AG195" i="9" s="1"/>
  <c r="EO208" i="4"/>
  <c r="EM235" i="4"/>
  <c r="AD113" i="9"/>
  <c r="I17" i="9"/>
  <c r="I16" i="8"/>
  <c r="E25" i="8" s="1"/>
  <c r="E31" i="8" s="1"/>
  <c r="AI179" i="9"/>
  <c r="AD189" i="9" s="1"/>
  <c r="AD104" i="8"/>
  <c r="F104" i="9"/>
  <c r="F110" i="9" s="1"/>
  <c r="E104" i="9"/>
  <c r="E110" i="9" s="1"/>
  <c r="D104" i="9"/>
  <c r="G104" i="9"/>
  <c r="G110" i="9" s="1"/>
  <c r="N413" i="8"/>
  <c r="Q418" i="8" s="1"/>
  <c r="L418" i="8" s="1"/>
  <c r="DB197" i="4" s="1"/>
  <c r="M117" i="4"/>
  <c r="CA118" i="4"/>
  <c r="L117" i="4"/>
  <c r="EK117" i="4"/>
  <c r="AS11" i="5"/>
  <c r="BZ118" i="4"/>
  <c r="EL117" i="4"/>
  <c r="AE25" i="9"/>
  <c r="AE31" i="9" s="1"/>
  <c r="AD25" i="9"/>
  <c r="AG25" i="9"/>
  <c r="AG31" i="9" s="1"/>
  <c r="AF25" i="9"/>
  <c r="AF31" i="9" s="1"/>
  <c r="S6" i="5"/>
  <c r="FI62" i="4"/>
  <c r="FH64" i="4"/>
  <c r="FG65" i="4" s="1"/>
  <c r="AG36" i="5"/>
  <c r="AG76" i="5" s="1"/>
  <c r="EK236" i="4"/>
  <c r="AE105" i="8"/>
  <c r="AE111" i="8" s="1"/>
  <c r="AG105" i="8"/>
  <c r="AG111" i="8" s="1"/>
  <c r="EK238" i="4"/>
  <c r="AI36" i="5"/>
  <c r="AI76" i="5" s="1"/>
  <c r="AH22" i="9"/>
  <c r="AD28" i="9"/>
  <c r="AH28" i="9" s="1"/>
  <c r="FH111" i="4"/>
  <c r="FG114" i="4" s="1"/>
  <c r="I155" i="4"/>
  <c r="F20" i="4" s="1"/>
  <c r="P20" i="4" s="1"/>
  <c r="N152" i="4"/>
  <c r="AC36" i="5"/>
  <c r="AC76" i="5" s="1"/>
  <c r="EK232" i="4"/>
  <c r="EM225" i="4"/>
  <c r="EO198" i="4"/>
  <c r="N410" i="8"/>
  <c r="Q415" i="8" s="1"/>
  <c r="L415" i="8" s="1"/>
  <c r="DB194" i="4" s="1"/>
  <c r="EK108" i="4"/>
  <c r="CA109" i="4"/>
  <c r="L108" i="4"/>
  <c r="M108" i="4"/>
  <c r="BZ109" i="4"/>
  <c r="AP11" i="5"/>
  <c r="EL108" i="4"/>
  <c r="I98" i="8"/>
  <c r="E106" i="8" s="1"/>
  <c r="E112" i="8" s="1"/>
  <c r="D186" i="8" l="1"/>
  <c r="E186" i="8"/>
  <c r="E192" i="8" s="1"/>
  <c r="F186" i="8"/>
  <c r="F192" i="8" s="1"/>
  <c r="G186" i="8"/>
  <c r="G192" i="8" s="1"/>
  <c r="AD105" i="8"/>
  <c r="AF104" i="8"/>
  <c r="AF110" i="8" s="1"/>
  <c r="AH107" i="9"/>
  <c r="AG104" i="8"/>
  <c r="AG110" i="8" s="1"/>
  <c r="AH113" i="9"/>
  <c r="DD180" i="4"/>
  <c r="AF180" i="4" s="1"/>
  <c r="DE180" i="4"/>
  <c r="D58" i="5"/>
  <c r="D77" i="5" s="1"/>
  <c r="AE104" i="8"/>
  <c r="AE110" i="8" s="1"/>
  <c r="EM180" i="4"/>
  <c r="EO180" i="4"/>
  <c r="DD179" i="4"/>
  <c r="AF179" i="4" s="1"/>
  <c r="DE179" i="4"/>
  <c r="C58" i="5"/>
  <c r="C77" i="5" s="1"/>
  <c r="AD31" i="8"/>
  <c r="AD195" i="9"/>
  <c r="AH195" i="9" s="1"/>
  <c r="AH189" i="9"/>
  <c r="H130" i="4"/>
  <c r="E14" i="4" s="1"/>
  <c r="N108" i="4"/>
  <c r="AD111" i="8"/>
  <c r="AH111" i="8" s="1"/>
  <c r="AH105" i="8"/>
  <c r="H139" i="4"/>
  <c r="E17" i="4" s="1"/>
  <c r="N117" i="4"/>
  <c r="F24" i="9"/>
  <c r="F30" i="9" s="1"/>
  <c r="G24" i="9"/>
  <c r="G30" i="9" s="1"/>
  <c r="E24" i="9"/>
  <c r="E30" i="9" s="1"/>
  <c r="D24" i="9"/>
  <c r="H155" i="4"/>
  <c r="E20" i="4" s="1"/>
  <c r="N149" i="4"/>
  <c r="CL139" i="4"/>
  <c r="AX10" i="5" s="1"/>
  <c r="AU140" i="4"/>
  <c r="EA139" i="4" s="1"/>
  <c r="DD187" i="4"/>
  <c r="AF187" i="4" s="1"/>
  <c r="DE187" i="4"/>
  <c r="I58" i="5"/>
  <c r="D192" i="9"/>
  <c r="H192" i="9" s="1"/>
  <c r="H186" i="9"/>
  <c r="H189" i="9"/>
  <c r="D195" i="9"/>
  <c r="H195" i="9" s="1"/>
  <c r="CL136" i="4"/>
  <c r="AW10" i="5" s="1"/>
  <c r="AU137" i="4"/>
  <c r="EA136" i="4" s="1"/>
  <c r="CL105" i="4"/>
  <c r="AO10" i="5" s="1"/>
  <c r="AU106" i="4"/>
  <c r="EA105" i="4" s="1"/>
  <c r="DD193" i="4"/>
  <c r="AF193" i="4" s="1"/>
  <c r="DE193" i="4"/>
  <c r="J60" i="5"/>
  <c r="K139" i="4"/>
  <c r="H17" i="4" s="1"/>
  <c r="O120" i="4"/>
  <c r="I6" i="5"/>
  <c r="FI45" i="4"/>
  <c r="FH45" i="4"/>
  <c r="FG46" i="4" s="1"/>
  <c r="I130" i="4"/>
  <c r="F14" i="4" s="1"/>
  <c r="P14" i="4" s="1"/>
  <c r="N102" i="4"/>
  <c r="E187" i="8"/>
  <c r="E193" i="8" s="1"/>
  <c r="G187" i="8"/>
  <c r="G193" i="8" s="1"/>
  <c r="F187" i="8"/>
  <c r="F193" i="8" s="1"/>
  <c r="D187" i="8"/>
  <c r="AE189" i="8"/>
  <c r="AE195" i="8" s="1"/>
  <c r="AD187" i="9"/>
  <c r="AE187" i="9"/>
  <c r="AE193" i="9" s="1"/>
  <c r="AF187" i="9"/>
  <c r="AF193" i="9" s="1"/>
  <c r="AG187" i="9"/>
  <c r="AG193" i="9" s="1"/>
  <c r="D104" i="8"/>
  <c r="E104" i="8"/>
  <c r="E110" i="8" s="1"/>
  <c r="G104" i="8"/>
  <c r="G110" i="8" s="1"/>
  <c r="F104" i="8"/>
  <c r="F110" i="8" s="1"/>
  <c r="EM224" i="4"/>
  <c r="EO197" i="4"/>
  <c r="D22" i="8"/>
  <c r="E22" i="8"/>
  <c r="E28" i="8" s="1"/>
  <c r="G22" i="8"/>
  <c r="G28" i="8" s="1"/>
  <c r="F22" i="8"/>
  <c r="F28" i="8" s="1"/>
  <c r="F188" i="8"/>
  <c r="F194" i="8" s="1"/>
  <c r="G188" i="8"/>
  <c r="G194" i="8" s="1"/>
  <c r="D188" i="8"/>
  <c r="E188" i="8"/>
  <c r="E194" i="8" s="1"/>
  <c r="I133" i="4"/>
  <c r="F15" i="4" s="1"/>
  <c r="P15" i="4" s="1"/>
  <c r="N111" i="4"/>
  <c r="G22" i="9"/>
  <c r="G28" i="9" s="1"/>
  <c r="E22" i="9"/>
  <c r="E28" i="9" s="1"/>
  <c r="D22" i="9"/>
  <c r="F22" i="9"/>
  <c r="F28" i="9" s="1"/>
  <c r="H133" i="4"/>
  <c r="E15" i="4" s="1"/>
  <c r="N114" i="4"/>
  <c r="H188" i="9"/>
  <c r="EM236" i="4"/>
  <c r="EO209" i="4"/>
  <c r="AD31" i="9"/>
  <c r="AH31" i="9" s="1"/>
  <c r="AH25" i="9"/>
  <c r="H104" i="9"/>
  <c r="D110" i="9"/>
  <c r="H110" i="9" s="1"/>
  <c r="D192" i="8"/>
  <c r="H186" i="8"/>
  <c r="CL149" i="4"/>
  <c r="AY10" i="5" s="1"/>
  <c r="AU150" i="4"/>
  <c r="EA149" i="4" s="1"/>
  <c r="J155" i="4"/>
  <c r="G20" i="4" s="1"/>
  <c r="O149" i="4"/>
  <c r="H152" i="4"/>
  <c r="E19" i="4" s="1"/>
  <c r="N139" i="4"/>
  <c r="AF188" i="9"/>
  <c r="AF194" i="9" s="1"/>
  <c r="AD188" i="9"/>
  <c r="AG188" i="9"/>
  <c r="AG194" i="9" s="1"/>
  <c r="AE188" i="9"/>
  <c r="AE194" i="9" s="1"/>
  <c r="D112" i="8"/>
  <c r="I152" i="4"/>
  <c r="F19" i="4" s="1"/>
  <c r="P19" i="4" s="1"/>
  <c r="N136" i="4"/>
  <c r="F189" i="8"/>
  <c r="F195" i="8" s="1"/>
  <c r="D189" i="8"/>
  <c r="E189" i="8"/>
  <c r="E195" i="8" s="1"/>
  <c r="G189" i="8"/>
  <c r="G195" i="8" s="1"/>
  <c r="FH82" i="4"/>
  <c r="FG83" i="4" s="1"/>
  <c r="AD111" i="9"/>
  <c r="AH111" i="9" s="1"/>
  <c r="AH105" i="9"/>
  <c r="CL120" i="4"/>
  <c r="AT10" i="5" s="1"/>
  <c r="AU121" i="4"/>
  <c r="EA120" i="4" s="1"/>
  <c r="DD198" i="4"/>
  <c r="AF198" i="4" s="1"/>
  <c r="DE198" i="4"/>
  <c r="J65" i="5"/>
  <c r="AD195" i="8"/>
  <c r="AH195" i="8" s="1"/>
  <c r="AH189" i="8"/>
  <c r="H106" i="9"/>
  <c r="D112" i="9"/>
  <c r="H112" i="9" s="1"/>
  <c r="E25" i="9"/>
  <c r="E31" i="9" s="1"/>
  <c r="D25" i="9"/>
  <c r="F25" i="9"/>
  <c r="F31" i="9" s="1"/>
  <c r="G25" i="9"/>
  <c r="G31" i="9" s="1"/>
  <c r="CL133" i="4"/>
  <c r="AV10" i="5" s="1"/>
  <c r="AU134" i="4"/>
  <c r="EA133" i="4" s="1"/>
  <c r="DD195" i="4"/>
  <c r="AF195" i="4" s="1"/>
  <c r="DE195" i="4"/>
  <c r="J62" i="5"/>
  <c r="EM233" i="4"/>
  <c r="EO206" i="4"/>
  <c r="CL108" i="4"/>
  <c r="AP10" i="5" s="1"/>
  <c r="AU109" i="4"/>
  <c r="EA108" i="4" s="1"/>
  <c r="EM232" i="4"/>
  <c r="EO205" i="4"/>
  <c r="AR6" i="5"/>
  <c r="FI114" i="4"/>
  <c r="J139" i="4"/>
  <c r="G17" i="4" s="1"/>
  <c r="O117" i="4"/>
  <c r="AF186" i="9"/>
  <c r="AF192" i="9" s="1"/>
  <c r="AG186" i="9"/>
  <c r="AG192" i="9" s="1"/>
  <c r="AE186" i="9"/>
  <c r="AE192" i="9" s="1"/>
  <c r="AD186" i="9"/>
  <c r="L422" i="8"/>
  <c r="DB183" i="4" s="1"/>
  <c r="Q421" i="8"/>
  <c r="L421" i="8" s="1"/>
  <c r="DB185" i="4" s="1"/>
  <c r="F23" i="9"/>
  <c r="F29" i="9" s="1"/>
  <c r="F24" i="8"/>
  <c r="F30" i="8" s="1"/>
  <c r="G24" i="8"/>
  <c r="G30" i="8" s="1"/>
  <c r="D24" i="8"/>
  <c r="E24" i="8"/>
  <c r="E30" i="8" s="1"/>
  <c r="DD189" i="4"/>
  <c r="AF189" i="4" s="1"/>
  <c r="DE189" i="4"/>
  <c r="I60" i="5"/>
  <c r="AF24" i="8"/>
  <c r="AF30" i="8" s="1"/>
  <c r="AD24" i="8"/>
  <c r="AG24" i="8"/>
  <c r="AG30" i="8" s="1"/>
  <c r="AE24" i="8"/>
  <c r="AE30" i="8" s="1"/>
  <c r="EO195" i="4"/>
  <c r="EM222" i="4"/>
  <c r="F107" i="8"/>
  <c r="F113" i="8" s="1"/>
  <c r="D107" i="8"/>
  <c r="E107" i="8"/>
  <c r="E113" i="8" s="1"/>
  <c r="G107" i="8"/>
  <c r="G113" i="8" s="1"/>
  <c r="FH65" i="4"/>
  <c r="FG66" i="4" s="1"/>
  <c r="AF22" i="8"/>
  <c r="AF28" i="8" s="1"/>
  <c r="AD22" i="8"/>
  <c r="AE22" i="8"/>
  <c r="AE28" i="8" s="1"/>
  <c r="AG22" i="8"/>
  <c r="AG28" i="8" s="1"/>
  <c r="G106" i="8"/>
  <c r="G112" i="8" s="1"/>
  <c r="EO196" i="4"/>
  <c r="EM223" i="4"/>
  <c r="DD190" i="4"/>
  <c r="AF190" i="4" s="1"/>
  <c r="DE190" i="4"/>
  <c r="I61" i="5"/>
  <c r="EK176" i="4"/>
  <c r="AH106" i="9"/>
  <c r="AD112" i="9"/>
  <c r="AH112" i="9" s="1"/>
  <c r="N105" i="4"/>
  <c r="H136" i="4"/>
  <c r="E16" i="4" s="1"/>
  <c r="D111" i="9"/>
  <c r="H111" i="9" s="1"/>
  <c r="I111" i="9" s="1"/>
  <c r="H105" i="9"/>
  <c r="I139" i="4"/>
  <c r="F17" i="4" s="1"/>
  <c r="P17" i="4" s="1"/>
  <c r="N120" i="4"/>
  <c r="AH104" i="9"/>
  <c r="AD110" i="9"/>
  <c r="AH110" i="9" s="1"/>
  <c r="AI110" i="9" s="1"/>
  <c r="CL102" i="4"/>
  <c r="AN10" i="5" s="1"/>
  <c r="AU103" i="4"/>
  <c r="EA102" i="4" s="1"/>
  <c r="AD113" i="8"/>
  <c r="EM237" i="4"/>
  <c r="EO210" i="4"/>
  <c r="DD186" i="4"/>
  <c r="AF186" i="4" s="1"/>
  <c r="DE186" i="4"/>
  <c r="H59" i="5"/>
  <c r="EM229" i="4"/>
  <c r="EO202" i="4"/>
  <c r="AD30" i="9"/>
  <c r="AH30" i="9" s="1"/>
  <c r="AH24" i="9"/>
  <c r="I149" i="4"/>
  <c r="F18" i="4" s="1"/>
  <c r="P18" i="4" s="1"/>
  <c r="N133" i="4"/>
  <c r="CL111" i="4"/>
  <c r="AQ10" i="5" s="1"/>
  <c r="AU112" i="4"/>
  <c r="EA111" i="4" s="1"/>
  <c r="CL114" i="4"/>
  <c r="AR10" i="5" s="1"/>
  <c r="AU115" i="4"/>
  <c r="EA114" i="4" s="1"/>
  <c r="FH114" i="4"/>
  <c r="FG117" i="4" s="1"/>
  <c r="E105" i="8"/>
  <c r="E111" i="8" s="1"/>
  <c r="G105" i="8"/>
  <c r="G111" i="8" s="1"/>
  <c r="F105" i="8"/>
  <c r="F111" i="8" s="1"/>
  <c r="D105" i="8"/>
  <c r="J130" i="4"/>
  <c r="G14" i="4" s="1"/>
  <c r="O108" i="4"/>
  <c r="DD194" i="4"/>
  <c r="AF194" i="4" s="1"/>
  <c r="DE194" i="4"/>
  <c r="J61" i="5"/>
  <c r="EO211" i="4"/>
  <c r="EM238" i="4"/>
  <c r="V6" i="5"/>
  <c r="FI65" i="4"/>
  <c r="CL117" i="4"/>
  <c r="AS10" i="5" s="1"/>
  <c r="AU118" i="4"/>
  <c r="EA117" i="4" s="1"/>
  <c r="DD197" i="4"/>
  <c r="AF197" i="4" s="1"/>
  <c r="DE197" i="4"/>
  <c r="J64" i="5"/>
  <c r="AH104" i="8"/>
  <c r="AD110" i="8"/>
  <c r="E23" i="8"/>
  <c r="E29" i="8" s="1"/>
  <c r="G23" i="8"/>
  <c r="G29" i="8" s="1"/>
  <c r="F23" i="8"/>
  <c r="F29" i="8" s="1"/>
  <c r="D23" i="8"/>
  <c r="FI82" i="4"/>
  <c r="AF6" i="5"/>
  <c r="H23" i="9"/>
  <c r="D29" i="9"/>
  <c r="H29" i="9" s="1"/>
  <c r="FH117" i="4"/>
  <c r="FG120" i="4" s="1"/>
  <c r="CL130" i="4"/>
  <c r="AU10" i="5" s="1"/>
  <c r="AU131" i="4"/>
  <c r="EA130" i="4" s="1"/>
  <c r="H149" i="4"/>
  <c r="E18" i="4" s="1"/>
  <c r="N130" i="4"/>
  <c r="AH23" i="9"/>
  <c r="AD29" i="9"/>
  <c r="AH29" i="9" s="1"/>
  <c r="AI29" i="9" s="1"/>
  <c r="EO204" i="4"/>
  <c r="EM231" i="4"/>
  <c r="AE187" i="8"/>
  <c r="AE193" i="8" s="1"/>
  <c r="AD187" i="8"/>
  <c r="AG187" i="8"/>
  <c r="AG193" i="8" s="1"/>
  <c r="AF187" i="8"/>
  <c r="AF193" i="8" s="1"/>
  <c r="AF106" i="8"/>
  <c r="AF112" i="8" s="1"/>
  <c r="AD106" i="8"/>
  <c r="AG106" i="8"/>
  <c r="AG112" i="8" s="1"/>
  <c r="AE106" i="8"/>
  <c r="AE112" i="8" s="1"/>
  <c r="EO200" i="4"/>
  <c r="EM227" i="4"/>
  <c r="J136" i="4"/>
  <c r="G16" i="4" s="1"/>
  <c r="O105" i="4"/>
  <c r="EO207" i="4"/>
  <c r="EM234" i="4"/>
  <c r="K130" i="4"/>
  <c r="H14" i="4" s="1"/>
  <c r="O102" i="4"/>
  <c r="DD192" i="4"/>
  <c r="AF192" i="4" s="1"/>
  <c r="DE192" i="4"/>
  <c r="J59" i="5"/>
  <c r="D193" i="9"/>
  <c r="H193" i="9" s="1"/>
  <c r="H187" i="9"/>
  <c r="AF107" i="8"/>
  <c r="AF113" i="8" s="1"/>
  <c r="AF25" i="8"/>
  <c r="AF31" i="8" s="1"/>
  <c r="H25" i="8"/>
  <c r="D31" i="8"/>
  <c r="H31" i="8" s="1"/>
  <c r="DD184" i="4"/>
  <c r="AF184" i="4" s="1"/>
  <c r="DE184" i="4"/>
  <c r="G59" i="5"/>
  <c r="AE23" i="8"/>
  <c r="AE29" i="8" s="1"/>
  <c r="AF23" i="8"/>
  <c r="AF29" i="8" s="1"/>
  <c r="AG23" i="8"/>
  <c r="AG29" i="8" s="1"/>
  <c r="AD23" i="8"/>
  <c r="AQ6" i="5"/>
  <c r="FI111" i="4"/>
  <c r="FH120" i="4"/>
  <c r="AJ95" i="4"/>
  <c r="AE95" i="4" s="1"/>
  <c r="AF186" i="8"/>
  <c r="AF192" i="8" s="1"/>
  <c r="AD186" i="8"/>
  <c r="AE186" i="8"/>
  <c r="AE192" i="8" s="1"/>
  <c r="AG186" i="8"/>
  <c r="AG192" i="8" s="1"/>
  <c r="DD188" i="4"/>
  <c r="AF188" i="4" s="1"/>
  <c r="DE188" i="4"/>
  <c r="I59" i="5"/>
  <c r="K133" i="4"/>
  <c r="H15" i="4" s="1"/>
  <c r="O111" i="4"/>
  <c r="O114" i="4"/>
  <c r="J133" i="4"/>
  <c r="G15" i="4" s="1"/>
  <c r="DD196" i="4"/>
  <c r="AF196" i="4" s="1"/>
  <c r="DE196" i="4"/>
  <c r="J63" i="5"/>
  <c r="AD188" i="8"/>
  <c r="H194" i="9"/>
  <c r="I194" i="9" s="1"/>
  <c r="I187" i="9" l="1"/>
  <c r="AI23" i="9"/>
  <c r="AD42" i="9" s="1"/>
  <c r="H192" i="8"/>
  <c r="I105" i="9"/>
  <c r="D124" i="9" s="1"/>
  <c r="EM176" i="4"/>
  <c r="J77" i="5"/>
  <c r="AH110" i="8"/>
  <c r="AI111" i="8" s="1"/>
  <c r="AI104" i="9"/>
  <c r="AH188" i="8"/>
  <c r="AD194" i="8"/>
  <c r="AH194" i="8" s="1"/>
  <c r="AH106" i="8"/>
  <c r="AD112" i="8"/>
  <c r="AH112" i="8" s="1"/>
  <c r="AI110" i="8" s="1"/>
  <c r="FI120" i="4"/>
  <c r="AT6" i="5"/>
  <c r="FI117" i="4"/>
  <c r="AS6" i="5"/>
  <c r="AI24" i="9"/>
  <c r="W6" i="5"/>
  <c r="FI66" i="4"/>
  <c r="AI113" i="9"/>
  <c r="H25" i="9"/>
  <c r="D31" i="9"/>
  <c r="H31" i="9" s="1"/>
  <c r="I106" i="9"/>
  <c r="H112" i="8"/>
  <c r="AI107" i="9"/>
  <c r="AI31" i="9"/>
  <c r="I188" i="9"/>
  <c r="D207" i="9" s="1"/>
  <c r="D28" i="9"/>
  <c r="H28" i="9" s="1"/>
  <c r="H22" i="9"/>
  <c r="D193" i="8"/>
  <c r="H193" i="8" s="1"/>
  <c r="H187" i="8"/>
  <c r="J6" i="5"/>
  <c r="FI46" i="4"/>
  <c r="FH46" i="4"/>
  <c r="FG47" i="4" s="1"/>
  <c r="I186" i="9"/>
  <c r="O17" i="4"/>
  <c r="X139" i="4"/>
  <c r="AH186" i="8"/>
  <c r="AD192" i="8"/>
  <c r="AH192" i="8" s="1"/>
  <c r="AD29" i="8"/>
  <c r="AH29" i="8" s="1"/>
  <c r="AH23" i="8"/>
  <c r="AD193" i="8"/>
  <c r="AH193" i="8" s="1"/>
  <c r="AH187" i="8"/>
  <c r="O18" i="4"/>
  <c r="X149" i="4"/>
  <c r="AI30" i="9"/>
  <c r="AH107" i="8"/>
  <c r="AI107" i="8" s="1"/>
  <c r="AI112" i="9"/>
  <c r="AH22" i="8"/>
  <c r="AD28" i="8"/>
  <c r="AH28" i="8" s="1"/>
  <c r="H24" i="8"/>
  <c r="D30" i="8"/>
  <c r="H30" i="8" s="1"/>
  <c r="AH186" i="9"/>
  <c r="AD192" i="9"/>
  <c r="AH192" i="9" s="1"/>
  <c r="AI189" i="8"/>
  <c r="AI105" i="9"/>
  <c r="H106" i="8"/>
  <c r="AD194" i="9"/>
  <c r="AH194" i="9" s="1"/>
  <c r="AH188" i="9"/>
  <c r="O19" i="4"/>
  <c r="X152" i="4"/>
  <c r="I110" i="9"/>
  <c r="AH187" i="9"/>
  <c r="AI187" i="9" s="1"/>
  <c r="AD193" i="9"/>
  <c r="AH193" i="9" s="1"/>
  <c r="AI193" i="9" s="1"/>
  <c r="I192" i="9"/>
  <c r="O20" i="4"/>
  <c r="X155" i="4"/>
  <c r="AI105" i="8"/>
  <c r="O14" i="4"/>
  <c r="X130" i="4"/>
  <c r="AH25" i="8"/>
  <c r="I193" i="9"/>
  <c r="D206" i="9" s="1"/>
  <c r="D29" i="8"/>
  <c r="H29" i="8" s="1"/>
  <c r="H23" i="8"/>
  <c r="AH113" i="8"/>
  <c r="AD123" i="9"/>
  <c r="AI106" i="9"/>
  <c r="I113" i="9"/>
  <c r="AH24" i="8"/>
  <c r="AD30" i="8"/>
  <c r="AH30" i="8" s="1"/>
  <c r="DD185" i="4"/>
  <c r="AF185" i="4" s="1"/>
  <c r="DE185" i="4"/>
  <c r="H58" i="5"/>
  <c r="H77" i="5" s="1"/>
  <c r="AI195" i="8"/>
  <c r="AI111" i="9"/>
  <c r="H189" i="8"/>
  <c r="D195" i="8"/>
  <c r="H195" i="8" s="1"/>
  <c r="I107" i="9"/>
  <c r="D126" i="9" s="1"/>
  <c r="I104" i="9"/>
  <c r="D123" i="9" s="1"/>
  <c r="O15" i="4"/>
  <c r="X133" i="4"/>
  <c r="D28" i="8"/>
  <c r="H28" i="8" s="1"/>
  <c r="I28" i="8" s="1"/>
  <c r="H22" i="8"/>
  <c r="I22" i="8" s="1"/>
  <c r="I195" i="9"/>
  <c r="I77" i="5"/>
  <c r="D30" i="9"/>
  <c r="H30" i="9" s="1"/>
  <c r="I30" i="9" s="1"/>
  <c r="H24" i="9"/>
  <c r="I24" i="9" s="1"/>
  <c r="AH31" i="8"/>
  <c r="I23" i="9"/>
  <c r="D111" i="8"/>
  <c r="H111" i="8" s="1"/>
  <c r="H105" i="8"/>
  <c r="O16" i="4"/>
  <c r="X136" i="4"/>
  <c r="H107" i="8"/>
  <c r="D113" i="8"/>
  <c r="H113" i="8" s="1"/>
  <c r="DD183" i="4"/>
  <c r="AF183" i="4" s="1"/>
  <c r="DE183" i="4"/>
  <c r="G58" i="5"/>
  <c r="G77" i="5" s="1"/>
  <c r="I112" i="9"/>
  <c r="AG6" i="5"/>
  <c r="FI83" i="4"/>
  <c r="FH83" i="4"/>
  <c r="FG84" i="4" s="1"/>
  <c r="AI25" i="9"/>
  <c r="AD44" i="9" s="1"/>
  <c r="AI22" i="9"/>
  <c r="AD41" i="9" s="1"/>
  <c r="H188" i="8"/>
  <c r="I188" i="8" s="1"/>
  <c r="D194" i="8"/>
  <c r="H194" i="8" s="1"/>
  <c r="FH66" i="4"/>
  <c r="FG67" i="4" s="1"/>
  <c r="D110" i="8"/>
  <c r="H110" i="8" s="1"/>
  <c r="I110" i="8" s="1"/>
  <c r="H104" i="8"/>
  <c r="I189" i="9"/>
  <c r="D208" i="9" s="1"/>
  <c r="AI28" i="9"/>
  <c r="AI189" i="9"/>
  <c r="AI113" i="8" l="1"/>
  <c r="AD206" i="9"/>
  <c r="AI31" i="8"/>
  <c r="AI25" i="8"/>
  <c r="AD44" i="8" s="1"/>
  <c r="I194" i="8"/>
  <c r="AI195" i="9"/>
  <c r="AI193" i="8"/>
  <c r="AI186" i="8"/>
  <c r="AD205" i="8" s="1"/>
  <c r="I104" i="8"/>
  <c r="D207" i="8"/>
  <c r="AD125" i="9"/>
  <c r="AD126" i="9"/>
  <c r="AE126" i="9" s="1"/>
  <c r="D123" i="8"/>
  <c r="AH6" i="5"/>
  <c r="FI84" i="4"/>
  <c r="I107" i="8"/>
  <c r="I111" i="8"/>
  <c r="I186" i="8"/>
  <c r="I29" i="8"/>
  <c r="I106" i="8"/>
  <c r="AI186" i="9"/>
  <c r="AI22" i="8"/>
  <c r="AD126" i="8"/>
  <c r="AI187" i="8"/>
  <c r="AI23" i="8"/>
  <c r="FI47" i="4"/>
  <c r="K6" i="5"/>
  <c r="FH47" i="4"/>
  <c r="FG48" i="4" s="1"/>
  <c r="FH48" i="4"/>
  <c r="FG49" i="4" s="1"/>
  <c r="I193" i="8"/>
  <c r="I31" i="9"/>
  <c r="AI104" i="8"/>
  <c r="AD123" i="8" s="1"/>
  <c r="AI106" i="8"/>
  <c r="F208" i="9"/>
  <c r="AI30" i="8"/>
  <c r="I29" i="9"/>
  <c r="D42" i="9" s="1"/>
  <c r="AD124" i="9"/>
  <c r="I30" i="8"/>
  <c r="AI29" i="8"/>
  <c r="I22" i="9"/>
  <c r="D41" i="9" s="1"/>
  <c r="I25" i="9"/>
  <c r="AD43" i="9"/>
  <c r="AE44" i="9" s="1"/>
  <c r="AI194" i="8"/>
  <c r="X6" i="5"/>
  <c r="FI67" i="4"/>
  <c r="FH67" i="4"/>
  <c r="FG68" i="4" s="1"/>
  <c r="I195" i="8"/>
  <c r="AI24" i="8"/>
  <c r="AD43" i="8" s="1"/>
  <c r="FH84" i="4"/>
  <c r="FG85" i="4" s="1"/>
  <c r="FH85" i="4" s="1"/>
  <c r="FG86" i="4" s="1"/>
  <c r="AI188" i="9"/>
  <c r="AD208" i="8"/>
  <c r="I24" i="8"/>
  <c r="AI192" i="8"/>
  <c r="I28" i="9"/>
  <c r="I112" i="8"/>
  <c r="AI188" i="8"/>
  <c r="AD207" i="8" s="1"/>
  <c r="AE41" i="9"/>
  <c r="AD208" i="9"/>
  <c r="I192" i="8"/>
  <c r="I113" i="8"/>
  <c r="I105" i="8"/>
  <c r="D124" i="8" s="1"/>
  <c r="D43" i="9"/>
  <c r="D41" i="8"/>
  <c r="F123" i="9"/>
  <c r="I189" i="8"/>
  <c r="I23" i="8"/>
  <c r="I25" i="8"/>
  <c r="AD124" i="8"/>
  <c r="AI194" i="9"/>
  <c r="AI192" i="9"/>
  <c r="AI28" i="8"/>
  <c r="F124" i="9"/>
  <c r="I31" i="8"/>
  <c r="D205" i="9"/>
  <c r="E206" i="9" s="1"/>
  <c r="I187" i="8"/>
  <c r="D206" i="8" s="1"/>
  <c r="D125" i="9"/>
  <c r="E124" i="9" s="1"/>
  <c r="AI112" i="8"/>
  <c r="AD42" i="8" l="1"/>
  <c r="AE125" i="9"/>
  <c r="F207" i="9"/>
  <c r="D42" i="8"/>
  <c r="E41" i="8" s="1"/>
  <c r="D66" i="8" s="1"/>
  <c r="AF126" i="9"/>
  <c r="AD206" i="8"/>
  <c r="D205" i="8"/>
  <c r="F207" i="8" s="1"/>
  <c r="AE123" i="9"/>
  <c r="E207" i="9"/>
  <c r="AE42" i="9"/>
  <c r="AF44" i="9"/>
  <c r="F126" i="9"/>
  <c r="FI86" i="4"/>
  <c r="AJ6" i="5"/>
  <c r="FH86" i="4"/>
  <c r="FG87" i="4" s="1"/>
  <c r="E207" i="8"/>
  <c r="D232" i="8" s="1"/>
  <c r="D208" i="8"/>
  <c r="AE207" i="8"/>
  <c r="AD232" i="8" s="1"/>
  <c r="AF207" i="8"/>
  <c r="D43" i="8"/>
  <c r="AF124" i="9"/>
  <c r="AE124" i="9"/>
  <c r="AF123" i="9"/>
  <c r="E126" i="9"/>
  <c r="AD41" i="8"/>
  <c r="F206" i="8"/>
  <c r="AE208" i="8"/>
  <c r="AD233" i="8" s="1"/>
  <c r="AF208" i="8"/>
  <c r="FI68" i="4"/>
  <c r="Y6" i="5"/>
  <c r="FH68" i="4"/>
  <c r="FG69" i="4" s="1"/>
  <c r="AE43" i="9"/>
  <c r="AF43" i="9"/>
  <c r="L6" i="5"/>
  <c r="FI48" i="4"/>
  <c r="AE42" i="8"/>
  <c r="AD67" i="8" s="1"/>
  <c r="AF42" i="8"/>
  <c r="AD205" i="9"/>
  <c r="AE208" i="9" s="1"/>
  <c r="D126" i="8"/>
  <c r="E123" i="8" s="1"/>
  <c r="D148" i="8" s="1"/>
  <c r="F125" i="9"/>
  <c r="E125" i="9"/>
  <c r="E205" i="9"/>
  <c r="F205" i="9"/>
  <c r="D44" i="8"/>
  <c r="E123" i="9"/>
  <c r="AF41" i="9"/>
  <c r="AD207" i="9"/>
  <c r="D44" i="9"/>
  <c r="E208" i="9"/>
  <c r="AE206" i="8"/>
  <c r="AD231" i="8" s="1"/>
  <c r="AF206" i="8"/>
  <c r="D125" i="8"/>
  <c r="AF125" i="9"/>
  <c r="F206" i="9"/>
  <c r="AE205" i="8"/>
  <c r="AD230" i="8" s="1"/>
  <c r="AF205" i="8"/>
  <c r="F42" i="8"/>
  <c r="FI85" i="4"/>
  <c r="AI6" i="5"/>
  <c r="AD125" i="8"/>
  <c r="AF123" i="8" s="1"/>
  <c r="M6" i="5"/>
  <c r="FI49" i="4"/>
  <c r="FH49" i="4"/>
  <c r="FG50" i="4" s="1"/>
  <c r="AE126" i="8"/>
  <c r="AD151" i="8" s="1"/>
  <c r="AF126" i="8"/>
  <c r="AE44" i="8"/>
  <c r="AD69" i="8" s="1"/>
  <c r="AF44" i="8"/>
  <c r="F123" i="8"/>
  <c r="AF42" i="9"/>
  <c r="E42" i="8" l="1"/>
  <c r="D67" i="8" s="1"/>
  <c r="F205" i="8"/>
  <c r="F41" i="8"/>
  <c r="E124" i="8"/>
  <c r="D149" i="8" s="1"/>
  <c r="E131" i="9"/>
  <c r="E206" i="8"/>
  <c r="D231" i="8" s="1"/>
  <c r="E205" i="8"/>
  <c r="D230" i="8" s="1"/>
  <c r="E230" i="8" s="1"/>
  <c r="F230" i="8" s="1"/>
  <c r="AE230" i="8"/>
  <c r="AF230" i="8" s="1"/>
  <c r="N6" i="5"/>
  <c r="FI50" i="4"/>
  <c r="F44" i="9"/>
  <c r="E44" i="9"/>
  <c r="E126" i="8"/>
  <c r="D151" i="8" s="1"/>
  <c r="F126" i="8"/>
  <c r="F41" i="9"/>
  <c r="FI69" i="4"/>
  <c r="Z6" i="5"/>
  <c r="AJ54" i="4"/>
  <c r="AE54" i="4" s="1"/>
  <c r="FH69" i="4"/>
  <c r="AE233" i="8"/>
  <c r="D131" i="9"/>
  <c r="E208" i="8"/>
  <c r="D233" i="8" s="1"/>
  <c r="F208" i="8"/>
  <c r="F215" i="8" s="1" a="1"/>
  <c r="F215" i="8" s="1"/>
  <c r="F216" i="8" s="1"/>
  <c r="F217" i="8" s="1"/>
  <c r="AE231" i="8"/>
  <c r="AF231" i="8" s="1"/>
  <c r="AF207" i="9"/>
  <c r="AE207" i="9"/>
  <c r="E41" i="9"/>
  <c r="AF124" i="8"/>
  <c r="AC131" i="8" s="1"/>
  <c r="AE41" i="8"/>
  <c r="AD66" i="8" s="1"/>
  <c r="AF41" i="8"/>
  <c r="AD131" i="9"/>
  <c r="AE131" i="9"/>
  <c r="AC131" i="9"/>
  <c r="AF43" i="8"/>
  <c r="AE232" i="8"/>
  <c r="AK6" i="5"/>
  <c r="FI87" i="4"/>
  <c r="FH87" i="4"/>
  <c r="FG88" i="4" s="1"/>
  <c r="D213" i="8"/>
  <c r="E213" i="8"/>
  <c r="G215" i="8" a="1"/>
  <c r="G215" i="8" s="1"/>
  <c r="AJ35" i="4"/>
  <c r="AE35" i="4" s="1"/>
  <c r="AE49" i="9"/>
  <c r="AC49" i="9"/>
  <c r="AD49" i="9"/>
  <c r="E44" i="8"/>
  <c r="D69" i="8" s="1"/>
  <c r="F44" i="8"/>
  <c r="AE205" i="9"/>
  <c r="AF205" i="9"/>
  <c r="AE206" i="9"/>
  <c r="AF206" i="9"/>
  <c r="AF208" i="9"/>
  <c r="C131" i="9"/>
  <c r="C133" i="9" s="1"/>
  <c r="AE124" i="8"/>
  <c r="AD149" i="8" s="1"/>
  <c r="AE43" i="8"/>
  <c r="AD68" i="8" s="1"/>
  <c r="AE68" i="8" s="1"/>
  <c r="F43" i="9"/>
  <c r="E232" i="8"/>
  <c r="E42" i="9"/>
  <c r="AE125" i="8"/>
  <c r="AD150" i="8" s="1"/>
  <c r="AF125" i="8"/>
  <c r="AE213" i="8"/>
  <c r="AG215" i="8" a="1"/>
  <c r="AG215" i="8" s="1"/>
  <c r="AC213" i="8"/>
  <c r="AF215" i="8" a="1"/>
  <c r="AF215" i="8" s="1"/>
  <c r="AF216" i="8" s="1"/>
  <c r="AF217" i="8" s="1"/>
  <c r="AD213" i="8"/>
  <c r="E125" i="8"/>
  <c r="D150" i="8" s="1"/>
  <c r="F125" i="8"/>
  <c r="F124" i="8"/>
  <c r="E131" i="8" s="1"/>
  <c r="E213" i="9"/>
  <c r="C213" i="9"/>
  <c r="D213" i="9"/>
  <c r="AE123" i="8"/>
  <c r="AD148" i="8" s="1"/>
  <c r="E43" i="8"/>
  <c r="D68" i="8" s="1"/>
  <c r="E68" i="8" s="1"/>
  <c r="F43" i="8"/>
  <c r="E43" i="9"/>
  <c r="FH50" i="4"/>
  <c r="F42" i="9"/>
  <c r="C213" i="8" l="1"/>
  <c r="E233" i="8"/>
  <c r="AE148" i="8"/>
  <c r="AF148" i="8" s="1"/>
  <c r="G216" i="8"/>
  <c r="G217" i="8" s="1"/>
  <c r="J215" i="8" s="1"/>
  <c r="E49" i="8"/>
  <c r="E150" i="8"/>
  <c r="AG216" i="8"/>
  <c r="AG217" i="8" s="1"/>
  <c r="AJ215" i="8" s="1"/>
  <c r="G51" i="8" a="1"/>
  <c r="G51" i="8" s="1"/>
  <c r="D49" i="8"/>
  <c r="G133" i="8" a="1"/>
  <c r="G133" i="8" s="1"/>
  <c r="D131" i="8"/>
  <c r="AG133" i="8" a="1"/>
  <c r="AG133" i="8" s="1"/>
  <c r="C215" i="9"/>
  <c r="C49" i="8"/>
  <c r="E67" i="8"/>
  <c r="AE49" i="8"/>
  <c r="AG51" i="8" a="1"/>
  <c r="AG51" i="8" s="1"/>
  <c r="AC49" i="8"/>
  <c r="AF51" i="8" a="1"/>
  <c r="AF51" i="8" s="1"/>
  <c r="AF52" i="8" s="1"/>
  <c r="AF53" i="8" s="1"/>
  <c r="AD49" i="8"/>
  <c r="AF233" i="8"/>
  <c r="E151" i="8"/>
  <c r="E66" i="8"/>
  <c r="F66" i="8" s="1"/>
  <c r="C131" i="8"/>
  <c r="AD131" i="8"/>
  <c r="AE131" i="8"/>
  <c r="F51" i="8" a="1"/>
  <c r="F51" i="8" s="1"/>
  <c r="F52" i="8" s="1"/>
  <c r="F53" i="8" s="1"/>
  <c r="AE150" i="8"/>
  <c r="AF150" i="8" s="1"/>
  <c r="AE149" i="8"/>
  <c r="AF149" i="8" s="1"/>
  <c r="E69" i="8"/>
  <c r="AC51" i="9"/>
  <c r="AF232" i="8"/>
  <c r="AD236" i="8" s="1"/>
  <c r="AC133" i="9"/>
  <c r="AE66" i="8"/>
  <c r="AF66" i="8" s="1"/>
  <c r="AE69" i="8"/>
  <c r="C49" i="9"/>
  <c r="E49" i="9"/>
  <c r="D49" i="9"/>
  <c r="F133" i="8" a="1"/>
  <c r="F133" i="8" s="1"/>
  <c r="F134" i="8" s="1"/>
  <c r="F135" i="8" s="1"/>
  <c r="AF133" i="8" a="1"/>
  <c r="AF133" i="8" s="1"/>
  <c r="AF134" i="8" s="1"/>
  <c r="AF135" i="8" s="1"/>
  <c r="E149" i="8"/>
  <c r="AE151" i="8"/>
  <c r="G139" i="9"/>
  <c r="F133" i="9" a="1"/>
  <c r="F133" i="9" s="1"/>
  <c r="F134" i="9" s="1"/>
  <c r="F135" i="9" s="1"/>
  <c r="G133" i="9" a="1"/>
  <c r="G133" i="9" s="1"/>
  <c r="AC213" i="9"/>
  <c r="AD213" i="9"/>
  <c r="AE213" i="9"/>
  <c r="AL6" i="5"/>
  <c r="FI88" i="4"/>
  <c r="AJ73" i="4"/>
  <c r="AE73" i="4" s="1"/>
  <c r="FH88" i="4"/>
  <c r="E148" i="8"/>
  <c r="F148" i="8" s="1"/>
  <c r="E231" i="8"/>
  <c r="F231" i="8" s="1"/>
  <c r="AE67" i="8"/>
  <c r="AF67" i="8" s="1"/>
  <c r="C220" i="8" l="1"/>
  <c r="F221" i="8"/>
  <c r="D220" i="8"/>
  <c r="D221" i="8" s="1"/>
  <c r="E221" i="8" s="1"/>
  <c r="AF221" i="8"/>
  <c r="AD220" i="8"/>
  <c r="AC220" i="8"/>
  <c r="AC215" i="9"/>
  <c r="AF151" i="8"/>
  <c r="AD155" i="8" s="1"/>
  <c r="F68" i="8"/>
  <c r="F69" i="8"/>
  <c r="AB236" i="8"/>
  <c r="B426" i="8" s="1"/>
  <c r="C426" i="8" s="1"/>
  <c r="AE236" i="8"/>
  <c r="A355" i="8" s="1"/>
  <c r="O355" i="8" s="1"/>
  <c r="CA85" i="4" s="1"/>
  <c r="AH236" i="8"/>
  <c r="AJ236" i="8"/>
  <c r="AG215" i="9" a="1"/>
  <c r="AG215" i="9" s="1"/>
  <c r="G134" i="9"/>
  <c r="G135" i="9" s="1"/>
  <c r="AD237" i="8"/>
  <c r="AG139" i="9"/>
  <c r="AF133" i="9" a="1"/>
  <c r="AF133" i="9" s="1"/>
  <c r="AG133" i="9" a="1"/>
  <c r="AG133" i="9" s="1"/>
  <c r="AG134" i="8"/>
  <c r="AG135" i="8" s="1"/>
  <c r="AD224" i="8"/>
  <c r="AD221" i="8"/>
  <c r="AE221" i="8" s="1"/>
  <c r="AD225" i="8"/>
  <c r="J133" i="9"/>
  <c r="F149" i="8"/>
  <c r="C51" i="9"/>
  <c r="F150" i="8"/>
  <c r="F233" i="8"/>
  <c r="AG52" i="8"/>
  <c r="AG53" i="8" s="1"/>
  <c r="C221" i="8"/>
  <c r="C224" i="8"/>
  <c r="C225" i="8"/>
  <c r="AF68" i="8"/>
  <c r="AC221" i="8"/>
  <c r="AC225" i="8"/>
  <c r="AC224" i="8"/>
  <c r="J138" i="9"/>
  <c r="D149" i="9"/>
  <c r="D151" i="9"/>
  <c r="E151" i="9" s="1"/>
  <c r="D148" i="9"/>
  <c r="D150" i="9"/>
  <c r="AJ133" i="8"/>
  <c r="AF69" i="8"/>
  <c r="AD73" i="8" s="1"/>
  <c r="AG57" i="9"/>
  <c r="AF51" i="9" a="1"/>
  <c r="AF51" i="9" s="1"/>
  <c r="AG51" i="9" a="1"/>
  <c r="AG51" i="9" s="1"/>
  <c r="AG52" i="9" s="1"/>
  <c r="AG53" i="9" s="1"/>
  <c r="F232" i="8"/>
  <c r="D237" i="8" s="1"/>
  <c r="AD239" i="8"/>
  <c r="G221" i="9"/>
  <c r="F215" i="9" a="1"/>
  <c r="F215" i="9" s="1"/>
  <c r="G215" i="9" a="1"/>
  <c r="G215" i="9" s="1"/>
  <c r="G216" i="9" s="1"/>
  <c r="G217" i="9" s="1"/>
  <c r="G134" i="8"/>
  <c r="G135" i="8" s="1"/>
  <c r="J133" i="8" s="1"/>
  <c r="AD75" i="8"/>
  <c r="F151" i="8"/>
  <c r="AJ51" i="8"/>
  <c r="F67" i="8"/>
  <c r="D73" i="8" s="1"/>
  <c r="AD238" i="8"/>
  <c r="D225" i="8"/>
  <c r="G52" i="8"/>
  <c r="G53" i="8" s="1"/>
  <c r="J51" i="8" s="1"/>
  <c r="AD74" i="8" l="1"/>
  <c r="AD154" i="8"/>
  <c r="AF134" i="9"/>
  <c r="AF135" i="9" s="1"/>
  <c r="AG216" i="9"/>
  <c r="AG217" i="9" s="1"/>
  <c r="AD157" i="8"/>
  <c r="D224" i="8"/>
  <c r="AD156" i="8"/>
  <c r="AB156" i="8" s="1"/>
  <c r="B420" i="8" s="1"/>
  <c r="C420" i="8" s="1"/>
  <c r="AG221" i="9"/>
  <c r="AF215" i="9" a="1"/>
  <c r="AF215" i="9" s="1"/>
  <c r="AF216" i="9" s="1"/>
  <c r="AF217" i="9" s="1"/>
  <c r="D155" i="8"/>
  <c r="B237" i="8"/>
  <c r="B423" i="8" s="1"/>
  <c r="C423" i="8" s="1"/>
  <c r="E237" i="8"/>
  <c r="A352" i="8" s="1"/>
  <c r="O352" i="8" s="1"/>
  <c r="CA79" i="4" s="1"/>
  <c r="H237" i="8"/>
  <c r="J237" i="8" s="1"/>
  <c r="B73" i="8"/>
  <c r="B407" i="8" s="1"/>
  <c r="C407" i="8" s="1"/>
  <c r="H73" i="8"/>
  <c r="J73" i="8" s="1"/>
  <c r="E73" i="8"/>
  <c r="A336" i="8" s="1"/>
  <c r="O336" i="8" s="1"/>
  <c r="CA41" i="4" s="1"/>
  <c r="B155" i="8"/>
  <c r="B415" i="8" s="1"/>
  <c r="C415" i="8" s="1"/>
  <c r="E155" i="8"/>
  <c r="A344" i="8" s="1"/>
  <c r="O344" i="8" s="1"/>
  <c r="CA60" i="4" s="1"/>
  <c r="H155" i="8"/>
  <c r="J155" i="8" s="1"/>
  <c r="D56" i="8"/>
  <c r="F57" i="8"/>
  <c r="C56" i="8"/>
  <c r="AB73" i="8"/>
  <c r="B411" i="8" s="1"/>
  <c r="C411" i="8" s="1"/>
  <c r="AE73" i="8"/>
  <c r="A340" i="8" s="1"/>
  <c r="O340" i="8" s="1"/>
  <c r="CA48" i="4" s="1"/>
  <c r="AH73" i="8"/>
  <c r="AJ73" i="8" s="1"/>
  <c r="AD72" i="8"/>
  <c r="D238" i="8"/>
  <c r="J220" i="9"/>
  <c r="D232" i="9"/>
  <c r="D231" i="9"/>
  <c r="D230" i="9"/>
  <c r="D233" i="9"/>
  <c r="AF52" i="9"/>
  <c r="AF53" i="9" s="1"/>
  <c r="AJ51" i="9" s="1"/>
  <c r="E150" i="9"/>
  <c r="D74" i="8"/>
  <c r="D156" i="8"/>
  <c r="AB154" i="8"/>
  <c r="B418" i="8" s="1"/>
  <c r="C418" i="8" s="1"/>
  <c r="AH154" i="8"/>
  <c r="AJ154" i="8"/>
  <c r="AE154" i="8"/>
  <c r="A347" i="8" s="1"/>
  <c r="O347" i="8" s="1"/>
  <c r="CA66" i="4" s="1"/>
  <c r="D236" i="8"/>
  <c r="AB237" i="8"/>
  <c r="B427" i="8" s="1"/>
  <c r="C427" i="8" s="1"/>
  <c r="AH237" i="8"/>
  <c r="AJ237" i="8" s="1"/>
  <c r="AE237" i="8"/>
  <c r="A356" i="8" s="1"/>
  <c r="O356" i="8" s="1"/>
  <c r="CA86" i="4" s="1"/>
  <c r="AS86" i="4" s="1"/>
  <c r="D239" i="8"/>
  <c r="AF57" i="8"/>
  <c r="AC56" i="8"/>
  <c r="AD56" i="8"/>
  <c r="AB239" i="8"/>
  <c r="B429" i="8" s="1"/>
  <c r="C429" i="8" s="1"/>
  <c r="AE239" i="8"/>
  <c r="A358" i="8" s="1"/>
  <c r="O358" i="8" s="1"/>
  <c r="CA88" i="4" s="1"/>
  <c r="AH239" i="8"/>
  <c r="AJ239" i="8" s="1"/>
  <c r="AJ56" i="9"/>
  <c r="AD67" i="9"/>
  <c r="AD66" i="9"/>
  <c r="AD69" i="9"/>
  <c r="AD68" i="9"/>
  <c r="E148" i="9"/>
  <c r="F148" i="9" s="1"/>
  <c r="AB155" i="8"/>
  <c r="B419" i="8" s="1"/>
  <c r="C419" i="8" s="1"/>
  <c r="AH155" i="8"/>
  <c r="AJ155" i="8" s="1"/>
  <c r="AE155" i="8"/>
  <c r="A348" i="8" s="1"/>
  <c r="O348" i="8" s="1"/>
  <c r="CA67" i="4" s="1"/>
  <c r="D75" i="8"/>
  <c r="G57" i="9"/>
  <c r="G51" i="9" a="1"/>
  <c r="G51" i="9" s="1"/>
  <c r="F51" i="9" a="1"/>
  <c r="F51" i="9" s="1"/>
  <c r="D157" i="8"/>
  <c r="AG134" i="9"/>
  <c r="AG135" i="9" s="1"/>
  <c r="AJ133" i="9" s="1"/>
  <c r="AC243" i="8"/>
  <c r="AI243" i="8"/>
  <c r="I355" i="8" s="1"/>
  <c r="AY85" i="4" s="1"/>
  <c r="AH243" i="8"/>
  <c r="H355" i="8" s="1"/>
  <c r="AE243" i="8"/>
  <c r="E355" i="8" s="1"/>
  <c r="AT85" i="4" s="1"/>
  <c r="AG243" i="8"/>
  <c r="G355" i="8" s="1"/>
  <c r="BC85" i="4" s="1"/>
  <c r="AJ243" i="8"/>
  <c r="J355" i="8" s="1"/>
  <c r="BA85" i="4" s="1"/>
  <c r="AD243" i="8"/>
  <c r="D355" i="8" s="1"/>
  <c r="AB74" i="8"/>
  <c r="B412" i="8" s="1"/>
  <c r="C412" i="8" s="1"/>
  <c r="AE74" i="8"/>
  <c r="A341" i="8" s="1"/>
  <c r="O341" i="8" s="1"/>
  <c r="CA49" i="4" s="1"/>
  <c r="AS49" i="4" s="1"/>
  <c r="AH74" i="8"/>
  <c r="AJ74" i="8" s="1"/>
  <c r="D72" i="8"/>
  <c r="D154" i="8"/>
  <c r="AB238" i="8"/>
  <c r="B428" i="8" s="1"/>
  <c r="C428" i="8" s="1"/>
  <c r="AH238" i="8"/>
  <c r="AJ238" i="8" s="1"/>
  <c r="AE238" i="8"/>
  <c r="A357" i="8" s="1"/>
  <c r="O357" i="8" s="1"/>
  <c r="CA87" i="4" s="1"/>
  <c r="AS87" i="4" s="1"/>
  <c r="AB75" i="8"/>
  <c r="B413" i="8" s="1"/>
  <c r="C413" i="8" s="1"/>
  <c r="AH75" i="8"/>
  <c r="AJ75" i="8" s="1"/>
  <c r="AE75" i="8"/>
  <c r="A342" i="8" s="1"/>
  <c r="O342" i="8" s="1"/>
  <c r="CA50" i="4" s="1"/>
  <c r="D138" i="8"/>
  <c r="F139" i="8"/>
  <c r="C138" i="8"/>
  <c r="AE156" i="8"/>
  <c r="A349" i="8" s="1"/>
  <c r="O349" i="8" s="1"/>
  <c r="CA68" i="4" s="1"/>
  <c r="AS68" i="4" s="1"/>
  <c r="F216" i="9"/>
  <c r="F217" i="9" s="1"/>
  <c r="J215" i="9" s="1"/>
  <c r="AF139" i="8"/>
  <c r="AC138" i="8"/>
  <c r="AD138" i="8"/>
  <c r="E149" i="9"/>
  <c r="F149" i="9" s="1"/>
  <c r="D138" i="9"/>
  <c r="F139" i="9"/>
  <c r="C138" i="9"/>
  <c r="AJ138" i="9"/>
  <c r="AD148" i="9"/>
  <c r="AD150" i="9"/>
  <c r="AD151" i="9"/>
  <c r="AD149" i="9"/>
  <c r="AE149" i="9" s="1"/>
  <c r="AH156" i="8" l="1"/>
  <c r="AJ156" i="8" s="1"/>
  <c r="AE67" i="9"/>
  <c r="E231" i="9"/>
  <c r="AD232" i="9"/>
  <c r="AE232" i="9" s="1"/>
  <c r="AD231" i="9"/>
  <c r="AD233" i="9"/>
  <c r="AD230" i="9"/>
  <c r="AJ220" i="9"/>
  <c r="F52" i="9"/>
  <c r="F53" i="9" s="1"/>
  <c r="AS67" i="4"/>
  <c r="AJ215" i="9"/>
  <c r="AE157" i="8"/>
  <c r="A350" i="8" s="1"/>
  <c r="O350" i="8" s="1"/>
  <c r="CA69" i="4" s="1"/>
  <c r="AS69" i="4" s="1"/>
  <c r="AH157" i="8"/>
  <c r="AJ157" i="8" s="1"/>
  <c r="AB157" i="8"/>
  <c r="B421" i="8" s="1"/>
  <c r="C421" i="8" s="1"/>
  <c r="AE151" i="9"/>
  <c r="C139" i="9"/>
  <c r="C142" i="9"/>
  <c r="C143" i="9"/>
  <c r="AD142" i="8"/>
  <c r="AD139" i="8"/>
  <c r="AE139" i="8" s="1"/>
  <c r="AD143" i="8"/>
  <c r="F151" i="9"/>
  <c r="AG81" i="8"/>
  <c r="AH81" i="8"/>
  <c r="AC81" i="8"/>
  <c r="AJ81" i="8"/>
  <c r="AI81" i="8"/>
  <c r="AE81" i="8"/>
  <c r="AD81" i="8"/>
  <c r="C355" i="8"/>
  <c r="AF243" i="8"/>
  <c r="F355" i="8" s="1"/>
  <c r="AK243" i="8"/>
  <c r="K355" i="8" s="1"/>
  <c r="AL243" i="8"/>
  <c r="L355" i="8" s="1"/>
  <c r="AM243" i="8"/>
  <c r="M355" i="8" s="1"/>
  <c r="AE68" i="9"/>
  <c r="AD60" i="8"/>
  <c r="AD57" i="8"/>
  <c r="AE57" i="8" s="1"/>
  <c r="AD61" i="8"/>
  <c r="B236" i="8"/>
  <c r="B422" i="8" s="1"/>
  <c r="C422" i="8" s="1"/>
  <c r="H236" i="8"/>
  <c r="J236" i="8"/>
  <c r="E236" i="8"/>
  <c r="A351" i="8" s="1"/>
  <c r="O351" i="8" s="1"/>
  <c r="CA78" i="4" s="1"/>
  <c r="AS79" i="4" s="1"/>
  <c r="AD56" i="9"/>
  <c r="AF57" i="9"/>
  <c r="AC56" i="9"/>
  <c r="E232" i="9"/>
  <c r="AB72" i="8"/>
  <c r="B410" i="8" s="1"/>
  <c r="C410" i="8" s="1"/>
  <c r="AJ72" i="8"/>
  <c r="AH72" i="8"/>
  <c r="AE72" i="8"/>
  <c r="A339" i="8" s="1"/>
  <c r="O339" i="8" s="1"/>
  <c r="CA47" i="4" s="1"/>
  <c r="AS48" i="4" s="1"/>
  <c r="C57" i="8"/>
  <c r="C60" i="8"/>
  <c r="C61" i="8"/>
  <c r="AE150" i="9"/>
  <c r="AC139" i="8"/>
  <c r="AC143" i="8"/>
  <c r="AC142" i="8"/>
  <c r="AC163" i="8"/>
  <c r="AJ163" i="8"/>
  <c r="AG163" i="8"/>
  <c r="AH163" i="8"/>
  <c r="AI163" i="8"/>
  <c r="AE163" i="8"/>
  <c r="AD163" i="8"/>
  <c r="D139" i="8"/>
  <c r="E139" i="8" s="1"/>
  <c r="D142" i="8"/>
  <c r="D143" i="8"/>
  <c r="AC138" i="9"/>
  <c r="AF139" i="9"/>
  <c r="AD138" i="9"/>
  <c r="G52" i="9"/>
  <c r="G53" i="9" s="1"/>
  <c r="J51" i="9" s="1"/>
  <c r="AC162" i="8"/>
  <c r="AJ162" i="8"/>
  <c r="J348" i="8" s="1"/>
  <c r="BA67" i="4" s="1"/>
  <c r="AD162" i="8"/>
  <c r="D348" i="8" s="1"/>
  <c r="AI162" i="8"/>
  <c r="I348" i="8" s="1"/>
  <c r="AY67" i="4" s="1"/>
  <c r="AH162" i="8"/>
  <c r="H348" i="8" s="1"/>
  <c r="AE162" i="8"/>
  <c r="E348" i="8" s="1"/>
  <c r="AT67" i="4" s="1"/>
  <c r="AG162" i="8"/>
  <c r="G348" i="8" s="1"/>
  <c r="BC67" i="4" s="1"/>
  <c r="AE69" i="9"/>
  <c r="AH246" i="8"/>
  <c r="H358" i="8" s="1"/>
  <c r="AE246" i="8"/>
  <c r="E358" i="8" s="1"/>
  <c r="AT88" i="4" s="1"/>
  <c r="AG246" i="8"/>
  <c r="G358" i="8" s="1"/>
  <c r="BC88" i="4" s="1"/>
  <c r="AC246" i="8"/>
  <c r="AJ246" i="8"/>
  <c r="J358" i="8" s="1"/>
  <c r="BA88" i="4" s="1"/>
  <c r="AD246" i="8"/>
  <c r="D358" i="8" s="1"/>
  <c r="AI246" i="8"/>
  <c r="I358" i="8" s="1"/>
  <c r="AY88" i="4" s="1"/>
  <c r="AC57" i="8"/>
  <c r="AC61" i="8"/>
  <c r="AC60" i="8"/>
  <c r="AJ244" i="8"/>
  <c r="J356" i="8" s="1"/>
  <c r="BA86" i="4" s="1"/>
  <c r="AD244" i="8"/>
  <c r="D356" i="8" s="1"/>
  <c r="AC244" i="8"/>
  <c r="AI244" i="8"/>
  <c r="I356" i="8" s="1"/>
  <c r="AY86" i="4" s="1"/>
  <c r="AH244" i="8"/>
  <c r="H356" i="8" s="1"/>
  <c r="AE244" i="8"/>
  <c r="E356" i="8" s="1"/>
  <c r="AT86" i="4" s="1"/>
  <c r="AG244" i="8"/>
  <c r="G356" i="8" s="1"/>
  <c r="BC86" i="4" s="1"/>
  <c r="B156" i="8"/>
  <c r="B416" i="8" s="1"/>
  <c r="C416" i="8" s="1"/>
  <c r="E156" i="8"/>
  <c r="A345" i="8" s="1"/>
  <c r="O345" i="8" s="1"/>
  <c r="CA61" i="4" s="1"/>
  <c r="AS61" i="4" s="1"/>
  <c r="H156" i="8"/>
  <c r="J156" i="8" s="1"/>
  <c r="E233" i="9"/>
  <c r="AC80" i="8"/>
  <c r="AJ80" i="8"/>
  <c r="J340" i="8" s="1"/>
  <c r="BA48" i="4" s="1"/>
  <c r="AD80" i="8"/>
  <c r="D340" i="8" s="1"/>
  <c r="AI80" i="8"/>
  <c r="I340" i="8" s="1"/>
  <c r="AY48" i="4" s="1"/>
  <c r="AH80" i="8"/>
  <c r="H340" i="8" s="1"/>
  <c r="AE80" i="8"/>
  <c r="E340" i="8" s="1"/>
  <c r="AT48" i="4" s="1"/>
  <c r="AG80" i="8"/>
  <c r="G340" i="8" s="1"/>
  <c r="BC48" i="4" s="1"/>
  <c r="C244" i="8"/>
  <c r="H244" i="8"/>
  <c r="H352" i="8" s="1"/>
  <c r="D244" i="8"/>
  <c r="D352" i="8" s="1"/>
  <c r="E244" i="8"/>
  <c r="E352" i="8" s="1"/>
  <c r="AT79" i="4" s="1"/>
  <c r="G244" i="8"/>
  <c r="G352" i="8" s="1"/>
  <c r="BC79" i="4" s="1"/>
  <c r="J244" i="8"/>
  <c r="J352" i="8" s="1"/>
  <c r="BA79" i="4" s="1"/>
  <c r="I244" i="8"/>
  <c r="I352" i="8" s="1"/>
  <c r="AY79" i="4" s="1"/>
  <c r="AE148" i="9"/>
  <c r="AF148" i="9" s="1"/>
  <c r="D139" i="9"/>
  <c r="E139" i="9" s="1"/>
  <c r="D142" i="9"/>
  <c r="D143" i="9"/>
  <c r="AS50" i="4"/>
  <c r="AG245" i="8"/>
  <c r="AH245" i="8"/>
  <c r="AC245" i="8"/>
  <c r="AJ245" i="8"/>
  <c r="AI245" i="8"/>
  <c r="AE245" i="8"/>
  <c r="AD245" i="8"/>
  <c r="B154" i="8"/>
  <c r="B414" i="8" s="1"/>
  <c r="C414" i="8" s="1"/>
  <c r="J154" i="8"/>
  <c r="E154" i="8"/>
  <c r="A343" i="8" s="1"/>
  <c r="O343" i="8" s="1"/>
  <c r="CA59" i="4" s="1"/>
  <c r="AS60" i="4" s="1"/>
  <c r="H154" i="8"/>
  <c r="AW85" i="4"/>
  <c r="J56" i="9"/>
  <c r="D68" i="9"/>
  <c r="D69" i="9"/>
  <c r="D66" i="9"/>
  <c r="D67" i="9"/>
  <c r="AE66" i="9"/>
  <c r="AF66" i="9" s="1"/>
  <c r="AS88" i="4"/>
  <c r="AC161" i="8"/>
  <c r="AI161" i="8"/>
  <c r="I347" i="8" s="1"/>
  <c r="AY66" i="4" s="1"/>
  <c r="AH161" i="8"/>
  <c r="H347" i="8" s="1"/>
  <c r="AE161" i="8"/>
  <c r="E347" i="8" s="1"/>
  <c r="AT66" i="4" s="1"/>
  <c r="AG161" i="8"/>
  <c r="G347" i="8" s="1"/>
  <c r="BC66" i="4" s="1"/>
  <c r="AJ161" i="8"/>
  <c r="J347" i="8" s="1"/>
  <c r="BA66" i="4" s="1"/>
  <c r="AD161" i="8"/>
  <c r="D347" i="8" s="1"/>
  <c r="B74" i="8"/>
  <c r="B408" i="8" s="1"/>
  <c r="C408" i="8" s="1"/>
  <c r="H74" i="8"/>
  <c r="J74" i="8" s="1"/>
  <c r="E74" i="8"/>
  <c r="A337" i="8" s="1"/>
  <c r="O337" i="8" s="1"/>
  <c r="CA42" i="4" s="1"/>
  <c r="AS42" i="4" s="1"/>
  <c r="E230" i="9"/>
  <c r="F230" i="9" s="1"/>
  <c r="B238" i="8"/>
  <c r="B424" i="8" s="1"/>
  <c r="C424" i="8" s="1"/>
  <c r="H238" i="8"/>
  <c r="J238" i="8" s="1"/>
  <c r="E238" i="8"/>
  <c r="A353" i="8" s="1"/>
  <c r="O353" i="8" s="1"/>
  <c r="CA80" i="4" s="1"/>
  <c r="AS80" i="4" s="1"/>
  <c r="D57" i="8"/>
  <c r="E57" i="8" s="1"/>
  <c r="D60" i="8"/>
  <c r="D61" i="8"/>
  <c r="D220" i="9"/>
  <c r="F221" i="9"/>
  <c r="C220" i="9"/>
  <c r="C139" i="8"/>
  <c r="C142" i="8"/>
  <c r="C143" i="8"/>
  <c r="AC82" i="8"/>
  <c r="AJ82" i="8"/>
  <c r="J342" i="8" s="1"/>
  <c r="BA50" i="4" s="1"/>
  <c r="AI82" i="8"/>
  <c r="I342" i="8" s="1"/>
  <c r="AY50" i="4" s="1"/>
  <c r="AH82" i="8"/>
  <c r="H342" i="8" s="1"/>
  <c r="AD82" i="8"/>
  <c r="D342" i="8" s="1"/>
  <c r="AE82" i="8"/>
  <c r="E342" i="8" s="1"/>
  <c r="AT50" i="4" s="1"/>
  <c r="AG82" i="8"/>
  <c r="G342" i="8" s="1"/>
  <c r="BC50" i="4" s="1"/>
  <c r="B72" i="8"/>
  <c r="B406" i="8" s="1"/>
  <c r="C406" i="8" s="1"/>
  <c r="J72" i="8"/>
  <c r="E72" i="8"/>
  <c r="A335" i="8" s="1"/>
  <c r="O335" i="8" s="1"/>
  <c r="CA40" i="4" s="1"/>
  <c r="AS41" i="4" s="1"/>
  <c r="H72" i="8"/>
  <c r="B157" i="8"/>
  <c r="B417" i="8" s="1"/>
  <c r="C417" i="8" s="1"/>
  <c r="H157" i="8"/>
  <c r="J157" i="8" s="1"/>
  <c r="E157" i="8"/>
  <c r="A346" i="8" s="1"/>
  <c r="O346" i="8" s="1"/>
  <c r="CA62" i="4" s="1"/>
  <c r="B75" i="8"/>
  <c r="B409" i="8" s="1"/>
  <c r="C409" i="8" s="1"/>
  <c r="H75" i="8"/>
  <c r="J75" i="8" s="1"/>
  <c r="E75" i="8"/>
  <c r="A338" i="8" s="1"/>
  <c r="O338" i="8" s="1"/>
  <c r="CA43" i="4" s="1"/>
  <c r="D154" i="9"/>
  <c r="AF67" i="9"/>
  <c r="B239" i="8"/>
  <c r="B425" i="8" s="1"/>
  <c r="C425" i="8" s="1"/>
  <c r="H239" i="8"/>
  <c r="J239" i="8" s="1"/>
  <c r="E239" i="8"/>
  <c r="A354" i="8" s="1"/>
  <c r="O354" i="8" s="1"/>
  <c r="CA81" i="4" s="1"/>
  <c r="F150" i="9"/>
  <c r="D157" i="9" s="1"/>
  <c r="F231" i="9"/>
  <c r="C162" i="8"/>
  <c r="H162" i="8"/>
  <c r="H344" i="8" s="1"/>
  <c r="D162" i="8"/>
  <c r="D344" i="8" s="1"/>
  <c r="E162" i="8"/>
  <c r="E344" i="8" s="1"/>
  <c r="AT60" i="4" s="1"/>
  <c r="G162" i="8"/>
  <c r="G344" i="8" s="1"/>
  <c r="BC60" i="4" s="1"/>
  <c r="J162" i="8"/>
  <c r="J344" i="8" s="1"/>
  <c r="BA60" i="4" s="1"/>
  <c r="I162" i="8"/>
  <c r="I344" i="8" s="1"/>
  <c r="AY60" i="4" s="1"/>
  <c r="C80" i="8"/>
  <c r="H80" i="8"/>
  <c r="H336" i="8" s="1"/>
  <c r="D80" i="8"/>
  <c r="D336" i="8" s="1"/>
  <c r="E80" i="8"/>
  <c r="E336" i="8" s="1"/>
  <c r="AT41" i="4" s="1"/>
  <c r="G80" i="8"/>
  <c r="G336" i="8" s="1"/>
  <c r="BC41" i="4" s="1"/>
  <c r="J80" i="8"/>
  <c r="J336" i="8" s="1"/>
  <c r="BA41" i="4" s="1"/>
  <c r="I80" i="8"/>
  <c r="I336" i="8" s="1"/>
  <c r="AY41" i="4" s="1"/>
  <c r="AC220" i="9" l="1"/>
  <c r="AD220" i="9"/>
  <c r="AF221" i="9"/>
  <c r="AE230" i="9"/>
  <c r="AF230" i="9" s="1"/>
  <c r="D156" i="9"/>
  <c r="AS62" i="4"/>
  <c r="AE233" i="9"/>
  <c r="AF233" i="9" s="1"/>
  <c r="E67" i="9"/>
  <c r="AC164" i="8"/>
  <c r="AE164" i="8"/>
  <c r="E350" i="8" s="1"/>
  <c r="AT69" i="4" s="1"/>
  <c r="AH164" i="8"/>
  <c r="H350" i="8" s="1"/>
  <c r="AW69" i="4" s="1"/>
  <c r="AI164" i="8"/>
  <c r="I350" i="8" s="1"/>
  <c r="AY69" i="4" s="1"/>
  <c r="AG164" i="8"/>
  <c r="G350" i="8" s="1"/>
  <c r="BC69" i="4" s="1"/>
  <c r="AJ164" i="8"/>
  <c r="J350" i="8" s="1"/>
  <c r="BA69" i="4" s="1"/>
  <c r="AD164" i="8"/>
  <c r="D350" i="8" s="1"/>
  <c r="AE231" i="9"/>
  <c r="AF231" i="9" s="1"/>
  <c r="B157" i="9"/>
  <c r="B417" i="9" s="1"/>
  <c r="C417" i="9" s="1"/>
  <c r="E157" i="9"/>
  <c r="A346" i="9" s="1"/>
  <c r="O346" i="9" s="1"/>
  <c r="H157" i="9"/>
  <c r="J157" i="9" s="1"/>
  <c r="C56" i="9"/>
  <c r="D56" i="9"/>
  <c r="F57" i="9"/>
  <c r="B154" i="9"/>
  <c r="B414" i="9" s="1"/>
  <c r="C414" i="9" s="1"/>
  <c r="H154" i="9"/>
  <c r="J154" i="9"/>
  <c r="E154" i="9"/>
  <c r="A343" i="9" s="1"/>
  <c r="O343" i="9" s="1"/>
  <c r="H82" i="8"/>
  <c r="H338" i="8" s="1"/>
  <c r="E82" i="8"/>
  <c r="E338" i="8" s="1"/>
  <c r="AT43" i="4" s="1"/>
  <c r="G82" i="8"/>
  <c r="G338" i="8" s="1"/>
  <c r="BC43" i="4" s="1"/>
  <c r="J82" i="8"/>
  <c r="J338" i="8" s="1"/>
  <c r="BA43" i="4" s="1"/>
  <c r="D82" i="8"/>
  <c r="D338" i="8" s="1"/>
  <c r="C82" i="8"/>
  <c r="I82" i="8"/>
  <c r="I338" i="8" s="1"/>
  <c r="AY43" i="4" s="1"/>
  <c r="AW60" i="4"/>
  <c r="D155" i="9"/>
  <c r="D221" i="9"/>
  <c r="E221" i="9" s="1"/>
  <c r="D224" i="9"/>
  <c r="D225" i="9"/>
  <c r="I245" i="8"/>
  <c r="E245" i="8"/>
  <c r="C245" i="8"/>
  <c r="G245" i="8"/>
  <c r="J245" i="8"/>
  <c r="H245" i="8"/>
  <c r="D245" i="8"/>
  <c r="C81" i="8"/>
  <c r="J81" i="8"/>
  <c r="I81" i="8"/>
  <c r="E81" i="8"/>
  <c r="H81" i="8"/>
  <c r="G81" i="8"/>
  <c r="D81" i="8"/>
  <c r="C347" i="8"/>
  <c r="AF161" i="8"/>
  <c r="F347" i="8" s="1"/>
  <c r="AK161" i="8"/>
  <c r="K347" i="8" s="1"/>
  <c r="AL161" i="8"/>
  <c r="L347" i="8" s="1"/>
  <c r="AM161" i="8"/>
  <c r="M347" i="8" s="1"/>
  <c r="E66" i="9"/>
  <c r="F66" i="9" s="1"/>
  <c r="E367" i="8"/>
  <c r="D357" i="8"/>
  <c r="AF245" i="8"/>
  <c r="C357" i="8"/>
  <c r="AM245" i="8"/>
  <c r="M357" i="8" s="1"/>
  <c r="D367" i="8"/>
  <c r="AK245" i="8"/>
  <c r="K357" i="8" s="1"/>
  <c r="AL245" i="8"/>
  <c r="L357" i="8" s="1"/>
  <c r="AW86" i="4"/>
  <c r="I365" i="8"/>
  <c r="H349" i="8"/>
  <c r="F232" i="9"/>
  <c r="F363" i="8"/>
  <c r="E341" i="8"/>
  <c r="AT49" i="4" s="1"/>
  <c r="H341" i="8"/>
  <c r="I363" i="8"/>
  <c r="E69" i="9"/>
  <c r="E357" i="8"/>
  <c r="AT87" i="4" s="1"/>
  <c r="F367" i="8"/>
  <c r="H357" i="8"/>
  <c r="I367" i="8"/>
  <c r="AW79" i="4"/>
  <c r="AW48" i="4"/>
  <c r="AF80" i="8"/>
  <c r="F340" i="8" s="1"/>
  <c r="AL80" i="8"/>
  <c r="L340" i="8" s="1"/>
  <c r="C340" i="8"/>
  <c r="AK80" i="8"/>
  <c r="K340" i="8" s="1"/>
  <c r="AM80" i="8"/>
  <c r="M340" i="8" s="1"/>
  <c r="AC139" i="9"/>
  <c r="AC143" i="9"/>
  <c r="AC142" i="9"/>
  <c r="D349" i="8"/>
  <c r="E365" i="8"/>
  <c r="H365" i="8"/>
  <c r="G349" i="8"/>
  <c r="BC68" i="4" s="1"/>
  <c r="AC60" i="9"/>
  <c r="AC57" i="9"/>
  <c r="AC61" i="9"/>
  <c r="C243" i="8"/>
  <c r="E243" i="8"/>
  <c r="E351" i="8" s="1"/>
  <c r="AT78" i="4" s="1"/>
  <c r="G243" i="8"/>
  <c r="G351" i="8" s="1"/>
  <c r="BC78" i="4" s="1"/>
  <c r="J243" i="8"/>
  <c r="J351" i="8" s="1"/>
  <c r="BA78" i="4" s="1"/>
  <c r="I243" i="8"/>
  <c r="I351" i="8" s="1"/>
  <c r="AY78" i="4" s="1"/>
  <c r="H243" i="8"/>
  <c r="H351" i="8" s="1"/>
  <c r="D243" i="8"/>
  <c r="D351" i="8" s="1"/>
  <c r="DB220" i="4"/>
  <c r="Q26" i="4"/>
  <c r="J397" i="8"/>
  <c r="G416" i="8"/>
  <c r="DB209" i="4" s="1"/>
  <c r="P355" i="8"/>
  <c r="J363" i="8"/>
  <c r="I341" i="8"/>
  <c r="AY49" i="4" s="1"/>
  <c r="H363" i="8"/>
  <c r="G341" i="8"/>
  <c r="BC49" i="4" s="1"/>
  <c r="AW41" i="4"/>
  <c r="C344" i="8"/>
  <c r="L162" i="8"/>
  <c r="L344" i="8" s="1"/>
  <c r="F162" i="8"/>
  <c r="F344" i="8" s="1"/>
  <c r="K162" i="8"/>
  <c r="K344" i="8" s="1"/>
  <c r="M162" i="8"/>
  <c r="M344" i="8" s="1"/>
  <c r="B156" i="9"/>
  <c r="B416" i="9" s="1"/>
  <c r="C416" i="9" s="1"/>
  <c r="E156" i="9"/>
  <c r="A345" i="9" s="1"/>
  <c r="O345" i="9" s="1"/>
  <c r="H156" i="9"/>
  <c r="J156" i="9" s="1"/>
  <c r="F80" i="8"/>
  <c r="F336" i="8" s="1"/>
  <c r="L80" i="8"/>
  <c r="L336" i="8" s="1"/>
  <c r="C336" i="8"/>
  <c r="K80" i="8"/>
  <c r="K336" i="8" s="1"/>
  <c r="M80" i="8"/>
  <c r="M336" i="8" s="1"/>
  <c r="AS81" i="4"/>
  <c r="AS43" i="4"/>
  <c r="C164" i="8"/>
  <c r="H164" i="8"/>
  <c r="H346" i="8" s="1"/>
  <c r="E164" i="8"/>
  <c r="E346" i="8" s="1"/>
  <c r="AT62" i="4" s="1"/>
  <c r="G164" i="8"/>
  <c r="G346" i="8" s="1"/>
  <c r="BC62" i="4" s="1"/>
  <c r="J164" i="8"/>
  <c r="J346" i="8" s="1"/>
  <c r="BA62" i="4" s="1"/>
  <c r="D164" i="8"/>
  <c r="D346" i="8" s="1"/>
  <c r="I164" i="8"/>
  <c r="I346" i="8" s="1"/>
  <c r="AY62" i="4" s="1"/>
  <c r="E79" i="8"/>
  <c r="E335" i="8" s="1"/>
  <c r="AT40" i="4" s="1"/>
  <c r="G79" i="8"/>
  <c r="G335" i="8" s="1"/>
  <c r="BC40" i="4" s="1"/>
  <c r="C79" i="8"/>
  <c r="J79" i="8"/>
  <c r="J335" i="8" s="1"/>
  <c r="BA40" i="4" s="1"/>
  <c r="I79" i="8"/>
  <c r="I335" i="8" s="1"/>
  <c r="H79" i="8"/>
  <c r="H335" i="8" s="1"/>
  <c r="D79" i="8"/>
  <c r="D335" i="8" s="1"/>
  <c r="AF82" i="8"/>
  <c r="F342" i="8" s="1"/>
  <c r="AK82" i="8"/>
  <c r="K342" i="8" s="1"/>
  <c r="AM82" i="8"/>
  <c r="M342" i="8" s="1"/>
  <c r="AL82" i="8"/>
  <c r="L342" i="8" s="1"/>
  <c r="C342" i="8"/>
  <c r="C221" i="9"/>
  <c r="C224" i="9"/>
  <c r="C225" i="9"/>
  <c r="AW66" i="4"/>
  <c r="E68" i="9"/>
  <c r="F68" i="9" s="1"/>
  <c r="E161" i="8"/>
  <c r="E343" i="8" s="1"/>
  <c r="AT59" i="4" s="1"/>
  <c r="G161" i="8"/>
  <c r="G343" i="8" s="1"/>
  <c r="BC59" i="4" s="1"/>
  <c r="J161" i="8"/>
  <c r="J343" i="8" s="1"/>
  <c r="BA59" i="4" s="1"/>
  <c r="I161" i="8"/>
  <c r="I343" i="8" s="1"/>
  <c r="AY59" i="4" s="1"/>
  <c r="C161" i="8"/>
  <c r="H161" i="8"/>
  <c r="H343" i="8" s="1"/>
  <c r="D161" i="8"/>
  <c r="D343" i="8" s="1"/>
  <c r="I357" i="8"/>
  <c r="AY87" i="4" s="1"/>
  <c r="J367" i="8"/>
  <c r="H367" i="8"/>
  <c r="G357" i="8"/>
  <c r="BC87" i="4" s="1"/>
  <c r="L244" i="8"/>
  <c r="L352" i="8" s="1"/>
  <c r="K244" i="8"/>
  <c r="K352" i="8" s="1"/>
  <c r="M244" i="8"/>
  <c r="M352" i="8" s="1"/>
  <c r="F244" i="8"/>
  <c r="F352" i="8" s="1"/>
  <c r="C352" i="8"/>
  <c r="F233" i="9"/>
  <c r="D239" i="9" s="1"/>
  <c r="AF244" i="8"/>
  <c r="F356" i="8" s="1"/>
  <c r="AL244" i="8"/>
  <c r="L356" i="8" s="1"/>
  <c r="C356" i="8"/>
  <c r="AK244" i="8"/>
  <c r="K356" i="8" s="1"/>
  <c r="AM244" i="8"/>
  <c r="M356" i="8" s="1"/>
  <c r="AW88" i="4"/>
  <c r="AW67" i="4"/>
  <c r="AF162" i="8"/>
  <c r="F348" i="8" s="1"/>
  <c r="AL162" i="8"/>
  <c r="L348" i="8" s="1"/>
  <c r="C348" i="8"/>
  <c r="AK162" i="8"/>
  <c r="K348" i="8" s="1"/>
  <c r="AM162" i="8"/>
  <c r="M348" i="8" s="1"/>
  <c r="F365" i="8"/>
  <c r="E349" i="8"/>
  <c r="AT68" i="4" s="1"/>
  <c r="J349" i="8"/>
  <c r="BA68" i="4" s="1"/>
  <c r="K365" i="8"/>
  <c r="AI79" i="8"/>
  <c r="I339" i="8" s="1"/>
  <c r="AY47" i="4" s="1"/>
  <c r="AH79" i="8"/>
  <c r="H339" i="8" s="1"/>
  <c r="AC79" i="8"/>
  <c r="AE79" i="8"/>
  <c r="E339" i="8" s="1"/>
  <c r="AT47" i="4" s="1"/>
  <c r="AG79" i="8"/>
  <c r="G339" i="8" s="1"/>
  <c r="BC47" i="4" s="1"/>
  <c r="AJ79" i="8"/>
  <c r="J339" i="8" s="1"/>
  <c r="BA47" i="4" s="1"/>
  <c r="AD79" i="8"/>
  <c r="D339" i="8" s="1"/>
  <c r="K363" i="8"/>
  <c r="J341" i="8"/>
  <c r="BA49" i="4" s="1"/>
  <c r="AF151" i="9"/>
  <c r="C246" i="8"/>
  <c r="H246" i="8"/>
  <c r="H354" i="8" s="1"/>
  <c r="E246" i="8"/>
  <c r="E354" i="8" s="1"/>
  <c r="AT81" i="4" s="1"/>
  <c r="G246" i="8"/>
  <c r="G354" i="8" s="1"/>
  <c r="BC81" i="4" s="1"/>
  <c r="J246" i="8"/>
  <c r="J354" i="8" s="1"/>
  <c r="BA81" i="4" s="1"/>
  <c r="D246" i="8"/>
  <c r="D354" i="8" s="1"/>
  <c r="I246" i="8"/>
  <c r="I354" i="8" s="1"/>
  <c r="AY81" i="4" s="1"/>
  <c r="AW50" i="4"/>
  <c r="F67" i="9"/>
  <c r="J357" i="8"/>
  <c r="BA87" i="4" s="1"/>
  <c r="K367" i="8"/>
  <c r="C163" i="8"/>
  <c r="H163" i="8"/>
  <c r="I163" i="8"/>
  <c r="E163" i="8"/>
  <c r="G163" i="8"/>
  <c r="J163" i="8"/>
  <c r="D163" i="8"/>
  <c r="AF246" i="8"/>
  <c r="F358" i="8" s="1"/>
  <c r="AK246" i="8"/>
  <c r="K358" i="8" s="1"/>
  <c r="AM246" i="8"/>
  <c r="M358" i="8" s="1"/>
  <c r="C358" i="8"/>
  <c r="AL246" i="8"/>
  <c r="L358" i="8" s="1"/>
  <c r="AF69" i="9"/>
  <c r="AD139" i="9"/>
  <c r="AE139" i="9" s="1"/>
  <c r="AD143" i="9"/>
  <c r="AD142" i="9"/>
  <c r="I349" i="8"/>
  <c r="AY68" i="4" s="1"/>
  <c r="J365" i="8"/>
  <c r="C349" i="8"/>
  <c r="D365" i="8"/>
  <c r="AF163" i="8"/>
  <c r="AM163" i="8"/>
  <c r="M349" i="8" s="1"/>
  <c r="AK163" i="8"/>
  <c r="K349" i="8" s="1"/>
  <c r="AL163" i="8"/>
  <c r="L349" i="8" s="1"/>
  <c r="AF150" i="9"/>
  <c r="AD60" i="9"/>
  <c r="AD57" i="9"/>
  <c r="AE57" i="9" s="1"/>
  <c r="AD61" i="9"/>
  <c r="AF68" i="9"/>
  <c r="AD73" i="9" s="1"/>
  <c r="D341" i="8"/>
  <c r="E363" i="8"/>
  <c r="AF81" i="8"/>
  <c r="C341" i="8"/>
  <c r="D363" i="8"/>
  <c r="AM81" i="8"/>
  <c r="M341" i="8" s="1"/>
  <c r="AK81" i="8"/>
  <c r="K341" i="8" s="1"/>
  <c r="AL81" i="8"/>
  <c r="L341" i="8" s="1"/>
  <c r="AF149" i="9"/>
  <c r="AD155" i="9" s="1"/>
  <c r="L367" i="8" l="1"/>
  <c r="D238" i="9"/>
  <c r="AD224" i="9"/>
  <c r="AD221" i="9"/>
  <c r="AE221" i="9" s="1"/>
  <c r="AD225" i="9"/>
  <c r="AD154" i="9"/>
  <c r="L440" i="8"/>
  <c r="AM164" i="8"/>
  <c r="M350" i="8" s="1"/>
  <c r="C350" i="8"/>
  <c r="AK164" i="8"/>
  <c r="K350" i="8" s="1"/>
  <c r="AF164" i="8"/>
  <c r="F350" i="8" s="1"/>
  <c r="AL164" i="8"/>
  <c r="L350" i="8" s="1"/>
  <c r="AC225" i="9"/>
  <c r="AC221" i="9"/>
  <c r="AC224" i="9"/>
  <c r="AD239" i="9"/>
  <c r="AF232" i="9"/>
  <c r="AB73" i="9"/>
  <c r="B411" i="9" s="1"/>
  <c r="C411" i="9" s="1"/>
  <c r="AE73" i="9"/>
  <c r="A340" i="9" s="1"/>
  <c r="O340" i="9" s="1"/>
  <c r="AH73" i="9"/>
  <c r="AJ73" i="9" s="1"/>
  <c r="AB154" i="9"/>
  <c r="B418" i="9" s="1"/>
  <c r="C418" i="9" s="1"/>
  <c r="AH154" i="9"/>
  <c r="AJ154" i="9"/>
  <c r="AE154" i="9"/>
  <c r="A347" i="9" s="1"/>
  <c r="O347" i="9" s="1"/>
  <c r="AB155" i="9"/>
  <c r="B419" i="9" s="1"/>
  <c r="C419" i="9" s="1"/>
  <c r="AH155" i="9"/>
  <c r="AJ155" i="9" s="1"/>
  <c r="AE155" i="9"/>
  <c r="A348" i="9" s="1"/>
  <c r="O348" i="9" s="1"/>
  <c r="B238" i="9"/>
  <c r="B424" i="9" s="1"/>
  <c r="C424" i="9" s="1"/>
  <c r="H238" i="9"/>
  <c r="J238" i="9" s="1"/>
  <c r="E238" i="9"/>
  <c r="A353" i="9" s="1"/>
  <c r="O353" i="9" s="1"/>
  <c r="H364" i="8"/>
  <c r="G345" i="8"/>
  <c r="BC61" i="4" s="1"/>
  <c r="F163" i="8"/>
  <c r="D364" i="8"/>
  <c r="C345" i="8"/>
  <c r="K163" i="8"/>
  <c r="K345" i="8" s="1"/>
  <c r="L163" i="8"/>
  <c r="L345" i="8" s="1"/>
  <c r="M163" i="8"/>
  <c r="M345" i="8" s="1"/>
  <c r="B239" i="9"/>
  <c r="B425" i="9" s="1"/>
  <c r="C425" i="9" s="1"/>
  <c r="E239" i="9"/>
  <c r="A354" i="9" s="1"/>
  <c r="O354" i="9" s="1"/>
  <c r="BH81" i="4" s="1"/>
  <c r="H239" i="9"/>
  <c r="J239" i="9" s="1"/>
  <c r="C346" i="8"/>
  <c r="K164" i="8"/>
  <c r="K346" i="8" s="1"/>
  <c r="M164" i="8"/>
  <c r="M346" i="8" s="1"/>
  <c r="L164" i="8"/>
  <c r="L346" i="8" s="1"/>
  <c r="F164" i="8"/>
  <c r="F346" i="8" s="1"/>
  <c r="C163" i="9"/>
  <c r="E163" i="9"/>
  <c r="J163" i="9"/>
  <c r="I163" i="9"/>
  <c r="D163" i="9"/>
  <c r="G163" i="9"/>
  <c r="H163" i="9"/>
  <c r="Q397" i="8"/>
  <c r="L412" i="8"/>
  <c r="H114" i="4"/>
  <c r="D337" i="8"/>
  <c r="E362" i="8"/>
  <c r="I337" i="8"/>
  <c r="AY42" i="4" s="1"/>
  <c r="J362" i="8"/>
  <c r="I366" i="8"/>
  <c r="H353" i="8"/>
  <c r="E353" i="8"/>
  <c r="AT80" i="4" s="1"/>
  <c r="F366" i="8"/>
  <c r="C161" i="9"/>
  <c r="J161" i="9"/>
  <c r="J343" i="9" s="1"/>
  <c r="BM59" i="4" s="1"/>
  <c r="G161" i="9"/>
  <c r="G343" i="9" s="1"/>
  <c r="BN59" i="4" s="1"/>
  <c r="E161" i="9"/>
  <c r="E343" i="9" s="1"/>
  <c r="BI59" i="4" s="1"/>
  <c r="D161" i="9"/>
  <c r="D343" i="9" s="1"/>
  <c r="H161" i="9"/>
  <c r="H343" i="9" s="1"/>
  <c r="BJ59" i="4" s="1"/>
  <c r="I161" i="9"/>
  <c r="I343" i="9" s="1"/>
  <c r="BL59" i="4" s="1"/>
  <c r="D57" i="9"/>
  <c r="E57" i="9" s="1"/>
  <c r="D60" i="9"/>
  <c r="D61" i="9"/>
  <c r="AD74" i="9"/>
  <c r="AW40" i="4"/>
  <c r="F341" i="8"/>
  <c r="G363" i="8"/>
  <c r="F364" i="8"/>
  <c r="E345" i="8"/>
  <c r="AT61" i="4" s="1"/>
  <c r="AD157" i="9"/>
  <c r="AW47" i="4"/>
  <c r="L438" i="8"/>
  <c r="DB224" i="4"/>
  <c r="P348" i="8"/>
  <c r="G413" i="8"/>
  <c r="DB206" i="4" s="1"/>
  <c r="J398" i="8"/>
  <c r="Q19" i="4"/>
  <c r="C343" i="8"/>
  <c r="F161" i="8"/>
  <c r="F343" i="8" s="1"/>
  <c r="L161" i="8"/>
  <c r="L343" i="8" s="1"/>
  <c r="M161" i="8"/>
  <c r="M343" i="8" s="1"/>
  <c r="K161" i="8"/>
  <c r="K343" i="8" s="1"/>
  <c r="AD75" i="9"/>
  <c r="D236" i="9"/>
  <c r="AY40" i="4"/>
  <c r="DB221" i="4"/>
  <c r="J402" i="8"/>
  <c r="Q7" i="4"/>
  <c r="G407" i="8"/>
  <c r="DB200" i="4" s="1"/>
  <c r="P336" i="8"/>
  <c r="AW78" i="4"/>
  <c r="L441" i="8"/>
  <c r="AW49" i="4"/>
  <c r="AW68" i="4"/>
  <c r="DB232" i="4"/>
  <c r="Q28" i="4"/>
  <c r="P357" i="8"/>
  <c r="H362" i="8"/>
  <c r="G337" i="8"/>
  <c r="BC42" i="4" s="1"/>
  <c r="K362" i="8"/>
  <c r="J337" i="8"/>
  <c r="BA42" i="4" s="1"/>
  <c r="K366" i="8"/>
  <c r="J353" i="8"/>
  <c r="BA80" i="4" s="1"/>
  <c r="I353" i="8"/>
  <c r="AY80" i="4" s="1"/>
  <c r="J366" i="8"/>
  <c r="B155" i="9"/>
  <c r="B415" i="9" s="1"/>
  <c r="C415" i="9" s="1"/>
  <c r="E155" i="9"/>
  <c r="A344" i="9" s="1"/>
  <c r="O344" i="9" s="1"/>
  <c r="BH60" i="4" s="1"/>
  <c r="H155" i="9"/>
  <c r="J155" i="9" s="1"/>
  <c r="F82" i="8"/>
  <c r="F338" i="8" s="1"/>
  <c r="C338" i="8"/>
  <c r="K82" i="8"/>
  <c r="K338" i="8" s="1"/>
  <c r="M82" i="8"/>
  <c r="M338" i="8" s="1"/>
  <c r="L82" i="8"/>
  <c r="L338" i="8" s="1"/>
  <c r="C57" i="9"/>
  <c r="C60" i="9"/>
  <c r="C61" i="9"/>
  <c r="J164" i="9"/>
  <c r="J346" i="9" s="1"/>
  <c r="BM62" i="4" s="1"/>
  <c r="C164" i="9"/>
  <c r="D164" i="9"/>
  <c r="D346" i="9" s="1"/>
  <c r="G164" i="9"/>
  <c r="G346" i="9" s="1"/>
  <c r="BN62" i="4" s="1"/>
  <c r="E164" i="9"/>
  <c r="E346" i="9" s="1"/>
  <c r="BI62" i="4" s="1"/>
  <c r="H164" i="9"/>
  <c r="H346" i="9" s="1"/>
  <c r="BJ62" i="4" s="1"/>
  <c r="I164" i="9"/>
  <c r="I346" i="9" s="1"/>
  <c r="BL62" i="4" s="1"/>
  <c r="DB228" i="4"/>
  <c r="Q12" i="4"/>
  <c r="P341" i="8"/>
  <c r="F349" i="8"/>
  <c r="H413" i="8" s="1"/>
  <c r="J413" i="8" s="1"/>
  <c r="G365" i="8"/>
  <c r="AF79" i="8"/>
  <c r="F339" i="8" s="1"/>
  <c r="C339" i="8"/>
  <c r="AK79" i="8"/>
  <c r="K339" i="8" s="1"/>
  <c r="AL79" i="8"/>
  <c r="L339" i="8" s="1"/>
  <c r="AM79" i="8"/>
  <c r="M339" i="8" s="1"/>
  <c r="AW59" i="4"/>
  <c r="DB230" i="4"/>
  <c r="Q20" i="4"/>
  <c r="P349" i="8"/>
  <c r="D345" i="8"/>
  <c r="E364" i="8"/>
  <c r="DB226" i="4"/>
  <c r="P356" i="8"/>
  <c r="Q27" i="4"/>
  <c r="G417" i="8"/>
  <c r="DB210" i="4" s="1"/>
  <c r="K400" i="8"/>
  <c r="DB225" i="4"/>
  <c r="K398" i="8"/>
  <c r="Q23" i="4"/>
  <c r="G415" i="8"/>
  <c r="DB208" i="4" s="1"/>
  <c r="P352" i="8"/>
  <c r="AD72" i="9"/>
  <c r="D237" i="9"/>
  <c r="DB234" i="4"/>
  <c r="Q13" i="4"/>
  <c r="P342" i="8"/>
  <c r="DD220" i="4"/>
  <c r="AF220" i="4" s="1"/>
  <c r="Q58" i="5"/>
  <c r="Q77" i="5" s="1"/>
  <c r="DE220" i="4"/>
  <c r="F243" i="8"/>
  <c r="F351" i="8" s="1"/>
  <c r="C351" i="8"/>
  <c r="L243" i="8"/>
  <c r="L351" i="8" s="1"/>
  <c r="M243" i="8"/>
  <c r="M351" i="8" s="1"/>
  <c r="K243" i="8"/>
  <c r="K351" i="8" s="1"/>
  <c r="F357" i="8"/>
  <c r="H417" i="8" s="1"/>
  <c r="J417" i="8" s="1"/>
  <c r="G367" i="8"/>
  <c r="P399" i="8"/>
  <c r="O396" i="8"/>
  <c r="H412" i="8"/>
  <c r="J412" i="8" s="1"/>
  <c r="I362" i="8"/>
  <c r="H337" i="8"/>
  <c r="L437" i="8" s="1"/>
  <c r="C337" i="8"/>
  <c r="F81" i="8"/>
  <c r="D362" i="8"/>
  <c r="K81" i="8"/>
  <c r="K337" i="8" s="1"/>
  <c r="L81" i="8"/>
  <c r="L337" i="8" s="1"/>
  <c r="M81" i="8"/>
  <c r="M337" i="8" s="1"/>
  <c r="H366" i="8"/>
  <c r="L366" i="8" s="1"/>
  <c r="G353" i="8"/>
  <c r="BC80" i="4" s="1"/>
  <c r="AW43" i="4"/>
  <c r="BH62" i="4"/>
  <c r="AD156" i="9"/>
  <c r="F246" i="8"/>
  <c r="F354" i="8" s="1"/>
  <c r="K246" i="8"/>
  <c r="K354" i="8" s="1"/>
  <c r="M246" i="8"/>
  <c r="M354" i="8" s="1"/>
  <c r="L246" i="8"/>
  <c r="L354" i="8" s="1"/>
  <c r="C354" i="8"/>
  <c r="DB238" i="4"/>
  <c r="Q29" i="4"/>
  <c r="P358" i="8"/>
  <c r="I345" i="8"/>
  <c r="AY61" i="4" s="1"/>
  <c r="J364" i="8"/>
  <c r="K364" i="8"/>
  <c r="J345" i="8"/>
  <c r="BA61" i="4" s="1"/>
  <c r="I364" i="8"/>
  <c r="H345" i="8"/>
  <c r="L439" i="8" s="1"/>
  <c r="AW81" i="4"/>
  <c r="C335" i="8"/>
  <c r="F79" i="8"/>
  <c r="F335" i="8" s="1"/>
  <c r="K79" i="8"/>
  <c r="K335" i="8" s="1"/>
  <c r="M79" i="8"/>
  <c r="M335" i="8" s="1"/>
  <c r="L79" i="8"/>
  <c r="L335" i="8" s="1"/>
  <c r="AW62" i="4"/>
  <c r="DB223" i="4"/>
  <c r="K396" i="8"/>
  <c r="G411" i="8"/>
  <c r="DB204" i="4" s="1"/>
  <c r="P344" i="8"/>
  <c r="Q15" i="4"/>
  <c r="L363" i="8"/>
  <c r="DD209" i="4"/>
  <c r="AF209" i="4" s="1"/>
  <c r="K68" i="5"/>
  <c r="DE209" i="4"/>
  <c r="L365" i="8"/>
  <c r="DB222" i="4"/>
  <c r="K402" i="8"/>
  <c r="P340" i="8"/>
  <c r="Q11" i="4"/>
  <c r="G409" i="8"/>
  <c r="DB202" i="4" s="1"/>
  <c r="AW87" i="4"/>
  <c r="L442" i="8"/>
  <c r="F69" i="9"/>
  <c r="D72" i="9" s="1"/>
  <c r="DB218" i="4"/>
  <c r="J400" i="8"/>
  <c r="Q18" i="4"/>
  <c r="G412" i="8"/>
  <c r="DB205" i="4" s="1"/>
  <c r="P347" i="8"/>
  <c r="F362" i="8"/>
  <c r="E337" i="8"/>
  <c r="AT42" i="4" s="1"/>
  <c r="E366" i="8"/>
  <c r="D353" i="8"/>
  <c r="F245" i="8"/>
  <c r="C353" i="8"/>
  <c r="K245" i="8"/>
  <c r="K353" i="8" s="1"/>
  <c r="L245" i="8"/>
  <c r="L353" i="8" s="1"/>
  <c r="M245" i="8"/>
  <c r="M353" i="8" s="1"/>
  <c r="D366" i="8"/>
  <c r="AB239" i="9" l="1"/>
  <c r="B429" i="9" s="1"/>
  <c r="C429" i="9" s="1"/>
  <c r="AE239" i="9"/>
  <c r="A358" i="9" s="1"/>
  <c r="O358" i="9" s="1"/>
  <c r="AH239" i="9"/>
  <c r="AJ239" i="9" s="1"/>
  <c r="BH67" i="4"/>
  <c r="AD237" i="9"/>
  <c r="AD238" i="9"/>
  <c r="AD236" i="9"/>
  <c r="DB236" i="4"/>
  <c r="P350" i="8"/>
  <c r="Q21" i="4"/>
  <c r="B72" i="9"/>
  <c r="B406" i="9" s="1"/>
  <c r="C406" i="9" s="1"/>
  <c r="E72" i="9"/>
  <c r="A335" i="9" s="1"/>
  <c r="O335" i="9" s="1"/>
  <c r="J72" i="9"/>
  <c r="H72" i="9"/>
  <c r="N438" i="8"/>
  <c r="O438" i="8"/>
  <c r="DD202" i="4"/>
  <c r="AF202" i="4" s="1"/>
  <c r="K61" i="5"/>
  <c r="DE202" i="4"/>
  <c r="DB215" i="4"/>
  <c r="J396" i="8"/>
  <c r="Q6" i="4"/>
  <c r="G406" i="8"/>
  <c r="DB199" i="4" s="1"/>
  <c r="P335" i="8"/>
  <c r="DB227" i="4"/>
  <c r="Q8" i="4"/>
  <c r="P337" i="8"/>
  <c r="D74" i="9"/>
  <c r="DD234" i="4"/>
  <c r="AF234" i="4" s="1"/>
  <c r="AE58" i="5"/>
  <c r="AE77" i="5" s="1"/>
  <c r="DE234" i="4"/>
  <c r="DD208" i="4"/>
  <c r="AF208" i="4" s="1"/>
  <c r="K67" i="5"/>
  <c r="DE208" i="4"/>
  <c r="DD230" i="4"/>
  <c r="AF230" i="4" s="1"/>
  <c r="AA58" i="5"/>
  <c r="AA77" i="5" s="1"/>
  <c r="DE230" i="4"/>
  <c r="O401" i="8"/>
  <c r="O397" i="8"/>
  <c r="H408" i="8"/>
  <c r="J408" i="8" s="1"/>
  <c r="H409" i="8"/>
  <c r="J409" i="8" s="1"/>
  <c r="C346" i="9"/>
  <c r="P346" i="9" s="1"/>
  <c r="L164" i="9"/>
  <c r="L346" i="9" s="1"/>
  <c r="F164" i="9"/>
  <c r="F346" i="9" s="1"/>
  <c r="M164" i="9"/>
  <c r="M346" i="9" s="1"/>
  <c r="K164" i="9"/>
  <c r="K346" i="9" s="1"/>
  <c r="DB233" i="4"/>
  <c r="Q9" i="4"/>
  <c r="P338" i="8"/>
  <c r="L362" i="8"/>
  <c r="M363" i="8" s="1"/>
  <c r="DD232" i="4"/>
  <c r="AF232" i="4" s="1"/>
  <c r="AC58" i="5"/>
  <c r="AC77" i="5" s="1"/>
  <c r="DE232" i="4"/>
  <c r="DD200" i="4"/>
  <c r="AF200" i="4" s="1"/>
  <c r="K59" i="5"/>
  <c r="DE200" i="4"/>
  <c r="B236" i="9"/>
  <c r="B422" i="9" s="1"/>
  <c r="C422" i="9" s="1"/>
  <c r="E236" i="9"/>
  <c r="A351" i="9" s="1"/>
  <c r="O351" i="9" s="1"/>
  <c r="J236" i="9"/>
  <c r="H236" i="9"/>
  <c r="H111" i="4"/>
  <c r="L411" i="8"/>
  <c r="Q398" i="8"/>
  <c r="DD224" i="4"/>
  <c r="AF224" i="4" s="1"/>
  <c r="U58" i="5"/>
  <c r="U77" i="5" s="1"/>
  <c r="DE224" i="4"/>
  <c r="AB74" i="9"/>
  <c r="B412" i="9" s="1"/>
  <c r="C412" i="9" s="1"/>
  <c r="AH74" i="9"/>
  <c r="AJ74" i="9" s="1"/>
  <c r="AE74" i="9"/>
  <c r="A341" i="9" s="1"/>
  <c r="O341" i="9" s="1"/>
  <c r="BH49" i="4" s="1"/>
  <c r="J114" i="4"/>
  <c r="G11" i="4" s="1"/>
  <c r="E11" i="4"/>
  <c r="H364" i="9"/>
  <c r="G345" i="9"/>
  <c r="BN61" i="4" s="1"/>
  <c r="F364" i="9"/>
  <c r="E345" i="9"/>
  <c r="BI61" i="4" s="1"/>
  <c r="DB231" i="4"/>
  <c r="Q24" i="4"/>
  <c r="P353" i="8"/>
  <c r="F353" i="8"/>
  <c r="G366" i="8"/>
  <c r="DD222" i="4"/>
  <c r="AF222" i="4" s="1"/>
  <c r="S58" i="5"/>
  <c r="S77" i="5" s="1"/>
  <c r="DE222" i="4"/>
  <c r="DD204" i="4"/>
  <c r="AF204" i="4" s="1"/>
  <c r="K63" i="5"/>
  <c r="DE204" i="4"/>
  <c r="DB237" i="4"/>
  <c r="Q25" i="4"/>
  <c r="P354" i="8"/>
  <c r="AW42" i="4"/>
  <c r="O7" i="4"/>
  <c r="U396" i="8"/>
  <c r="D75" i="9"/>
  <c r="O398" i="8"/>
  <c r="DB219" i="4"/>
  <c r="J399" i="8"/>
  <c r="G414" i="8"/>
  <c r="DB207" i="4" s="1"/>
  <c r="Q22" i="4"/>
  <c r="P351" i="8"/>
  <c r="I120" i="4"/>
  <c r="M414" i="8"/>
  <c r="R400" i="8"/>
  <c r="L433" i="8"/>
  <c r="AB75" i="9"/>
  <c r="B413" i="9" s="1"/>
  <c r="C413" i="9" s="1"/>
  <c r="AE75" i="9"/>
  <c r="A342" i="9" s="1"/>
  <c r="O342" i="9" s="1"/>
  <c r="BH50" i="4" s="1"/>
  <c r="AH75" i="9"/>
  <c r="AJ75" i="9" s="1"/>
  <c r="DD206" i="4"/>
  <c r="AF206" i="4" s="1"/>
  <c r="K65" i="5"/>
  <c r="DE206" i="4"/>
  <c r="AB157" i="9"/>
  <c r="B421" i="9" s="1"/>
  <c r="C421" i="9" s="1"/>
  <c r="AE157" i="9"/>
  <c r="A350" i="9" s="1"/>
  <c r="O350" i="9" s="1"/>
  <c r="AH157" i="9"/>
  <c r="AJ157" i="9" s="1"/>
  <c r="L430" i="8"/>
  <c r="AW80" i="4"/>
  <c r="D345" i="9"/>
  <c r="E364" i="9"/>
  <c r="C345" i="9"/>
  <c r="P345" i="9" s="1"/>
  <c r="M163" i="9"/>
  <c r="M345" i="9" s="1"/>
  <c r="K163" i="9"/>
  <c r="K345" i="9" s="1"/>
  <c r="F163" i="9"/>
  <c r="D364" i="9"/>
  <c r="L163" i="9"/>
  <c r="L345" i="9" s="1"/>
  <c r="DB229" i="4"/>
  <c r="Q16" i="4"/>
  <c r="P345" i="8"/>
  <c r="L364" i="8"/>
  <c r="P401" i="8"/>
  <c r="AC80" i="9"/>
  <c r="AJ80" i="9"/>
  <c r="J340" i="9" s="1"/>
  <c r="BM48" i="4" s="1"/>
  <c r="AD80" i="9"/>
  <c r="D340" i="9" s="1"/>
  <c r="AG80" i="9"/>
  <c r="G340" i="9" s="1"/>
  <c r="BN48" i="4" s="1"/>
  <c r="AE80" i="9"/>
  <c r="E340" i="9" s="1"/>
  <c r="BI48" i="4" s="1"/>
  <c r="AH80" i="9"/>
  <c r="H340" i="9" s="1"/>
  <c r="BJ48" i="4" s="1"/>
  <c r="AI80" i="9"/>
  <c r="I340" i="9" s="1"/>
  <c r="BL48" i="4" s="1"/>
  <c r="L414" i="8"/>
  <c r="H120" i="4"/>
  <c r="Q400" i="8"/>
  <c r="S400" i="8" s="1"/>
  <c r="DD218" i="4"/>
  <c r="AF218" i="4" s="1"/>
  <c r="O58" i="5"/>
  <c r="O77" i="5" s="1"/>
  <c r="DE218" i="4"/>
  <c r="M365" i="8"/>
  <c r="I102" i="4"/>
  <c r="M408" i="8"/>
  <c r="R396" i="8"/>
  <c r="AB156" i="9"/>
  <c r="B420" i="9" s="1"/>
  <c r="C420" i="9" s="1"/>
  <c r="AH156" i="9"/>
  <c r="AJ156" i="9" s="1"/>
  <c r="AE156" i="9"/>
  <c r="A349" i="9" s="1"/>
  <c r="O349" i="9" s="1"/>
  <c r="BH68" i="4" s="1"/>
  <c r="P13" i="4"/>
  <c r="V399" i="8"/>
  <c r="D73" i="9"/>
  <c r="P398" i="8"/>
  <c r="O399" i="8"/>
  <c r="H414" i="8"/>
  <c r="J414" i="8" s="1"/>
  <c r="H415" i="8"/>
  <c r="J415" i="8" s="1"/>
  <c r="B237" i="9"/>
  <c r="B423" i="9" s="1"/>
  <c r="C423" i="9" s="1"/>
  <c r="H237" i="9"/>
  <c r="J237" i="9" s="1"/>
  <c r="E237" i="9"/>
  <c r="A352" i="9" s="1"/>
  <c r="O352" i="9" s="1"/>
  <c r="I111" i="4"/>
  <c r="M411" i="8"/>
  <c r="R398" i="8"/>
  <c r="DD210" i="4"/>
  <c r="AF210" i="4" s="1"/>
  <c r="K69" i="5"/>
  <c r="DE210" i="4"/>
  <c r="DD226" i="4"/>
  <c r="AF226" i="4" s="1"/>
  <c r="W58" i="5"/>
  <c r="W77" i="5" s="1"/>
  <c r="DE226" i="4"/>
  <c r="DD228" i="4"/>
  <c r="AF228" i="4" s="1"/>
  <c r="Y58" i="5"/>
  <c r="Y77" i="5" s="1"/>
  <c r="DE228" i="4"/>
  <c r="G162" i="9"/>
  <c r="G344" i="9" s="1"/>
  <c r="BN60" i="4" s="1"/>
  <c r="E162" i="9"/>
  <c r="E344" i="9" s="1"/>
  <c r="BI60" i="4" s="1"/>
  <c r="C162" i="9"/>
  <c r="H162" i="9"/>
  <c r="H344" i="9" s="1"/>
  <c r="BJ60" i="4" s="1"/>
  <c r="D162" i="9"/>
  <c r="D344" i="9" s="1"/>
  <c r="I162" i="9"/>
  <c r="I344" i="9" s="1"/>
  <c r="BL60" i="4" s="1"/>
  <c r="J162" i="9"/>
  <c r="J344" i="9" s="1"/>
  <c r="BM60" i="4" s="1"/>
  <c r="BH61" i="4"/>
  <c r="L407" i="8"/>
  <c r="H99" i="4"/>
  <c r="Q402" i="8"/>
  <c r="L432" i="8"/>
  <c r="DB217" i="4"/>
  <c r="J401" i="8"/>
  <c r="Q14" i="4"/>
  <c r="G410" i="8"/>
  <c r="DB203" i="4" s="1"/>
  <c r="P343" i="8"/>
  <c r="L431" i="8"/>
  <c r="M161" i="9"/>
  <c r="M343" i="9" s="1"/>
  <c r="K161" i="9"/>
  <c r="K343" i="9" s="1"/>
  <c r="F161" i="9"/>
  <c r="F343" i="9" s="1"/>
  <c r="C343" i="9"/>
  <c r="L161" i="9"/>
  <c r="L343" i="9" s="1"/>
  <c r="J364" i="9"/>
  <c r="I345" i="9"/>
  <c r="BL61" i="4" s="1"/>
  <c r="DB235" i="4"/>
  <c r="Q17" i="4"/>
  <c r="P346" i="8"/>
  <c r="BH80" i="4"/>
  <c r="AG161" i="9"/>
  <c r="G347" i="9" s="1"/>
  <c r="BN66" i="4" s="1"/>
  <c r="AE161" i="9"/>
  <c r="E347" i="9" s="1"/>
  <c r="BI66" i="4" s="1"/>
  <c r="AC161" i="9"/>
  <c r="AH161" i="9"/>
  <c r="H347" i="9" s="1"/>
  <c r="BJ66" i="4" s="1"/>
  <c r="AI161" i="9"/>
  <c r="I347" i="9" s="1"/>
  <c r="BL66" i="4" s="1"/>
  <c r="AD161" i="9"/>
  <c r="D347" i="9" s="1"/>
  <c r="AJ161" i="9"/>
  <c r="J347" i="9" s="1"/>
  <c r="BM66" i="4" s="1"/>
  <c r="DD205" i="4"/>
  <c r="AF205" i="4" s="1"/>
  <c r="K64" i="5"/>
  <c r="DE205" i="4"/>
  <c r="I99" i="4"/>
  <c r="M407" i="8"/>
  <c r="R402" i="8"/>
  <c r="DD223" i="4"/>
  <c r="AF223" i="4" s="1"/>
  <c r="T58" i="5"/>
  <c r="T77" i="5" s="1"/>
  <c r="DE223" i="4"/>
  <c r="P397" i="8"/>
  <c r="AW61" i="4"/>
  <c r="DD238" i="4"/>
  <c r="AF238" i="4" s="1"/>
  <c r="AI58" i="5"/>
  <c r="AI77" i="5" s="1"/>
  <c r="DE238" i="4"/>
  <c r="F337" i="8"/>
  <c r="O402" i="8" s="1"/>
  <c r="G362" i="8"/>
  <c r="AB72" i="9"/>
  <c r="B410" i="9" s="1"/>
  <c r="C410" i="9" s="1"/>
  <c r="AE72" i="9"/>
  <c r="A339" i="9" s="1"/>
  <c r="O339" i="9" s="1"/>
  <c r="BH48" i="4" s="1"/>
  <c r="AH72" i="9"/>
  <c r="AJ72" i="9"/>
  <c r="DD225" i="4"/>
  <c r="AF225" i="4" s="1"/>
  <c r="V58" i="5"/>
  <c r="V77" i="5" s="1"/>
  <c r="DE225" i="4"/>
  <c r="DB216" i="4"/>
  <c r="J395" i="8"/>
  <c r="Q10" i="4"/>
  <c r="G408" i="8"/>
  <c r="DB201" i="4" s="1"/>
  <c r="P339" i="8"/>
  <c r="H416" i="8"/>
  <c r="J416" i="8" s="1"/>
  <c r="DD221" i="4"/>
  <c r="AF221" i="4" s="1"/>
  <c r="R58" i="5"/>
  <c r="R77" i="5" s="1"/>
  <c r="DE221" i="4"/>
  <c r="L435" i="8"/>
  <c r="I364" i="9"/>
  <c r="H345" i="9"/>
  <c r="BJ61" i="4" s="1"/>
  <c r="J345" i="9"/>
  <c r="BM61" i="4" s="1"/>
  <c r="K364" i="9"/>
  <c r="H246" i="9"/>
  <c r="H354" i="9" s="1"/>
  <c r="BJ81" i="4" s="1"/>
  <c r="I246" i="9"/>
  <c r="I354" i="9" s="1"/>
  <c r="BL81" i="4" s="1"/>
  <c r="D246" i="9"/>
  <c r="D354" i="9" s="1"/>
  <c r="J246" i="9"/>
  <c r="J354" i="9" s="1"/>
  <c r="BM81" i="4" s="1"/>
  <c r="C246" i="9"/>
  <c r="G246" i="9"/>
  <c r="G354" i="9" s="1"/>
  <c r="BN81" i="4" s="1"/>
  <c r="E246" i="9"/>
  <c r="E354" i="9" s="1"/>
  <c r="BI81" i="4" s="1"/>
  <c r="F345" i="8"/>
  <c r="H410" i="8" s="1"/>
  <c r="J410" i="8" s="1"/>
  <c r="G364" i="8"/>
  <c r="G245" i="9"/>
  <c r="H245" i="9"/>
  <c r="E245" i="9"/>
  <c r="C245" i="9"/>
  <c r="I245" i="9"/>
  <c r="J245" i="9"/>
  <c r="D245" i="9"/>
  <c r="AH162" i="9"/>
  <c r="H348" i="9" s="1"/>
  <c r="BJ67" i="4" s="1"/>
  <c r="AI162" i="9"/>
  <c r="I348" i="9" s="1"/>
  <c r="BL67" i="4" s="1"/>
  <c r="AC162" i="9"/>
  <c r="AJ162" i="9"/>
  <c r="J348" i="9" s="1"/>
  <c r="BM67" i="4" s="1"/>
  <c r="AD162" i="9"/>
  <c r="D348" i="9" s="1"/>
  <c r="AG162" i="9"/>
  <c r="G348" i="9" s="1"/>
  <c r="BN67" i="4" s="1"/>
  <c r="AE162" i="9"/>
  <c r="E348" i="9" s="1"/>
  <c r="BI67" i="4" s="1"/>
  <c r="DE236" i="4" l="1"/>
  <c r="DD236" i="4"/>
  <c r="AF236" i="4" s="1"/>
  <c r="AG58" i="5"/>
  <c r="AG77" i="5" s="1"/>
  <c r="AC246" i="9"/>
  <c r="AD246" i="9"/>
  <c r="D358" i="9" s="1"/>
  <c r="AJ246" i="9"/>
  <c r="J358" i="9" s="1"/>
  <c r="BM88" i="4" s="1"/>
  <c r="AH246" i="9"/>
  <c r="H358" i="9" s="1"/>
  <c r="BJ88" i="4" s="1"/>
  <c r="AG246" i="9"/>
  <c r="G358" i="9" s="1"/>
  <c r="BN88" i="4" s="1"/>
  <c r="AI246" i="9"/>
  <c r="I358" i="9" s="1"/>
  <c r="BL88" i="4" s="1"/>
  <c r="AE246" i="9"/>
  <c r="E358" i="9" s="1"/>
  <c r="BI88" i="4" s="1"/>
  <c r="H418" i="8"/>
  <c r="J418" i="8" s="1"/>
  <c r="BH69" i="4"/>
  <c r="AB238" i="9"/>
  <c r="B428" i="9" s="1"/>
  <c r="C428" i="9" s="1"/>
  <c r="AE238" i="9"/>
  <c r="A357" i="9" s="1"/>
  <c r="O357" i="9" s="1"/>
  <c r="AH238" i="9"/>
  <c r="AJ238" i="9" s="1"/>
  <c r="BH88" i="4"/>
  <c r="BH79" i="4"/>
  <c r="AB236" i="9"/>
  <c r="B426" i="9" s="1"/>
  <c r="C426" i="9" s="1"/>
  <c r="AH236" i="9"/>
  <c r="AJ236" i="9"/>
  <c r="AE236" i="9"/>
  <c r="A355" i="9" s="1"/>
  <c r="O355" i="9" s="1"/>
  <c r="K392" i="8"/>
  <c r="DW81" i="4" s="1"/>
  <c r="M366" i="8"/>
  <c r="M364" i="8"/>
  <c r="AB237" i="9"/>
  <c r="B427" i="9" s="1"/>
  <c r="C427" i="9" s="1"/>
  <c r="AH237" i="9"/>
  <c r="AJ237" i="9" s="1"/>
  <c r="AE237" i="9"/>
  <c r="A356" i="9" s="1"/>
  <c r="O356" i="9" s="1"/>
  <c r="BH86" i="4" s="1"/>
  <c r="O6" i="4"/>
  <c r="U402" i="8"/>
  <c r="I353" i="9"/>
  <c r="BL80" i="4" s="1"/>
  <c r="J366" i="9"/>
  <c r="AM162" i="9"/>
  <c r="M348" i="9" s="1"/>
  <c r="AK162" i="9"/>
  <c r="K348" i="9" s="1"/>
  <c r="C348" i="9"/>
  <c r="AF162" i="9"/>
  <c r="F348" i="9" s="1"/>
  <c r="AL162" i="9"/>
  <c r="L348" i="9" s="1"/>
  <c r="K366" i="9"/>
  <c r="J353" i="9"/>
  <c r="BM80" i="4" s="1"/>
  <c r="I366" i="9"/>
  <c r="H353" i="9"/>
  <c r="BJ80" i="4" s="1"/>
  <c r="DD216" i="4"/>
  <c r="AF216" i="4" s="1"/>
  <c r="M58" i="5"/>
  <c r="M77" i="5" s="1"/>
  <c r="DE216" i="4"/>
  <c r="H407" i="8"/>
  <c r="J407" i="8" s="1"/>
  <c r="P396" i="8"/>
  <c r="I392" i="8"/>
  <c r="DU81" i="4" s="1"/>
  <c r="H105" i="4"/>
  <c r="L409" i="8"/>
  <c r="Q401" i="8"/>
  <c r="S402" i="8"/>
  <c r="P10" i="4"/>
  <c r="V398" i="8"/>
  <c r="AG164" i="9"/>
  <c r="G350" i="9" s="1"/>
  <c r="BN69" i="4" s="1"/>
  <c r="AE164" i="9"/>
  <c r="E350" i="9" s="1"/>
  <c r="BI69" i="4" s="1"/>
  <c r="AH164" i="9"/>
  <c r="H350" i="9" s="1"/>
  <c r="BJ69" i="4" s="1"/>
  <c r="AC164" i="9"/>
  <c r="AD164" i="9"/>
  <c r="D350" i="9" s="1"/>
  <c r="AI164" i="9"/>
  <c r="I350" i="9" s="1"/>
  <c r="BL69" i="4" s="1"/>
  <c r="AJ164" i="9"/>
  <c r="J350" i="9" s="1"/>
  <c r="BM69" i="4" s="1"/>
  <c r="P395" i="8"/>
  <c r="AG81" i="9"/>
  <c r="AH81" i="9"/>
  <c r="AI81" i="9"/>
  <c r="AD81" i="9"/>
  <c r="AJ81" i="9"/>
  <c r="AC81" i="9"/>
  <c r="AE81" i="9"/>
  <c r="DD215" i="4"/>
  <c r="AF215" i="4" s="1"/>
  <c r="L58" i="5"/>
  <c r="L77" i="5" s="1"/>
  <c r="DE215" i="4"/>
  <c r="DD201" i="4"/>
  <c r="AF201" i="4" s="1"/>
  <c r="K60" i="5"/>
  <c r="DE201" i="4"/>
  <c r="AI79" i="9"/>
  <c r="I339" i="9" s="1"/>
  <c r="BL47" i="4" s="1"/>
  <c r="AD79" i="9"/>
  <c r="D339" i="9" s="1"/>
  <c r="AJ79" i="9"/>
  <c r="J339" i="9" s="1"/>
  <c r="BM47" i="4" s="1"/>
  <c r="AG79" i="9"/>
  <c r="G339" i="9" s="1"/>
  <c r="BN47" i="4" s="1"/>
  <c r="AE79" i="9"/>
  <c r="E339" i="9" s="1"/>
  <c r="BI47" i="4" s="1"/>
  <c r="AC79" i="9"/>
  <c r="AH79" i="9"/>
  <c r="H339" i="9" s="1"/>
  <c r="BJ47" i="4" s="1"/>
  <c r="P11" i="4"/>
  <c r="V397" i="8"/>
  <c r="DD235" i="4"/>
  <c r="AF235" i="4" s="1"/>
  <c r="AF58" i="5"/>
  <c r="AF77" i="5" s="1"/>
  <c r="DE235" i="4"/>
  <c r="DD217" i="4"/>
  <c r="AF217" i="4" s="1"/>
  <c r="N58" i="5"/>
  <c r="N77" i="5" s="1"/>
  <c r="DE217" i="4"/>
  <c r="J99" i="4"/>
  <c r="G6" i="4" s="1"/>
  <c r="E6" i="4"/>
  <c r="K111" i="4"/>
  <c r="H10" i="4" s="1"/>
  <c r="F10" i="4"/>
  <c r="B73" i="9"/>
  <c r="B407" i="9" s="1"/>
  <c r="C407" i="9" s="1"/>
  <c r="E73" i="9"/>
  <c r="A336" i="9" s="1"/>
  <c r="O336" i="9" s="1"/>
  <c r="BH41" i="4" s="1"/>
  <c r="H73" i="9"/>
  <c r="J73" i="9" s="1"/>
  <c r="O400" i="8"/>
  <c r="DC243" i="4"/>
  <c r="M433" i="8"/>
  <c r="DB243" i="4" s="1"/>
  <c r="K120" i="4"/>
  <c r="H13" i="4" s="1"/>
  <c r="F13" i="4"/>
  <c r="DD207" i="4"/>
  <c r="AF207" i="4" s="1"/>
  <c r="K66" i="5"/>
  <c r="DE207" i="4"/>
  <c r="O10" i="4"/>
  <c r="D398" i="8"/>
  <c r="U398" i="8"/>
  <c r="S398" i="8"/>
  <c r="D243" i="9"/>
  <c r="D351" i="9" s="1"/>
  <c r="H243" i="9"/>
  <c r="H351" i="9" s="1"/>
  <c r="BJ78" i="4" s="1"/>
  <c r="I243" i="9"/>
  <c r="I351" i="9" s="1"/>
  <c r="BL78" i="4" s="1"/>
  <c r="C243" i="9"/>
  <c r="J243" i="9"/>
  <c r="J351" i="9" s="1"/>
  <c r="BM78" i="4" s="1"/>
  <c r="G243" i="9"/>
  <c r="G351" i="9" s="1"/>
  <c r="BN78" i="4" s="1"/>
  <c r="E243" i="9"/>
  <c r="E351" i="9" s="1"/>
  <c r="BI78" i="4" s="1"/>
  <c r="DD233" i="4"/>
  <c r="AF233" i="4" s="1"/>
  <c r="AD58" i="5"/>
  <c r="AD77" i="5" s="1"/>
  <c r="DE233" i="4"/>
  <c r="DD199" i="4"/>
  <c r="AF199" i="4" s="1"/>
  <c r="K58" i="5"/>
  <c r="DE199" i="4"/>
  <c r="D79" i="9"/>
  <c r="D335" i="9" s="1"/>
  <c r="I79" i="9"/>
  <c r="I335" i="9" s="1"/>
  <c r="BL40" i="4" s="1"/>
  <c r="C79" i="9"/>
  <c r="J79" i="9"/>
  <c r="J335" i="9" s="1"/>
  <c r="BM40" i="4" s="1"/>
  <c r="G79" i="9"/>
  <c r="G335" i="9" s="1"/>
  <c r="BN40" i="4" s="1"/>
  <c r="E79" i="9"/>
  <c r="E335" i="9" s="1"/>
  <c r="BI40" i="4" s="1"/>
  <c r="H79" i="9"/>
  <c r="H335" i="9" s="1"/>
  <c r="BJ40" i="4" s="1"/>
  <c r="G353" i="9"/>
  <c r="BN80" i="4" s="1"/>
  <c r="H366" i="9"/>
  <c r="L366" i="9" s="1"/>
  <c r="C353" i="9"/>
  <c r="P353" i="9" s="1"/>
  <c r="L245" i="9"/>
  <c r="L353" i="9" s="1"/>
  <c r="D366" i="9"/>
  <c r="M245" i="9"/>
  <c r="M353" i="9" s="1"/>
  <c r="K245" i="9"/>
  <c r="K353" i="9" s="1"/>
  <c r="F245" i="9"/>
  <c r="F246" i="9"/>
  <c r="F354" i="9" s="1"/>
  <c r="M246" i="9"/>
  <c r="M354" i="9" s="1"/>
  <c r="K246" i="9"/>
  <c r="K354" i="9" s="1"/>
  <c r="C354" i="9"/>
  <c r="P354" i="9" s="1"/>
  <c r="L246" i="9"/>
  <c r="L354" i="9" s="1"/>
  <c r="H420" i="8"/>
  <c r="J420" i="8" s="1"/>
  <c r="H419" i="8"/>
  <c r="J419" i="8" s="1"/>
  <c r="H406" i="8"/>
  <c r="J406" i="8" s="1"/>
  <c r="P400" i="8"/>
  <c r="O395" i="8"/>
  <c r="K99" i="4"/>
  <c r="H6" i="4" s="1"/>
  <c r="F6" i="4"/>
  <c r="DD203" i="4"/>
  <c r="AF203" i="4" s="1"/>
  <c r="K62" i="5"/>
  <c r="DE203" i="4"/>
  <c r="J120" i="4"/>
  <c r="G13" i="4" s="1"/>
  <c r="E13" i="4"/>
  <c r="AF80" i="9"/>
  <c r="F340" i="9" s="1"/>
  <c r="AL80" i="9"/>
  <c r="L340" i="9" s="1"/>
  <c r="C340" i="9"/>
  <c r="AM80" i="9"/>
  <c r="M340" i="9" s="1"/>
  <c r="AK80" i="9"/>
  <c r="K340" i="9" s="1"/>
  <c r="H411" i="8"/>
  <c r="J411" i="8" s="1"/>
  <c r="AC82" i="9"/>
  <c r="AD82" i="9"/>
  <c r="D342" i="9" s="1"/>
  <c r="AI82" i="9"/>
  <c r="I342" i="9" s="1"/>
  <c r="BL50" i="4" s="1"/>
  <c r="AJ82" i="9"/>
  <c r="J342" i="9" s="1"/>
  <c r="BM50" i="4" s="1"/>
  <c r="AG82" i="9"/>
  <c r="G342" i="9" s="1"/>
  <c r="BN50" i="4" s="1"/>
  <c r="AE82" i="9"/>
  <c r="E342" i="9" s="1"/>
  <c r="BI50" i="4" s="1"/>
  <c r="AH82" i="9"/>
  <c r="H342" i="9" s="1"/>
  <c r="BJ50" i="4" s="1"/>
  <c r="H421" i="8"/>
  <c r="J421" i="8" s="1"/>
  <c r="L413" i="8"/>
  <c r="H117" i="4"/>
  <c r="Q399" i="8"/>
  <c r="B75" i="9"/>
  <c r="B409" i="9" s="1"/>
  <c r="C409" i="9" s="1"/>
  <c r="E75" i="9"/>
  <c r="A338" i="9" s="1"/>
  <c r="O338" i="9" s="1"/>
  <c r="H75" i="9"/>
  <c r="J75" i="9" s="1"/>
  <c r="DD237" i="4"/>
  <c r="AF237" i="4" s="1"/>
  <c r="AH58" i="5"/>
  <c r="AH77" i="5" s="1"/>
  <c r="DE237" i="4"/>
  <c r="M362" i="8"/>
  <c r="N362" i="8" s="1"/>
  <c r="P362" i="8" s="1"/>
  <c r="M367" i="8"/>
  <c r="N367" i="8" s="1"/>
  <c r="P367" i="8" s="1"/>
  <c r="O11" i="4"/>
  <c r="D397" i="8"/>
  <c r="U397" i="8"/>
  <c r="DC245" i="4"/>
  <c r="O441" i="8"/>
  <c r="DB245" i="4" s="1"/>
  <c r="E366" i="9"/>
  <c r="D353" i="9"/>
  <c r="E353" i="9"/>
  <c r="BI80" i="4" s="1"/>
  <c r="F366" i="9"/>
  <c r="L434" i="8"/>
  <c r="DB270" i="4" s="1"/>
  <c r="DB271" i="4"/>
  <c r="H108" i="4"/>
  <c r="L410" i="8"/>
  <c r="Q395" i="8"/>
  <c r="H392" i="8"/>
  <c r="J392" i="8"/>
  <c r="DV81" i="4" s="1"/>
  <c r="P402" i="8"/>
  <c r="AM161" i="9"/>
  <c r="M347" i="9" s="1"/>
  <c r="AK161" i="9"/>
  <c r="K347" i="9" s="1"/>
  <c r="AF161" i="9"/>
  <c r="F347" i="9" s="1"/>
  <c r="C347" i="9"/>
  <c r="AL161" i="9"/>
  <c r="L347" i="9" s="1"/>
  <c r="J401" i="9"/>
  <c r="P343" i="9"/>
  <c r="G410" i="9"/>
  <c r="M431" i="8"/>
  <c r="DB241" i="4" s="1"/>
  <c r="DC241" i="4"/>
  <c r="M432" i="8"/>
  <c r="DB242" i="4" s="1"/>
  <c r="DC242" i="4"/>
  <c r="M162" i="9"/>
  <c r="M344" i="9" s="1"/>
  <c r="K162" i="9"/>
  <c r="K344" i="9" s="1"/>
  <c r="F162" i="9"/>
  <c r="F344" i="9" s="1"/>
  <c r="C344" i="9"/>
  <c r="L162" i="9"/>
  <c r="L344" i="9" s="1"/>
  <c r="D244" i="9"/>
  <c r="D352" i="9" s="1"/>
  <c r="I244" i="9"/>
  <c r="I352" i="9" s="1"/>
  <c r="BL79" i="4" s="1"/>
  <c r="J244" i="9"/>
  <c r="J352" i="9" s="1"/>
  <c r="BM79" i="4" s="1"/>
  <c r="G244" i="9"/>
  <c r="G352" i="9" s="1"/>
  <c r="BN79" i="4" s="1"/>
  <c r="E244" i="9"/>
  <c r="E352" i="9" s="1"/>
  <c r="BI79" i="4" s="1"/>
  <c r="C244" i="9"/>
  <c r="H244" i="9"/>
  <c r="H352" i="9" s="1"/>
  <c r="BJ79" i="4" s="1"/>
  <c r="O13" i="4"/>
  <c r="D399" i="8"/>
  <c r="U399" i="8"/>
  <c r="AJ163" i="9"/>
  <c r="AC163" i="9"/>
  <c r="AE163" i="9"/>
  <c r="AG163" i="9"/>
  <c r="AH163" i="9"/>
  <c r="AI163" i="9"/>
  <c r="AD163" i="9"/>
  <c r="K102" i="4"/>
  <c r="H7" i="4" s="1"/>
  <c r="F7" i="4"/>
  <c r="P8" i="4"/>
  <c r="V401" i="8"/>
  <c r="DD229" i="4"/>
  <c r="AF229" i="4" s="1"/>
  <c r="Z58" i="5"/>
  <c r="Z77" i="5" s="1"/>
  <c r="DE229" i="4"/>
  <c r="F345" i="9"/>
  <c r="G364" i="9"/>
  <c r="DC240" i="4"/>
  <c r="M430" i="8"/>
  <c r="DB240" i="4" s="1"/>
  <c r="DD219" i="4"/>
  <c r="AF219" i="4" s="1"/>
  <c r="P58" i="5"/>
  <c r="P77" i="5" s="1"/>
  <c r="DE219" i="4"/>
  <c r="DD231" i="4"/>
  <c r="AF231" i="4" s="1"/>
  <c r="AB58" i="5"/>
  <c r="AB77" i="5" s="1"/>
  <c r="DE231" i="4"/>
  <c r="L364" i="9"/>
  <c r="J111" i="4"/>
  <c r="G10" i="4" s="1"/>
  <c r="E10" i="4"/>
  <c r="O8" i="4"/>
  <c r="D401" i="8"/>
  <c r="U401" i="8"/>
  <c r="B74" i="9"/>
  <c r="B408" i="9" s="1"/>
  <c r="C408" i="9" s="1"/>
  <c r="E74" i="9"/>
  <c r="A337" i="9" s="1"/>
  <c r="O337" i="9" s="1"/>
  <c r="BH42" i="4" s="1"/>
  <c r="H74" i="9"/>
  <c r="J74" i="9" s="1"/>
  <c r="DD227" i="4"/>
  <c r="AF227" i="4" s="1"/>
  <c r="X58" i="5"/>
  <c r="X77" i="5" s="1"/>
  <c r="DE227" i="4"/>
  <c r="H102" i="4"/>
  <c r="L408" i="8"/>
  <c r="Q396" i="8"/>
  <c r="S396" i="8" s="1"/>
  <c r="N441" i="8"/>
  <c r="DB244" i="4" s="1"/>
  <c r="DC244" i="4"/>
  <c r="AI245" i="9" l="1"/>
  <c r="AE245" i="9"/>
  <c r="AH245" i="9"/>
  <c r="AC245" i="9"/>
  <c r="AD245" i="9"/>
  <c r="AG245" i="9"/>
  <c r="AJ245" i="9"/>
  <c r="AJ243" i="9"/>
  <c r="J355" i="9" s="1"/>
  <c r="BM85" i="4" s="1"/>
  <c r="AH243" i="9"/>
  <c r="H355" i="9" s="1"/>
  <c r="BJ85" i="4" s="1"/>
  <c r="AG243" i="9"/>
  <c r="G355" i="9" s="1"/>
  <c r="BN85" i="4" s="1"/>
  <c r="AD243" i="9"/>
  <c r="D355" i="9" s="1"/>
  <c r="AE243" i="9"/>
  <c r="E355" i="9" s="1"/>
  <c r="BI85" i="4" s="1"/>
  <c r="AI243" i="9"/>
  <c r="I355" i="9" s="1"/>
  <c r="BL85" i="4" s="1"/>
  <c r="AC243" i="9"/>
  <c r="AC244" i="9"/>
  <c r="AE244" i="9"/>
  <c r="E356" i="9" s="1"/>
  <c r="BI86" i="4" s="1"/>
  <c r="AI244" i="9"/>
  <c r="I356" i="9" s="1"/>
  <c r="BL86" i="4" s="1"/>
  <c r="AD244" i="9"/>
  <c r="D356" i="9" s="1"/>
  <c r="AH244" i="9"/>
  <c r="H356" i="9" s="1"/>
  <c r="BJ86" i="4" s="1"/>
  <c r="AJ244" i="9"/>
  <c r="J356" i="9" s="1"/>
  <c r="BM86" i="4" s="1"/>
  <c r="AG244" i="9"/>
  <c r="G356" i="9" s="1"/>
  <c r="BN86" i="4" s="1"/>
  <c r="BH87" i="4"/>
  <c r="AK246" i="9"/>
  <c r="K358" i="9" s="1"/>
  <c r="C358" i="9"/>
  <c r="P358" i="9" s="1"/>
  <c r="AM246" i="9"/>
  <c r="M358" i="9" s="1"/>
  <c r="AF246" i="9"/>
  <c r="F358" i="9" s="1"/>
  <c r="AL246" i="9"/>
  <c r="L358" i="9" s="1"/>
  <c r="O400" i="9"/>
  <c r="U400" i="9" s="1"/>
  <c r="J102" i="4"/>
  <c r="G7" i="4" s="1"/>
  <c r="E7" i="4"/>
  <c r="D81" i="9"/>
  <c r="G81" i="9"/>
  <c r="H81" i="9"/>
  <c r="C81" i="9"/>
  <c r="E81" i="9"/>
  <c r="J81" i="9"/>
  <c r="I81" i="9"/>
  <c r="DD240" i="4"/>
  <c r="AF240" i="4" s="1"/>
  <c r="AK58" i="5"/>
  <c r="AK77" i="5" s="1"/>
  <c r="DE240" i="4"/>
  <c r="I349" i="9"/>
  <c r="BL68" i="4" s="1"/>
  <c r="J365" i="9"/>
  <c r="D365" i="9"/>
  <c r="C349" i="9"/>
  <c r="P349" i="9" s="1"/>
  <c r="AM163" i="9"/>
  <c r="M349" i="9" s="1"/>
  <c r="AK163" i="9"/>
  <c r="K349" i="9" s="1"/>
  <c r="AF163" i="9"/>
  <c r="AL163" i="9"/>
  <c r="L349" i="9" s="1"/>
  <c r="DD241" i="4"/>
  <c r="AF241" i="4" s="1"/>
  <c r="AL58" i="5"/>
  <c r="AL77" i="5" s="1"/>
  <c r="DE241" i="4"/>
  <c r="DD270" i="4"/>
  <c r="AF270" i="4" s="1"/>
  <c r="BO58" i="5"/>
  <c r="BO77" i="5" s="1"/>
  <c r="DE270" i="4"/>
  <c r="BH43" i="4"/>
  <c r="C342" i="9"/>
  <c r="P342" i="9" s="1"/>
  <c r="AL82" i="9"/>
  <c r="L342" i="9" s="1"/>
  <c r="AF82" i="9"/>
  <c r="F342" i="9" s="1"/>
  <c r="AM82" i="9"/>
  <c r="M342" i="9" s="1"/>
  <c r="AK82" i="9"/>
  <c r="K342" i="9" s="1"/>
  <c r="K402" i="9"/>
  <c r="P340" i="9"/>
  <c r="G409" i="9"/>
  <c r="O12" i="4"/>
  <c r="D400" i="8"/>
  <c r="U400" i="8"/>
  <c r="AF81" i="9"/>
  <c r="AL81" i="9"/>
  <c r="L341" i="9" s="1"/>
  <c r="C341" i="9"/>
  <c r="P341" i="9" s="1"/>
  <c r="D363" i="9"/>
  <c r="AM81" i="9"/>
  <c r="M341" i="9" s="1"/>
  <c r="AK81" i="9"/>
  <c r="K341" i="9" s="1"/>
  <c r="I363" i="9"/>
  <c r="H341" i="9"/>
  <c r="BJ49" i="4" s="1"/>
  <c r="P9" i="4"/>
  <c r="V395" i="8"/>
  <c r="AM164" i="9"/>
  <c r="M350" i="9" s="1"/>
  <c r="AK164" i="9"/>
  <c r="K350" i="9" s="1"/>
  <c r="C350" i="9"/>
  <c r="P350" i="9" s="1"/>
  <c r="AL164" i="9"/>
  <c r="L350" i="9" s="1"/>
  <c r="AF164" i="9"/>
  <c r="F350" i="9" s="1"/>
  <c r="H410" i="9"/>
  <c r="J410" i="9" s="1"/>
  <c r="DD244" i="4"/>
  <c r="AF244" i="4" s="1"/>
  <c r="AO58" i="5"/>
  <c r="AO77" i="5" s="1"/>
  <c r="DE244" i="4"/>
  <c r="H349" i="9"/>
  <c r="BJ68" i="4" s="1"/>
  <c r="I365" i="9"/>
  <c r="J349" i="9"/>
  <c r="BM68" i="4" s="1"/>
  <c r="K365" i="9"/>
  <c r="K396" i="9"/>
  <c r="G411" i="9"/>
  <c r="P344" i="9"/>
  <c r="P347" i="9"/>
  <c r="J400" i="9"/>
  <c r="G412" i="9"/>
  <c r="P6" i="4"/>
  <c r="V402" i="8"/>
  <c r="DD245" i="4"/>
  <c r="AF245" i="4" s="1"/>
  <c r="AP58" i="5"/>
  <c r="AP77" i="5" s="1"/>
  <c r="DE245" i="4"/>
  <c r="U395" i="8"/>
  <c r="O9" i="4"/>
  <c r="D395" i="8"/>
  <c r="L243" i="9"/>
  <c r="L351" i="9" s="1"/>
  <c r="C351" i="9"/>
  <c r="M243" i="9"/>
  <c r="M351" i="9" s="1"/>
  <c r="K243" i="9"/>
  <c r="K351" i="9" s="1"/>
  <c r="F243" i="9"/>
  <c r="F351" i="9" s="1"/>
  <c r="N365" i="8"/>
  <c r="P365" i="8" s="1"/>
  <c r="J341" i="9"/>
  <c r="BM49" i="4" s="1"/>
  <c r="K363" i="9"/>
  <c r="G341" i="9"/>
  <c r="BN49" i="4" s="1"/>
  <c r="H363" i="9"/>
  <c r="N364" i="8"/>
  <c r="P364" i="8" s="1"/>
  <c r="J105" i="4"/>
  <c r="G8" i="4" s="1"/>
  <c r="E8" i="4"/>
  <c r="H411" i="9"/>
  <c r="J411" i="9" s="1"/>
  <c r="G349" i="9"/>
  <c r="BN68" i="4" s="1"/>
  <c r="H365" i="9"/>
  <c r="L365" i="9" s="1"/>
  <c r="F244" i="9"/>
  <c r="F352" i="9" s="1"/>
  <c r="L244" i="9"/>
  <c r="L352" i="9" s="1"/>
  <c r="C352" i="9"/>
  <c r="M244" i="9"/>
  <c r="M352" i="9" s="1"/>
  <c r="K244" i="9"/>
  <c r="K352" i="9" s="1"/>
  <c r="DD242" i="4"/>
  <c r="AF242" i="4" s="1"/>
  <c r="AM58" i="5"/>
  <c r="AM77" i="5" s="1"/>
  <c r="DE242" i="4"/>
  <c r="J108" i="4"/>
  <c r="G9" i="4" s="1"/>
  <c r="E9" i="4"/>
  <c r="N371" i="8"/>
  <c r="P12" i="4"/>
  <c r="V400" i="8"/>
  <c r="DD243" i="4"/>
  <c r="AF243" i="4" s="1"/>
  <c r="AN58" i="5"/>
  <c r="AN77" i="5" s="1"/>
  <c r="DE243" i="4"/>
  <c r="D80" i="9"/>
  <c r="D336" i="9" s="1"/>
  <c r="J80" i="9"/>
  <c r="J336" i="9" s="1"/>
  <c r="BM41" i="4" s="1"/>
  <c r="G80" i="9"/>
  <c r="G336" i="9" s="1"/>
  <c r="BN41" i="4" s="1"/>
  <c r="E80" i="9"/>
  <c r="E336" i="9" s="1"/>
  <c r="BI41" i="4" s="1"/>
  <c r="C80" i="9"/>
  <c r="H80" i="9"/>
  <c r="H336" i="9" s="1"/>
  <c r="BJ41" i="4" s="1"/>
  <c r="I80" i="9"/>
  <c r="I336" i="9" s="1"/>
  <c r="BL41" i="4" s="1"/>
  <c r="D341" i="9"/>
  <c r="E363" i="9"/>
  <c r="N363" i="8"/>
  <c r="P363" i="8" s="1"/>
  <c r="N372" i="8" s="1"/>
  <c r="Q372" i="8" s="1"/>
  <c r="P395" i="9"/>
  <c r="J398" i="9"/>
  <c r="P348" i="9"/>
  <c r="G413" i="9"/>
  <c r="D402" i="8"/>
  <c r="E365" i="9"/>
  <c r="D349" i="9"/>
  <c r="F365" i="9"/>
  <c r="E349" i="9"/>
  <c r="BI68" i="4" s="1"/>
  <c r="Q401" i="9"/>
  <c r="L409" i="9"/>
  <c r="F105" i="4" s="1"/>
  <c r="DT81" i="4"/>
  <c r="BX87" i="4"/>
  <c r="BX49" i="4"/>
  <c r="BX68" i="4"/>
  <c r="BX80" i="4"/>
  <c r="BX42" i="4"/>
  <c r="BX61" i="4"/>
  <c r="DD271" i="4"/>
  <c r="AF271" i="4" s="1"/>
  <c r="BP58" i="5"/>
  <c r="BP77" i="5" s="1"/>
  <c r="DE271" i="4"/>
  <c r="H82" i="9"/>
  <c r="H338" i="9" s="1"/>
  <c r="BJ43" i="4" s="1"/>
  <c r="I82" i="9"/>
  <c r="I338" i="9" s="1"/>
  <c r="BL43" i="4" s="1"/>
  <c r="J82" i="9"/>
  <c r="J338" i="9" s="1"/>
  <c r="BM43" i="4" s="1"/>
  <c r="C82" i="9"/>
  <c r="D82" i="9"/>
  <c r="D338" i="9" s="1"/>
  <c r="G82" i="9"/>
  <c r="G338" i="9" s="1"/>
  <c r="BN43" i="4" s="1"/>
  <c r="E82" i="9"/>
  <c r="E338" i="9" s="1"/>
  <c r="BI43" i="4" s="1"/>
  <c r="J117" i="4"/>
  <c r="G12" i="4" s="1"/>
  <c r="E12" i="4"/>
  <c r="F353" i="9"/>
  <c r="G366" i="9"/>
  <c r="L79" i="9"/>
  <c r="L335" i="9" s="1"/>
  <c r="C335" i="9"/>
  <c r="M79" i="9"/>
  <c r="M335" i="9" s="1"/>
  <c r="K79" i="9"/>
  <c r="K335" i="9" s="1"/>
  <c r="F79" i="9"/>
  <c r="F335" i="9" s="1"/>
  <c r="AF79" i="9"/>
  <c r="F339" i="9" s="1"/>
  <c r="AL79" i="9"/>
  <c r="L339" i="9" s="1"/>
  <c r="C339" i="9"/>
  <c r="AM79" i="9"/>
  <c r="M339" i="9" s="1"/>
  <c r="AK79" i="9"/>
  <c r="K339" i="9" s="1"/>
  <c r="F363" i="9"/>
  <c r="E341" i="9"/>
  <c r="BI49" i="4" s="1"/>
  <c r="I341" i="9"/>
  <c r="BL49" i="4" s="1"/>
  <c r="J363" i="9"/>
  <c r="N366" i="8"/>
  <c r="P366" i="8" s="1"/>
  <c r="P7" i="4"/>
  <c r="V396" i="8"/>
  <c r="D396" i="8"/>
  <c r="C357" i="9" l="1"/>
  <c r="P357" i="9" s="1"/>
  <c r="D367" i="9"/>
  <c r="AL245" i="9"/>
  <c r="L357" i="9" s="1"/>
  <c r="AM245" i="9"/>
  <c r="M357" i="9" s="1"/>
  <c r="AF245" i="9"/>
  <c r="AK245" i="9"/>
  <c r="K357" i="9" s="1"/>
  <c r="AF244" i="9"/>
  <c r="F356" i="9" s="1"/>
  <c r="AL244" i="9"/>
  <c r="L356" i="9" s="1"/>
  <c r="C356" i="9"/>
  <c r="AK244" i="9"/>
  <c r="K356" i="9" s="1"/>
  <c r="AM244" i="9"/>
  <c r="M356" i="9" s="1"/>
  <c r="K367" i="9"/>
  <c r="J357" i="9"/>
  <c r="BM87" i="4" s="1"/>
  <c r="I367" i="9"/>
  <c r="H357" i="9"/>
  <c r="BJ87" i="4" s="1"/>
  <c r="C120" i="4"/>
  <c r="BZ120" i="4" s="1"/>
  <c r="C355" i="9"/>
  <c r="AM243" i="9"/>
  <c r="M355" i="9" s="1"/>
  <c r="AL243" i="9"/>
  <c r="L355" i="9" s="1"/>
  <c r="AF243" i="9"/>
  <c r="F355" i="9" s="1"/>
  <c r="AK243" i="9"/>
  <c r="K355" i="9" s="1"/>
  <c r="G357" i="9"/>
  <c r="BN87" i="4" s="1"/>
  <c r="H367" i="9"/>
  <c r="E357" i="9"/>
  <c r="BI87" i="4" s="1"/>
  <c r="F367" i="9"/>
  <c r="L363" i="9"/>
  <c r="E367" i="9"/>
  <c r="D357" i="9"/>
  <c r="I357" i="9"/>
  <c r="BL87" i="4" s="1"/>
  <c r="J367" i="9"/>
  <c r="J395" i="9"/>
  <c r="G408" i="9"/>
  <c r="P339" i="9"/>
  <c r="Q398" i="9"/>
  <c r="L411" i="9"/>
  <c r="F111" i="4" s="1"/>
  <c r="N374" i="8"/>
  <c r="Q374" i="8" s="1"/>
  <c r="F341" i="9"/>
  <c r="G363" i="9"/>
  <c r="K362" i="9"/>
  <c r="J337" i="9"/>
  <c r="BM42" i="4" s="1"/>
  <c r="G337" i="9"/>
  <c r="BN42" i="4" s="1"/>
  <c r="H362" i="9"/>
  <c r="F82" i="9"/>
  <c r="F338" i="9" s="1"/>
  <c r="M82" i="9"/>
  <c r="M338" i="9" s="1"/>
  <c r="K82" i="9"/>
  <c r="K338" i="9" s="1"/>
  <c r="C338" i="9"/>
  <c r="P338" i="9" s="1"/>
  <c r="L82" i="9"/>
  <c r="L338" i="9" s="1"/>
  <c r="D108" i="4"/>
  <c r="V395" i="9"/>
  <c r="N373" i="8"/>
  <c r="Q373" i="8" s="1"/>
  <c r="J399" i="9"/>
  <c r="P351" i="9"/>
  <c r="G414" i="9"/>
  <c r="E337" i="9"/>
  <c r="BI42" i="4" s="1"/>
  <c r="F362" i="9"/>
  <c r="D337" i="9"/>
  <c r="E362" i="9"/>
  <c r="H409" i="9"/>
  <c r="J409" i="9" s="1"/>
  <c r="H408" i="9"/>
  <c r="J408" i="9" s="1"/>
  <c r="O401" i="9"/>
  <c r="O397" i="9"/>
  <c r="H415" i="9"/>
  <c r="J415" i="9" s="1"/>
  <c r="H414" i="9"/>
  <c r="J414" i="9" s="1"/>
  <c r="O399" i="9"/>
  <c r="P398" i="9"/>
  <c r="L81" i="9"/>
  <c r="L337" i="9" s="1"/>
  <c r="D362" i="9"/>
  <c r="C337" i="9"/>
  <c r="P337" i="9" s="1"/>
  <c r="M81" i="9"/>
  <c r="M337" i="9" s="1"/>
  <c r="K81" i="9"/>
  <c r="K337" i="9" s="1"/>
  <c r="F81" i="9"/>
  <c r="J396" i="9"/>
  <c r="P335" i="9"/>
  <c r="G406" i="9"/>
  <c r="F80" i="9"/>
  <c r="F336" i="9" s="1"/>
  <c r="L80" i="9"/>
  <c r="L336" i="9" s="1"/>
  <c r="C336" i="9"/>
  <c r="M80" i="9"/>
  <c r="M336" i="9" s="1"/>
  <c r="K80" i="9"/>
  <c r="K336" i="9" s="1"/>
  <c r="C433" i="8"/>
  <c r="C437" i="8"/>
  <c r="C434" i="8"/>
  <c r="C438" i="8"/>
  <c r="C435" i="8"/>
  <c r="C436" i="8"/>
  <c r="O371" i="8"/>
  <c r="P371" i="8" s="1"/>
  <c r="O374" i="8"/>
  <c r="P374" i="8" s="1"/>
  <c r="O372" i="8"/>
  <c r="P372" i="8" s="1"/>
  <c r="O373" i="8"/>
  <c r="P373" i="8" s="1"/>
  <c r="Q371" i="8"/>
  <c r="P352" i="9"/>
  <c r="K398" i="9"/>
  <c r="G415" i="9"/>
  <c r="L414" i="9"/>
  <c r="F120" i="4" s="1"/>
  <c r="Q400" i="9"/>
  <c r="R396" i="9"/>
  <c r="M408" i="9"/>
  <c r="G102" i="4" s="1"/>
  <c r="M407" i="9"/>
  <c r="G99" i="4" s="1"/>
  <c r="R402" i="9"/>
  <c r="G365" i="9"/>
  <c r="F349" i="9"/>
  <c r="J362" i="9"/>
  <c r="I337" i="9"/>
  <c r="BL42" i="4" s="1"/>
  <c r="I362" i="9"/>
  <c r="H337" i="9"/>
  <c r="BJ42" i="4" s="1"/>
  <c r="C13" i="4" l="1"/>
  <c r="L367" i="9"/>
  <c r="P401" i="9"/>
  <c r="P355" i="9"/>
  <c r="G416" i="9"/>
  <c r="J397" i="9"/>
  <c r="K400" i="9"/>
  <c r="P356" i="9"/>
  <c r="G417" i="9"/>
  <c r="F357" i="9"/>
  <c r="H417" i="9" s="1"/>
  <c r="J417" i="9" s="1"/>
  <c r="G367" i="9"/>
  <c r="I13" i="4"/>
  <c r="K13" i="4" s="1"/>
  <c r="L408" i="9"/>
  <c r="F102" i="4" s="1"/>
  <c r="Q396" i="9"/>
  <c r="S396" i="9" s="1"/>
  <c r="C117" i="4"/>
  <c r="U399" i="9"/>
  <c r="C105" i="4"/>
  <c r="U401" i="9"/>
  <c r="L413" i="9"/>
  <c r="F117" i="4" s="1"/>
  <c r="Q399" i="9"/>
  <c r="K393" i="9"/>
  <c r="G390" i="8"/>
  <c r="F337" i="9"/>
  <c r="G362" i="9"/>
  <c r="L362" i="9"/>
  <c r="H393" i="9"/>
  <c r="O395" i="9"/>
  <c r="H407" i="9"/>
  <c r="J407" i="9" s="1"/>
  <c r="O396" i="9"/>
  <c r="P399" i="9"/>
  <c r="D399" i="9" s="1"/>
  <c r="H413" i="9"/>
  <c r="J413" i="9" s="1"/>
  <c r="H412" i="9"/>
  <c r="J412" i="9" s="1"/>
  <c r="J402" i="9"/>
  <c r="P336" i="9"/>
  <c r="G407" i="9"/>
  <c r="H418" i="9"/>
  <c r="O402" i="9"/>
  <c r="L410" i="9"/>
  <c r="F108" i="4" s="1"/>
  <c r="Q395" i="9"/>
  <c r="M411" i="9"/>
  <c r="G111" i="4" s="1"/>
  <c r="R398" i="9"/>
  <c r="V398" i="9"/>
  <c r="D111" i="4"/>
  <c r="C114" i="4"/>
  <c r="U397" i="9"/>
  <c r="CA108" i="4"/>
  <c r="S398" i="9"/>
  <c r="I393" i="9"/>
  <c r="D105" i="4" l="1"/>
  <c r="CA105" i="4" s="1"/>
  <c r="V401" i="9"/>
  <c r="O398" i="9"/>
  <c r="H416" i="9"/>
  <c r="J416" i="9" s="1"/>
  <c r="R400" i="9"/>
  <c r="S400" i="9" s="1"/>
  <c r="M414" i="9"/>
  <c r="G120" i="4" s="1"/>
  <c r="D401" i="9"/>
  <c r="Q397" i="9"/>
  <c r="L412" i="9"/>
  <c r="F114" i="4" s="1"/>
  <c r="J393" i="9"/>
  <c r="P397" i="9"/>
  <c r="D397" i="9" s="1"/>
  <c r="P400" i="9"/>
  <c r="P402" i="9"/>
  <c r="V402" i="9"/>
  <c r="D99" i="4"/>
  <c r="C11" i="4"/>
  <c r="BZ114" i="4"/>
  <c r="U395" i="9"/>
  <c r="C108" i="4"/>
  <c r="D395" i="9"/>
  <c r="H406" i="9"/>
  <c r="J406" i="9" s="1"/>
  <c r="V397" i="9"/>
  <c r="D117" i="4"/>
  <c r="V399" i="9"/>
  <c r="D120" i="4"/>
  <c r="V400" i="9"/>
  <c r="D400" i="9"/>
  <c r="CA111" i="4"/>
  <c r="D10" i="4"/>
  <c r="J10" i="4" s="1"/>
  <c r="L10" i="4" s="1"/>
  <c r="C99" i="4"/>
  <c r="D402" i="9"/>
  <c r="U402" i="9"/>
  <c r="Q402" i="9"/>
  <c r="S402" i="9" s="1"/>
  <c r="L407" i="9"/>
  <c r="F99" i="4" s="1"/>
  <c r="U396" i="9"/>
  <c r="C102" i="4"/>
  <c r="D396" i="9"/>
  <c r="P396" i="9"/>
  <c r="C12" i="4"/>
  <c r="BZ117" i="4"/>
  <c r="M12" i="4"/>
  <c r="H419" i="9"/>
  <c r="J418" i="9"/>
  <c r="M362" i="9"/>
  <c r="N362" i="9" s="1"/>
  <c r="P362" i="9" s="1"/>
  <c r="M366" i="9"/>
  <c r="M364" i="9"/>
  <c r="M367" i="9"/>
  <c r="M363" i="9"/>
  <c r="N363" i="9" s="1"/>
  <c r="P363" i="9" s="1"/>
  <c r="M365" i="9"/>
  <c r="I390" i="8"/>
  <c r="J390" i="8"/>
  <c r="H390" i="8"/>
  <c r="K390" i="8"/>
  <c r="C8" i="4"/>
  <c r="BZ105" i="4"/>
  <c r="M8" i="4"/>
  <c r="D114" i="4" l="1"/>
  <c r="C111" i="4"/>
  <c r="U398" i="9"/>
  <c r="D398" i="9"/>
  <c r="N365" i="9"/>
  <c r="P365" i="9" s="1"/>
  <c r="N366" i="9"/>
  <c r="P366" i="9" s="1"/>
  <c r="H389" i="8"/>
  <c r="B395" i="8" s="1"/>
  <c r="K395" i="8" s="1"/>
  <c r="I395" i="8"/>
  <c r="H391" i="8"/>
  <c r="G418" i="8" s="1"/>
  <c r="DB211" i="4" s="1"/>
  <c r="T395" i="8"/>
  <c r="AC395" i="8" s="1"/>
  <c r="N371" i="9"/>
  <c r="N372" i="9"/>
  <c r="Q372" i="9" s="1"/>
  <c r="C7" i="4"/>
  <c r="BZ102" i="4"/>
  <c r="I11" i="4"/>
  <c r="K11" i="4" s="1"/>
  <c r="I8" i="4"/>
  <c r="K8" i="4" s="1"/>
  <c r="I12" i="4"/>
  <c r="K12" i="4" s="1"/>
  <c r="CA120" i="4"/>
  <c r="D13" i="4"/>
  <c r="M13" i="4"/>
  <c r="CA114" i="4"/>
  <c r="C9" i="4"/>
  <c r="BZ108" i="4"/>
  <c r="M9" i="4"/>
  <c r="M11" i="4"/>
  <c r="J391" i="8"/>
  <c r="G420" i="8" s="1"/>
  <c r="DB213" i="4" s="1"/>
  <c r="J389" i="8"/>
  <c r="B399" i="8" s="1"/>
  <c r="K399" i="8" s="1"/>
  <c r="T399" i="8"/>
  <c r="AC399" i="8" s="1"/>
  <c r="I399" i="8"/>
  <c r="N367" i="9"/>
  <c r="P367" i="9" s="1"/>
  <c r="I389" i="8"/>
  <c r="B401" i="8" s="1"/>
  <c r="K401" i="8" s="1"/>
  <c r="I391" i="8"/>
  <c r="G419" i="8" s="1"/>
  <c r="DB212" i="4" s="1"/>
  <c r="T401" i="8"/>
  <c r="AC401" i="8" s="1"/>
  <c r="I401" i="8"/>
  <c r="N364" i="9"/>
  <c r="P364" i="9" s="1"/>
  <c r="N373" i="9" s="1"/>
  <c r="Q373" i="9" s="1"/>
  <c r="H420" i="9"/>
  <c r="J419" i="9"/>
  <c r="D102" i="4"/>
  <c r="V396" i="9"/>
  <c r="C6" i="4"/>
  <c r="BZ99" i="4"/>
  <c r="M6" i="4"/>
  <c r="CA99" i="4"/>
  <c r="D6" i="4"/>
  <c r="J6" i="4" s="1"/>
  <c r="L6" i="4" s="1"/>
  <c r="K391" i="8"/>
  <c r="G421" i="8" s="1"/>
  <c r="DB214" i="4" s="1"/>
  <c r="T397" i="8"/>
  <c r="K389" i="8"/>
  <c r="B397" i="8" s="1"/>
  <c r="K397" i="8" s="1"/>
  <c r="I397" i="8"/>
  <c r="CA117" i="4"/>
  <c r="BZ111" i="4" l="1"/>
  <c r="C10" i="4"/>
  <c r="M10" i="4"/>
  <c r="M412" i="8"/>
  <c r="I114" i="4"/>
  <c r="R397" i="8"/>
  <c r="S397" i="8" s="1"/>
  <c r="I105" i="4"/>
  <c r="M409" i="8"/>
  <c r="R401" i="8"/>
  <c r="S401" i="8" s="1"/>
  <c r="I117" i="4"/>
  <c r="M413" i="8"/>
  <c r="R399" i="8"/>
  <c r="S399" i="8" s="1"/>
  <c r="N374" i="9"/>
  <c r="Q374" i="9" s="1"/>
  <c r="DD213" i="4"/>
  <c r="AF213" i="4" s="1"/>
  <c r="K72" i="5"/>
  <c r="DE213" i="4"/>
  <c r="I9" i="4"/>
  <c r="K9" i="4" s="1"/>
  <c r="J13" i="4"/>
  <c r="L13" i="4" s="1"/>
  <c r="X120" i="4"/>
  <c r="DD211" i="4"/>
  <c r="AF211" i="4" s="1"/>
  <c r="K70" i="5"/>
  <c r="DE211" i="4"/>
  <c r="J88" i="4"/>
  <c r="AC397" i="8"/>
  <c r="CA102" i="4"/>
  <c r="D7" i="4"/>
  <c r="J7" i="4" s="1"/>
  <c r="L7" i="4" s="1"/>
  <c r="DD214" i="4"/>
  <c r="AF214" i="4" s="1"/>
  <c r="K73" i="5"/>
  <c r="DE214" i="4"/>
  <c r="I7" i="4"/>
  <c r="K7" i="4" s="1"/>
  <c r="X102" i="4"/>
  <c r="I6" i="4"/>
  <c r="K6" i="4" s="1"/>
  <c r="X99" i="4"/>
  <c r="J420" i="9"/>
  <c r="H421" i="9"/>
  <c r="J421" i="9" s="1"/>
  <c r="DD212" i="4"/>
  <c r="AF212" i="4" s="1"/>
  <c r="K71" i="5"/>
  <c r="DE212" i="4"/>
  <c r="M7" i="4"/>
  <c r="C437" i="9"/>
  <c r="C433" i="9"/>
  <c r="O371" i="9"/>
  <c r="P371" i="9" s="1"/>
  <c r="O373" i="9"/>
  <c r="P373" i="9" s="1"/>
  <c r="C436" i="9"/>
  <c r="C435" i="9"/>
  <c r="O372" i="9"/>
  <c r="P372" i="9" s="1"/>
  <c r="O374" i="9"/>
  <c r="P374" i="9" s="1"/>
  <c r="C438" i="9"/>
  <c r="C434" i="9"/>
  <c r="Q371" i="9"/>
  <c r="I108" i="4"/>
  <c r="M410" i="8"/>
  <c r="R395" i="8"/>
  <c r="S395" i="8" s="1"/>
  <c r="X111" i="4" l="1"/>
  <c r="I10" i="4"/>
  <c r="K10" i="4" s="1"/>
  <c r="K108" i="4"/>
  <c r="H9" i="4" s="1"/>
  <c r="F9" i="4"/>
  <c r="G390" i="9"/>
  <c r="K105" i="4"/>
  <c r="H8" i="4" s="1"/>
  <c r="F8" i="4"/>
  <c r="K77" i="5"/>
  <c r="F12" i="4"/>
  <c r="K117" i="4"/>
  <c r="H12" i="4" s="1"/>
  <c r="K114" i="4"/>
  <c r="H11" i="4" s="1"/>
  <c r="F11" i="4"/>
  <c r="Q346" i="8"/>
  <c r="R346" i="8" s="1"/>
  <c r="Q341" i="8"/>
  <c r="R341" i="8" s="1"/>
  <c r="DB259" i="4"/>
  <c r="Q343" i="8"/>
  <c r="R343" i="8" s="1"/>
  <c r="Q336" i="8"/>
  <c r="R336" i="8" s="1"/>
  <c r="DB247" i="4"/>
  <c r="DB265" i="4"/>
  <c r="Q355" i="8"/>
  <c r="R355" i="8" s="1"/>
  <c r="DB260" i="4"/>
  <c r="Q337" i="8"/>
  <c r="R337" i="8" s="1"/>
  <c r="Q358" i="8"/>
  <c r="R358" i="8" s="1"/>
  <c r="DB250" i="4"/>
  <c r="DB257" i="4"/>
  <c r="Q338" i="8"/>
  <c r="R338" i="8" s="1"/>
  <c r="Q348" i="8"/>
  <c r="R348" i="8" s="1"/>
  <c r="DB252" i="4"/>
  <c r="Q347" i="8"/>
  <c r="R347" i="8" s="1"/>
  <c r="DB263" i="4"/>
  <c r="Q344" i="8"/>
  <c r="R344" i="8" s="1"/>
  <c r="DB262" i="4"/>
  <c r="DB253" i="4"/>
  <c r="Q356" i="8"/>
  <c r="R356" i="8" s="1"/>
  <c r="DB255" i="4"/>
  <c r="Q335" i="8"/>
  <c r="R335" i="8" s="1"/>
  <c r="Q354" i="8"/>
  <c r="R354" i="8" s="1"/>
  <c r="DB258" i="4"/>
  <c r="DB268" i="4"/>
  <c r="Q345" i="8"/>
  <c r="R345" i="8" s="1"/>
  <c r="Q350" i="8"/>
  <c r="R350" i="8" s="1"/>
  <c r="DB256" i="4"/>
  <c r="Q342" i="8"/>
  <c r="R342" i="8" s="1"/>
  <c r="DB251" i="4"/>
  <c r="DB269" i="4"/>
  <c r="Q353" i="8"/>
  <c r="R353" i="8" s="1"/>
  <c r="Q357" i="8"/>
  <c r="R357" i="8" s="1"/>
  <c r="DB248" i="4"/>
  <c r="Q352" i="8"/>
  <c r="R352" i="8" s="1"/>
  <c r="DB266" i="4"/>
  <c r="DB261" i="4"/>
  <c r="Q340" i="8"/>
  <c r="R340" i="8" s="1"/>
  <c r="DB246" i="4"/>
  <c r="DB249" i="4"/>
  <c r="Q349" i="8"/>
  <c r="R349" i="8" s="1"/>
  <c r="DB267" i="4"/>
  <c r="Q339" i="8"/>
  <c r="R339" i="8" s="1"/>
  <c r="DB254" i="4"/>
  <c r="DB264" i="4"/>
  <c r="Q351" i="8"/>
  <c r="R351" i="8" s="1"/>
  <c r="DD254" i="4" l="1"/>
  <c r="AF254" i="4" s="1"/>
  <c r="AY58" i="5"/>
  <c r="AY77" i="5" s="1"/>
  <c r="DE254" i="4"/>
  <c r="DD249" i="4"/>
  <c r="AF249" i="4" s="1"/>
  <c r="AT58" i="5"/>
  <c r="AT77" i="5" s="1"/>
  <c r="DE249" i="4"/>
  <c r="DD266" i="4"/>
  <c r="AF266" i="4" s="1"/>
  <c r="BK58" i="5"/>
  <c r="BK77" i="5" s="1"/>
  <c r="DE266" i="4"/>
  <c r="DD256" i="4"/>
  <c r="AF256" i="4" s="1"/>
  <c r="BA58" i="5"/>
  <c r="BA77" i="5" s="1"/>
  <c r="DE256" i="4"/>
  <c r="DD258" i="4"/>
  <c r="AF258" i="4" s="1"/>
  <c r="BC58" i="5"/>
  <c r="BC77" i="5" s="1"/>
  <c r="DE258" i="4"/>
  <c r="DD263" i="4"/>
  <c r="AF263" i="4" s="1"/>
  <c r="BH58" i="5"/>
  <c r="BH77" i="5" s="1"/>
  <c r="DE263" i="4"/>
  <c r="DD247" i="4"/>
  <c r="AF247" i="4" s="1"/>
  <c r="AR58" i="5"/>
  <c r="AR77" i="5" s="1"/>
  <c r="DE247" i="4"/>
  <c r="DD246" i="4"/>
  <c r="AF246" i="4" s="1"/>
  <c r="AQ58" i="5"/>
  <c r="AQ77" i="5" s="1"/>
  <c r="DE246" i="4"/>
  <c r="DD269" i="4"/>
  <c r="AF269" i="4" s="1"/>
  <c r="BN58" i="5"/>
  <c r="BN77" i="5" s="1"/>
  <c r="DE269" i="4"/>
  <c r="DD253" i="4"/>
  <c r="AF253" i="4" s="1"/>
  <c r="AX58" i="5"/>
  <c r="AX77" i="5" s="1"/>
  <c r="DE253" i="4"/>
  <c r="DD257" i="4"/>
  <c r="AF257" i="4" s="1"/>
  <c r="BB58" i="5"/>
  <c r="BB77" i="5" s="1"/>
  <c r="DE257" i="4"/>
  <c r="DD260" i="4"/>
  <c r="AF260" i="4" s="1"/>
  <c r="BE58" i="5"/>
  <c r="BE77" i="5" s="1"/>
  <c r="DE260" i="4"/>
  <c r="H390" i="9"/>
  <c r="K390" i="9"/>
  <c r="J390" i="9"/>
  <c r="I390" i="9"/>
  <c r="DD267" i="4"/>
  <c r="AF267" i="4" s="1"/>
  <c r="BL58" i="5"/>
  <c r="BL77" i="5" s="1"/>
  <c r="DE267" i="4"/>
  <c r="DD248" i="4"/>
  <c r="AF248" i="4" s="1"/>
  <c r="AS58" i="5"/>
  <c r="AS77" i="5" s="1"/>
  <c r="DE248" i="4"/>
  <c r="DD251" i="4"/>
  <c r="AF251" i="4" s="1"/>
  <c r="AV58" i="5"/>
  <c r="AV77" i="5" s="1"/>
  <c r="DE251" i="4"/>
  <c r="L444" i="8"/>
  <c r="DD262" i="4"/>
  <c r="AF262" i="4" s="1"/>
  <c r="BG58" i="5"/>
  <c r="BG77" i="5" s="1"/>
  <c r="DE262" i="4"/>
  <c r="DD252" i="4"/>
  <c r="AF252" i="4" s="1"/>
  <c r="AW58" i="5"/>
  <c r="AW77" i="5" s="1"/>
  <c r="DE252" i="4"/>
  <c r="DD250" i="4"/>
  <c r="AF250" i="4" s="1"/>
  <c r="AU58" i="5"/>
  <c r="AU77" i="5" s="1"/>
  <c r="DE250" i="4"/>
  <c r="DD264" i="4"/>
  <c r="AF264" i="4" s="1"/>
  <c r="BI58" i="5"/>
  <c r="BI77" i="5" s="1"/>
  <c r="DE264" i="4"/>
  <c r="DD261" i="4"/>
  <c r="AF261" i="4" s="1"/>
  <c r="BF58" i="5"/>
  <c r="BF77" i="5" s="1"/>
  <c r="DE261" i="4"/>
  <c r="DD268" i="4"/>
  <c r="AF268" i="4" s="1"/>
  <c r="BM58" i="5"/>
  <c r="BM77" i="5" s="1"/>
  <c r="DE268" i="4"/>
  <c r="DD255" i="4"/>
  <c r="AF255" i="4" s="1"/>
  <c r="AZ58" i="5"/>
  <c r="AZ77" i="5" s="1"/>
  <c r="DE255" i="4"/>
  <c r="DD265" i="4"/>
  <c r="AF265" i="4" s="1"/>
  <c r="BJ58" i="5"/>
  <c r="BJ77" i="5" s="1"/>
  <c r="DE265" i="4"/>
  <c r="DD259" i="4"/>
  <c r="AF259" i="4" s="1"/>
  <c r="BD58" i="5"/>
  <c r="BD77" i="5" s="1"/>
  <c r="DE259" i="4"/>
  <c r="I401" i="9" l="1"/>
  <c r="I391" i="9"/>
  <c r="T401" i="9"/>
  <c r="AC401" i="9" s="1"/>
  <c r="I389" i="9"/>
  <c r="B401" i="9" s="1"/>
  <c r="K401" i="9" s="1"/>
  <c r="J391" i="9"/>
  <c r="T399" i="9"/>
  <c r="AC399" i="9" s="1"/>
  <c r="J389" i="9"/>
  <c r="B399" i="9" s="1"/>
  <c r="K399" i="9" s="1"/>
  <c r="I399" i="9"/>
  <c r="M444" i="8"/>
  <c r="DB239" i="4" s="1"/>
  <c r="DC239" i="4"/>
  <c r="I397" i="9"/>
  <c r="T397" i="9"/>
  <c r="K389" i="9"/>
  <c r="B397" i="9" s="1"/>
  <c r="K397" i="9" s="1"/>
  <c r="K391" i="9"/>
  <c r="T395" i="9"/>
  <c r="AC395" i="9" s="1"/>
  <c r="H389" i="9"/>
  <c r="B395" i="9" s="1"/>
  <c r="K395" i="9" s="1"/>
  <c r="H391" i="9"/>
  <c r="I395" i="9"/>
  <c r="R395" i="9" l="1"/>
  <c r="S395" i="9" s="1"/>
  <c r="M410" i="9"/>
  <c r="G108" i="4" s="1"/>
  <c r="D9" i="4" s="1"/>
  <c r="AC397" i="9"/>
  <c r="I88" i="4"/>
  <c r="M409" i="9"/>
  <c r="G105" i="4" s="1"/>
  <c r="D8" i="4" s="1"/>
  <c r="R401" i="9"/>
  <c r="S401" i="9" s="1"/>
  <c r="R399" i="9"/>
  <c r="S399" i="9" s="1"/>
  <c r="M413" i="9"/>
  <c r="G117" i="4" s="1"/>
  <c r="D12" i="4" s="1"/>
  <c r="G421" i="9"/>
  <c r="K392" i="9"/>
  <c r="G419" i="9"/>
  <c r="I392" i="9"/>
  <c r="G418" i="9"/>
  <c r="H392" i="9"/>
  <c r="R397" i="9"/>
  <c r="S397" i="9" s="1"/>
  <c r="M412" i="9"/>
  <c r="G114" i="4" s="1"/>
  <c r="D11" i="4" s="1"/>
  <c r="DD239" i="4"/>
  <c r="AF239" i="4" s="1"/>
  <c r="AJ58" i="5"/>
  <c r="AJ77" i="5" s="1"/>
  <c r="DE239" i="4"/>
  <c r="G420" i="9"/>
  <c r="J392" i="9"/>
  <c r="J11" i="4" l="1"/>
  <c r="L11" i="4" s="1"/>
  <c r="X114" i="4"/>
  <c r="J12" i="4"/>
  <c r="L12" i="4" s="1"/>
  <c r="X117" i="4"/>
  <c r="BY61" i="4"/>
  <c r="BY80" i="4"/>
  <c r="BY87" i="4"/>
  <c r="BY68" i="4"/>
  <c r="BY49" i="4"/>
  <c r="BY42" i="4"/>
  <c r="J9" i="4"/>
  <c r="L9" i="4" s="1"/>
  <c r="X108" i="4"/>
  <c r="J8" i="4"/>
  <c r="L8" i="4" s="1"/>
  <c r="X105" i="4"/>
</calcChain>
</file>

<file path=xl/sharedStrings.xml><?xml version="1.0" encoding="utf-8"?>
<sst xmlns="http://schemas.openxmlformats.org/spreadsheetml/2006/main" count="8083" uniqueCount="3692">
  <si>
    <t>ABGABE VOR</t>
  </si>
  <si>
    <t>PKT. PRO TIPP</t>
  </si>
  <si>
    <t>TXT P</t>
  </si>
  <si>
    <t>Vorhersage</t>
  </si>
  <si>
    <t>Vorhersage TXT Ansicht</t>
  </si>
  <si>
    <t>Vorhersage TXT Eintrag</t>
  </si>
  <si>
    <t>Bisher TXT</t>
  </si>
  <si>
    <t>ZP</t>
  </si>
  <si>
    <t>bisher IDX</t>
  </si>
  <si>
    <t>neu TEXT</t>
  </si>
  <si>
    <t>Auswahl</t>
  </si>
  <si>
    <t>Gruppe bei AF</t>
  </si>
  <si>
    <t>neu IDX</t>
  </si>
  <si>
    <t>neu korr IDX</t>
  </si>
  <si>
    <t>SAVE</t>
  </si>
  <si>
    <t>TA vorh.</t>
  </si>
  <si>
    <t>änderbare vorhandene TA</t>
  </si>
  <si>
    <t>ET</t>
  </si>
  <si>
    <t>Anz. TA</t>
  </si>
  <si>
    <t>0 Pkt.</t>
  </si>
  <si>
    <t>TSK</t>
  </si>
  <si>
    <t>Europameister</t>
  </si>
  <si>
    <t>WM</t>
  </si>
  <si>
    <t>etauswahl_alle</t>
  </si>
  <si>
    <t>Vize-Europameister</t>
  </si>
  <si>
    <t>Vize</t>
  </si>
  <si>
    <t>Verlierer Halbfinale 1</t>
  </si>
  <si>
    <t>P3</t>
  </si>
  <si>
    <t>Verlierer Halbfinale 2</t>
  </si>
  <si>
    <t>P4</t>
  </si>
  <si>
    <t>2 Finalisten</t>
  </si>
  <si>
    <t>Fin</t>
  </si>
  <si>
    <t>2 Verlierer der Halbfinalspiele</t>
  </si>
  <si>
    <t>Pl. 3</t>
  </si>
  <si>
    <t>4 Halbfinalisten</t>
  </si>
  <si>
    <t>8 Viertelfinalisten</t>
  </si>
  <si>
    <t>16 Achtelfinalisten</t>
  </si>
  <si>
    <t>1A</t>
  </si>
  <si>
    <t>etauswahl_gra</t>
  </si>
  <si>
    <t>2A</t>
  </si>
  <si>
    <t>1B</t>
  </si>
  <si>
    <t>etauswahl_grb</t>
  </si>
  <si>
    <t>2 Teams aus jeder Gruppe</t>
  </si>
  <si>
    <t>2B</t>
  </si>
  <si>
    <t xml:space="preserve"> + 4 weitere Teams</t>
  </si>
  <si>
    <t>1C</t>
  </si>
  <si>
    <t>etauswahl_grc</t>
  </si>
  <si>
    <t>2C</t>
  </si>
  <si>
    <t>Keine Mehrfachnennungen</t>
  </si>
  <si>
    <t>1D</t>
  </si>
  <si>
    <t>etauswahl_grd</t>
  </si>
  <si>
    <t>Max. 3 Teams einer Gruppe</t>
  </si>
  <si>
    <t>2D</t>
  </si>
  <si>
    <t>1E</t>
  </si>
  <si>
    <t>etauswahl_gre</t>
  </si>
  <si>
    <t>2E</t>
  </si>
  <si>
    <t>1F</t>
  </si>
  <si>
    <t>etauswahl_grf</t>
  </si>
  <si>
    <t>2F</t>
  </si>
  <si>
    <t>A-F</t>
  </si>
  <si>
    <t>1. A</t>
  </si>
  <si>
    <t>1. B</t>
  </si>
  <si>
    <t>1. C</t>
  </si>
  <si>
    <t>1. D</t>
  </si>
  <si>
    <t>1. E</t>
  </si>
  <si>
    <t>1. F</t>
  </si>
  <si>
    <t>2. A</t>
  </si>
  <si>
    <t>2. B</t>
  </si>
  <si>
    <t>2. C</t>
  </si>
  <si>
    <t>2. D</t>
  </si>
  <si>
    <t>2. E</t>
  </si>
  <si>
    <t>2. F</t>
  </si>
  <si>
    <t>3. A</t>
  </si>
  <si>
    <t>3. B</t>
  </si>
  <si>
    <t>3. C</t>
  </si>
  <si>
    <t>3. D</t>
  </si>
  <si>
    <t>3. E</t>
  </si>
  <si>
    <t>3. F</t>
  </si>
  <si>
    <t>4. A</t>
  </si>
  <si>
    <t>4. B</t>
  </si>
  <si>
    <t>4. C</t>
  </si>
  <si>
    <t>4. D</t>
  </si>
  <si>
    <t>4. E</t>
  </si>
  <si>
    <t>4. F</t>
  </si>
  <si>
    <t>max T (Nat.)</t>
  </si>
  <si>
    <t>GR: max T</t>
  </si>
  <si>
    <t>GR: min T</t>
  </si>
  <si>
    <t>GR: max GT</t>
  </si>
  <si>
    <t>GR: min GT</t>
  </si>
  <si>
    <t>max T (Gru)</t>
  </si>
  <si>
    <t>etauswahl_gru</t>
  </si>
  <si>
    <t>min T (Gru)</t>
  </si>
  <si>
    <t>etauswahl_ru</t>
  </si>
  <si>
    <t>Schätztipp   0 - 999</t>
  </si>
  <si>
    <t>Tore (Ges.)</t>
  </si>
  <si>
    <t>Tore (GR)</t>
  </si>
  <si>
    <t>Tore TSK</t>
  </si>
  <si>
    <t>Anz. Verl.</t>
  </si>
  <si>
    <t>Anz. EMS</t>
  </si>
  <si>
    <t>Lidx</t>
  </si>
  <si>
    <t xml:space="preserve">Anz. Elfm. </t>
  </si>
  <si>
    <t>Anz. GK</t>
  </si>
  <si>
    <t>Anz. RK</t>
  </si>
  <si>
    <t>RK+GRK</t>
  </si>
  <si>
    <t>G</t>
  </si>
  <si>
    <t>Spieler</t>
  </si>
  <si>
    <t>Teams</t>
  </si>
  <si>
    <t>Abgabezeitpunkte</t>
  </si>
  <si>
    <t>Team</t>
  </si>
  <si>
    <t>NN</t>
  </si>
  <si>
    <t>T+ NN Gross</t>
  </si>
  <si>
    <t>VN NN Gross</t>
  </si>
  <si>
    <t>VN NN</t>
  </si>
  <si>
    <t>Gesperrt ab Spiel</t>
  </si>
  <si>
    <t>keine Prüfung</t>
  </si>
  <si>
    <t>BELGIEN</t>
  </si>
  <si>
    <t>GRUPPE A</t>
  </si>
  <si>
    <t>GRUPPENRUNDE</t>
  </si>
  <si>
    <t>ET-Auswertung</t>
  </si>
  <si>
    <t>DÄNEMARK</t>
  </si>
  <si>
    <t>GRUPPE B</t>
  </si>
  <si>
    <t>ACHTELFINALE</t>
  </si>
  <si>
    <t>Eröffnungsspiel</t>
  </si>
  <si>
    <t>DEUTSCHLAND</t>
  </si>
  <si>
    <t>GRUPPE C</t>
  </si>
  <si>
    <t>VIERTELFINALE</t>
  </si>
  <si>
    <t>Spiel 1 von Spt. 2</t>
  </si>
  <si>
    <t>ENGLAND</t>
  </si>
  <si>
    <t>GRUPPE D</t>
  </si>
  <si>
    <t>HALBFINALE</t>
  </si>
  <si>
    <t>Spiel 1 von Spt. 3</t>
  </si>
  <si>
    <t>GRUPPE E</t>
  </si>
  <si>
    <t>FINALE</t>
  </si>
  <si>
    <t>Achtelfinale 1</t>
  </si>
  <si>
    <t>FRANKREICH</t>
  </si>
  <si>
    <t>GRUPPE F</t>
  </si>
  <si>
    <t>Viertelfinale 1</t>
  </si>
  <si>
    <t>ITALIEN</t>
  </si>
  <si>
    <t>Halbfinale 1</t>
  </si>
  <si>
    <t>KROATIEN</t>
  </si>
  <si>
    <t>NIEDERLANDE</t>
  </si>
  <si>
    <t>Finale</t>
  </si>
  <si>
    <t>ÖSTERREICH</t>
  </si>
  <si>
    <t>POLEN</t>
  </si>
  <si>
    <t>PORTUGAL</t>
  </si>
  <si>
    <t>SCHWEIZ</t>
  </si>
  <si>
    <t>SPANIEN</t>
  </si>
  <si>
    <t>TÜRKEI</t>
  </si>
  <si>
    <t>TSCHECHIEN</t>
  </si>
  <si>
    <t>UKRAINE</t>
  </si>
  <si>
    <t>Gültigkeiten</t>
  </si>
  <si>
    <t>AF1</t>
  </si>
  <si>
    <t>AF2</t>
  </si>
  <si>
    <t>AF3</t>
  </si>
  <si>
    <t>AF4</t>
  </si>
  <si>
    <t>AF5</t>
  </si>
  <si>
    <t>AF6</t>
  </si>
  <si>
    <t>AF7</t>
  </si>
  <si>
    <t>AF8</t>
  </si>
  <si>
    <t>VF1</t>
  </si>
  <si>
    <t>VF2</t>
  </si>
  <si>
    <t>VF3</t>
  </si>
  <si>
    <t>VF4</t>
  </si>
  <si>
    <t>HF1</t>
  </si>
  <si>
    <t>HF2</t>
  </si>
  <si>
    <t>Zeile auf Tippabgabe</t>
  </si>
  <si>
    <t>HTo</t>
  </si>
  <si>
    <t>ATo</t>
  </si>
  <si>
    <t>Joker 0/1</t>
  </si>
  <si>
    <t>EMW JA/NEIN 0/1</t>
  </si>
  <si>
    <t>Sieger EMS 0/1/2</t>
  </si>
  <si>
    <t>HCW 0/1/2</t>
  </si>
  <si>
    <t>Siegerspalte 0/1/2</t>
  </si>
  <si>
    <t>Kategorie</t>
  </si>
  <si>
    <t>Pkt. KAT</t>
  </si>
  <si>
    <t>Pkt EMW</t>
  </si>
  <si>
    <t>Pkt Sieger</t>
  </si>
  <si>
    <t>Pkt HCW</t>
  </si>
  <si>
    <t>Punkte Ges</t>
  </si>
  <si>
    <t>BoPkt KOTeam</t>
  </si>
  <si>
    <t>EMW keine/G/V 0/1/-1</t>
  </si>
  <si>
    <t>EMW Team keine/G/V 0/1/-1</t>
  </si>
  <si>
    <t>HCW1 keine/G/V 0/1/-1</t>
  </si>
  <si>
    <t>HCW2 keine/G/V 0/1/-1</t>
  </si>
  <si>
    <t>Sieger G/V  0/1/-1</t>
  </si>
  <si>
    <t>VORHERSAGEN</t>
  </si>
  <si>
    <t>Ukraine (UKR)</t>
  </si>
  <si>
    <t>Tschechien (CZE)</t>
  </si>
  <si>
    <t>Slowakei (SVK)</t>
  </si>
  <si>
    <t>Portugal (POR)</t>
  </si>
  <si>
    <t>Deutschland (GER)</t>
  </si>
  <si>
    <t>Belgien (BEL)</t>
  </si>
  <si>
    <t>Österreich (AUT)</t>
  </si>
  <si>
    <t>Schottland (SCO)</t>
  </si>
  <si>
    <t>Frankreich (FRA)</t>
  </si>
  <si>
    <t>Polen (POL)</t>
  </si>
  <si>
    <t>Türkei (TUR)</t>
  </si>
  <si>
    <t>Niederlande (NED)</t>
  </si>
  <si>
    <t>Dänemark (DEN)</t>
  </si>
  <si>
    <t>England (ENG)</t>
  </si>
  <si>
    <t>Spanien (ESP)</t>
  </si>
  <si>
    <t>Formulartyp</t>
  </si>
  <si>
    <t>Vize-EM</t>
  </si>
  <si>
    <t>Verlierer HF 1</t>
  </si>
  <si>
    <t>Verlierer HF 2</t>
  </si>
  <si>
    <t>Verlierer HF</t>
  </si>
  <si>
    <t>Team mit den meisten Treffern</t>
  </si>
  <si>
    <t xml:space="preserve">Team mit den meisten Treffern (GR) </t>
  </si>
  <si>
    <t>Team mit den wenigsten Treffern (GR)</t>
  </si>
  <si>
    <t>Team mit den meisten Gegentoren (GR)</t>
  </si>
  <si>
    <t>Team mit den wenigsten Gegentoren (GR)</t>
  </si>
  <si>
    <t>Torschützenkönig: Anzahl Treffer</t>
  </si>
  <si>
    <t>Anzahl der Elfmeter</t>
  </si>
  <si>
    <t xml:space="preserve">Anzahl Gelber Karten </t>
  </si>
  <si>
    <t>Tipps "Ergebnis: …"</t>
  </si>
  <si>
    <t>Formular-Navigation</t>
  </si>
  <si>
    <t>HINWEISE</t>
  </si>
  <si>
    <t>TIPPABGABE</t>
  </si>
  <si>
    <t>EIGENE HINWEISE</t>
  </si>
  <si>
    <t xml:space="preserve">Formular-Navigation:   </t>
  </si>
  <si>
    <t xml:space="preserve">     EIGENE HINWEISE</t>
  </si>
  <si>
    <t>Anzahl der Tore bei der EM</t>
  </si>
  <si>
    <t>5. Tippabgabe VOR  Viertelfinale #1 (Spiel 45)</t>
  </si>
  <si>
    <t>6. Tippabgabe VOR Halbfinale #1 (Spiel 49)</t>
  </si>
  <si>
    <t>7. Tippabgabe VOR Halbfinale #2 (Spiel 50)</t>
  </si>
  <si>
    <t>4. Tippabgabe VOR Achtelfinale #1 (Spiel 37)</t>
  </si>
  <si>
    <t>8. Tippabgabe VOR dem Finale (Spiel 51)</t>
  </si>
  <si>
    <t>Anz. der Tore bei der EM (ohne EMS)</t>
  </si>
  <si>
    <t>Anz. der Tore in der Gruppenrunde</t>
  </si>
  <si>
    <t>Anz. Treffer TSK (ohne EMS)</t>
  </si>
  <si>
    <t>Anz. der Spiele mit Verlängerung</t>
  </si>
  <si>
    <t>Anz. der Spiele mit Elfmeterschießen</t>
  </si>
  <si>
    <t>Anz. der Elfmeter (ohne EMS)</t>
  </si>
  <si>
    <t>Anz. Gelber Karten (Gelb-Rot=2xGelb)</t>
  </si>
  <si>
    <t>Anz. Roter Karten (RK)</t>
  </si>
  <si>
    <t>Anz. Platzverweise (RK+GRK)</t>
  </si>
  <si>
    <t>UEFA EM 2024 - Tippspiel XXL: Hinweise Tippformular</t>
  </si>
  <si>
    <t>https://www.hexceler.de</t>
  </si>
  <si>
    <t>Belassen Sie die Datei beim Speichern mit alternativen Officeprogrammen  in einem Format für MS Excel und verwenden Sie  KEINE  speziellen Dateiformate ihrer Officeversion.</t>
  </si>
  <si>
    <t>UEFA EM 2024 - Tippspiel XXL: Hinweise Extratipps</t>
  </si>
  <si>
    <t>Extratipps für das Tippspiel XXL zur UEFA Fußball-Europameisterschaft 2024</t>
  </si>
  <si>
    <t>Erg.: ALBANIEN (ALB)</t>
  </si>
  <si>
    <t>Erg.: GEORGIEN (GEO)</t>
  </si>
  <si>
    <t>Erg.: RUMÄNIEN (ROM)</t>
  </si>
  <si>
    <t>Erg.: SERBIEN (SRB)</t>
  </si>
  <si>
    <t>Erg.: SLOWENIEN (SLO)</t>
  </si>
  <si>
    <t>ERG: ALB</t>
  </si>
  <si>
    <t>ERG: BEL</t>
  </si>
  <si>
    <t>ERG: DEN</t>
  </si>
  <si>
    <t>ERG: GER</t>
  </si>
  <si>
    <t>ERG: ENG</t>
  </si>
  <si>
    <t>ERG: FRA</t>
  </si>
  <si>
    <t>ERG: GEO</t>
  </si>
  <si>
    <t>ERG: ITA</t>
  </si>
  <si>
    <t>ERG: CRO</t>
  </si>
  <si>
    <t>ERG: NED</t>
  </si>
  <si>
    <t>ERG: AUT</t>
  </si>
  <si>
    <t>ERG: POL</t>
  </si>
  <si>
    <t>ERG: POR</t>
  </si>
  <si>
    <t>ERG: ROM</t>
  </si>
  <si>
    <t>ERG: SCO</t>
  </si>
  <si>
    <t>ERG: SUI</t>
  </si>
  <si>
    <t>ERG: SRB</t>
  </si>
  <si>
    <t>ERG: SVK</t>
  </si>
  <si>
    <t>ERG: SLO</t>
  </si>
  <si>
    <t>ERG: ESP</t>
  </si>
  <si>
    <t>ERG: CZE</t>
  </si>
  <si>
    <t>ERG: TUR</t>
  </si>
  <si>
    <t>ERG: UKR</t>
  </si>
  <si>
    <t>ERG: HUN</t>
  </si>
  <si>
    <t xml:space="preserve">Die Aktualisierungsdateien finden Sie unter   https://www.hexceler.de. Eigene Bearbeitungen an den Kadern gehen bei diesem Importvorgang aber verloren.  </t>
  </si>
  <si>
    <t>optional möglich, für noch nicht abgegebene und nicht unter "Tippabgabe" editierte Extratipps die jeweiligen Vorhersagen als Tipp zu übernehmen, ohne dass diese händisch in die Spalte</t>
  </si>
  <si>
    <t>"Tippabgabe" übertragen werden müssen.</t>
  </si>
  <si>
    <t>Für einige Extratipps müssen bei der Tippabgabe bestimmte Bedingungen erfüllt sein. Unlogische oder fehlerhafte Tipps werden farblich markiert und beim Importieren übergangen.</t>
  </si>
  <si>
    <t>Zusätzliche Hinweise des Tippspielleiters finden sie möglicher Weise hier:</t>
  </si>
  <si>
    <t>weitere Hinweise</t>
  </si>
  <si>
    <t>Hinweise Extratipps</t>
  </si>
  <si>
    <t>#</t>
  </si>
  <si>
    <t>Tipp</t>
  </si>
  <si>
    <t>Tippabgaben
(TA)</t>
  </si>
  <si>
    <t>Status</t>
  </si>
  <si>
    <t>Punkte
 pro TA</t>
  </si>
  <si>
    <t>Späteste 
Abgabe</t>
  </si>
  <si>
    <t>Bemerkung</t>
  </si>
  <si>
    <t>Spieler mit den meisten Treffern (TSK)</t>
  </si>
  <si>
    <t>Wahl aus den vorhandenen Kadern oder Format: 'Vorname Nachname'</t>
  </si>
  <si>
    <t>Finalisten</t>
  </si>
  <si>
    <t>Halbfinalisten</t>
  </si>
  <si>
    <t>Viertelfinalisten</t>
  </si>
  <si>
    <t>Achtelfinalisten</t>
  </si>
  <si>
    <t>je 2 Teams aus jeder Gruppe + 4 weitere Teams</t>
  </si>
  <si>
    <t>Sieger Gruppe A</t>
  </si>
  <si>
    <t>Sieger Gruppe B</t>
  </si>
  <si>
    <t>Sieger Gruppe C</t>
  </si>
  <si>
    <t>Sieger Gruppe D</t>
  </si>
  <si>
    <t>Sieger Gruppe E</t>
  </si>
  <si>
    <t>Sieger Gruppe F</t>
  </si>
  <si>
    <t>Zweiter Gruppe A</t>
  </si>
  <si>
    <t>Zweiter Gruppe B</t>
  </si>
  <si>
    <t>Zweiter Gruppe C</t>
  </si>
  <si>
    <t>Zweiter Gruppe D</t>
  </si>
  <si>
    <t>Zweiter Gruppe E</t>
  </si>
  <si>
    <t>Zweiter Gruppe F</t>
  </si>
  <si>
    <t>Dritter Gruppe A</t>
  </si>
  <si>
    <t>Dritter Gruppe B</t>
  </si>
  <si>
    <t>Dritter Gruppe C</t>
  </si>
  <si>
    <t>Dritter Gruppe D</t>
  </si>
  <si>
    <t>Dritter Gruppe E</t>
  </si>
  <si>
    <t>Dritter Gruppe F</t>
  </si>
  <si>
    <t>Vierter Gruppe A</t>
  </si>
  <si>
    <t>Vierter Gruppe B</t>
  </si>
  <si>
    <t>Vierter Gruppe C</t>
  </si>
  <si>
    <t>Vierter Gruppe D</t>
  </si>
  <si>
    <t>Vierter Gruppe E</t>
  </si>
  <si>
    <t>Vierter Gruppe F</t>
  </si>
  <si>
    <t>Die meistenTreffer (Ges., ohne EMS)</t>
  </si>
  <si>
    <t>Treffer aus ALLEN Spielen, OHNE Tore im Elfmeterschießen</t>
  </si>
  <si>
    <t>Die meisten Treffer (nur GR)</t>
  </si>
  <si>
    <t>nur Spiele der Gruppenrunde</t>
  </si>
  <si>
    <t>Die wenigsten Treffer (nur GR)</t>
  </si>
  <si>
    <t>Die meisten Gegentore (nur GR)</t>
  </si>
  <si>
    <t>Die wenigsten Gegentore (nur GR)</t>
  </si>
  <si>
    <t>Gruppe mit den meisten Toren</t>
  </si>
  <si>
    <t>Gruppe mit den wenigsten Toren</t>
  </si>
  <si>
    <t xml:space="preserve">Bis in welche Runde kommt das jeweilige Team? </t>
  </si>
  <si>
    <t>Mögliche Tipps:</t>
  </si>
  <si>
    <t>Gruppenrunde, Achtelfinale, Viertelfinale, Halbfinale, Finale</t>
  </si>
  <si>
    <t>[Schätztipp], OHNE Tore im Elfmeterschießen</t>
  </si>
  <si>
    <t>Anzahl der Tore in der Gruppenrunde</t>
  </si>
  <si>
    <t>[Schätztipp], nur Treffer der Gruppenrunde</t>
  </si>
  <si>
    <t>Anzahl der Spiele mit Verlängerung</t>
  </si>
  <si>
    <t>[Schätztipp], inkl. der Spiele mit Elfmeterschießen</t>
  </si>
  <si>
    <t>Anzahl der Spiele mit Elfmeterschießen</t>
  </si>
  <si>
    <t>[Schätztipp]</t>
  </si>
  <si>
    <t xml:space="preserve">[Schätztipp], OHNE Strafstöße der Elfmeterschießen </t>
  </si>
  <si>
    <t>[Schätztipp], Gelb-Rote Karte = 2 Gelbe Karten (inkl. 1. Verwarnung)</t>
  </si>
  <si>
    <t>Anzahl Roter Karten (RK)</t>
  </si>
  <si>
    <t>[Schätztipp] nur 'echte' Rote Karten</t>
  </si>
  <si>
    <t>Anzahl Platzverweise (RK+GRK)</t>
  </si>
  <si>
    <t>[Schätztipp], Rote Karten + Gelb-Rote Karten</t>
  </si>
  <si>
    <t>BS = Beste Schätzung</t>
  </si>
  <si>
    <t>Bei Schätztipps (Tipps #66 bis #74) können Punkte für den exakten Tipp und die beste Schätzung vergeben werden.</t>
  </si>
  <si>
    <t>Wenn kein Tipper das exakte Ergebnis vorhersagt, werden die Punkte für die beste Schätzung vergeben.</t>
  </si>
  <si>
    <t>GB = Gestaffelte Bewertung</t>
  </si>
  <si>
    <t>Bei allen Tipps kann eine Punktestaffelung eingerichtet werden. Die zu erzielende Punktzahl richtet sich dann nach dem Zeitpunkt der Tippabgabe.</t>
  </si>
  <si>
    <t>Folgende Abgabe-Zeitpunkte werden unterschieden:</t>
  </si>
  <si>
    <t>1. Tippabgabe VOR dem Eröffnungsspiel (Spiel 1)</t>
  </si>
  <si>
    <t>2. Tippabgabe VOR Gruppenrunde Spt. 2 (Spiel 13)</t>
  </si>
  <si>
    <t>3. Tippabgabe VOR Gruppenrunde Spt. 3 (Spiel 25)</t>
  </si>
  <si>
    <t>Späteste Abgabe</t>
  </si>
  <si>
    <t>Der Zeitpunkt (ZP) der Tippabgabe bzw. einer Änderung kann geprüft und eine Tippabgabe bzw -änderung  nach diesem Zeitpunkt verhindert werden</t>
  </si>
  <si>
    <t>1 - keine Überprüfung</t>
  </si>
  <si>
    <t>6 - keine Änderung nach Spieltag 3 der Gruppenrunde</t>
  </si>
  <si>
    <t>2 - keine Änderung nach erfolgter Auswertung</t>
  </si>
  <si>
    <t>7 - keine Änderung nach dem letzten Achtelfinalspiel</t>
  </si>
  <si>
    <t>3 - keine Änderung nach dem Eröffnungsspiel</t>
  </si>
  <si>
    <t>8 - keine Änderung nach dem letzten Viertelfinalspiel</t>
  </si>
  <si>
    <t>4 - keine Änderung nach Spieltag 1 der Gruppenrunde</t>
  </si>
  <si>
    <t>9 - keine Änderung nach dem 2. Halbfinalspiel</t>
  </si>
  <si>
    <t>5 - keine Änderung nach Spieltag 2 der Gruppenrunde</t>
  </si>
  <si>
    <t>10 - Änderung noch VOR dem Finale erlaubt</t>
  </si>
  <si>
    <t>eigene Hinweise</t>
  </si>
  <si>
    <t>Auswahl COBO</t>
  </si>
  <si>
    <t>LfdNr /Lidx</t>
  </si>
  <si>
    <t>AlphaIdx</t>
  </si>
  <si>
    <t>ID</t>
  </si>
  <si>
    <t>Name</t>
  </si>
  <si>
    <t>ID Last</t>
  </si>
  <si>
    <t>LIdx</t>
  </si>
  <si>
    <t>AIdx</t>
  </si>
  <si>
    <t>LastCell</t>
  </si>
  <si>
    <t>EWPauschal</t>
  </si>
  <si>
    <t>xxx</t>
  </si>
  <si>
    <t>$AO$56</t>
  </si>
  <si>
    <t>Modus</t>
  </si>
  <si>
    <t>Auswahl HCW</t>
  </si>
  <si>
    <t>Auswahl Joker</t>
  </si>
  <si>
    <t>Zeichen</t>
  </si>
  <si>
    <t>•</t>
  </si>
  <si>
    <t>ausblenden</t>
  </si>
  <si>
    <t>Vorhersagen</t>
  </si>
  <si>
    <t>Tipptabellen</t>
  </si>
  <si>
    <t>Zeilen GruppenTabellen</t>
  </si>
  <si>
    <t>Einsatz</t>
  </si>
  <si>
    <t>Gesperrt</t>
  </si>
  <si>
    <t>X</t>
  </si>
  <si>
    <t>zeige aktuellen Stand</t>
  </si>
  <si>
    <t>Real</t>
  </si>
  <si>
    <t>GETIPPT Abgeschl.</t>
  </si>
  <si>
    <t>TABELLEN NUR AUS TIPPS BERECHNEN</t>
  </si>
  <si>
    <t>Jokertyp</t>
  </si>
  <si>
    <t>HCW</t>
  </si>
  <si>
    <t>Änderung</t>
  </si>
  <si>
    <t>٭</t>
  </si>
  <si>
    <t>Paarungen</t>
  </si>
  <si>
    <t>Chrono</t>
  </si>
  <si>
    <t>REAL</t>
  </si>
  <si>
    <t>TIPPTIPP</t>
  </si>
  <si>
    <t>TIPPREAL</t>
  </si>
  <si>
    <t>zu tippende Paarung</t>
  </si>
  <si>
    <t>Abgeschl.</t>
  </si>
  <si>
    <t>Spalte</t>
  </si>
  <si>
    <t>T1</t>
  </si>
  <si>
    <t>T2</t>
  </si>
  <si>
    <t>Tipptabelle</t>
  </si>
  <si>
    <t>VORHANDENE REALE RESULTATE NUTZEN</t>
  </si>
  <si>
    <t>AF 1</t>
  </si>
  <si>
    <t>ˣ</t>
  </si>
  <si>
    <t>REALE TABELLEN ANZEIGEN</t>
  </si>
  <si>
    <t>EW</t>
  </si>
  <si>
    <t>AF 2</t>
  </si>
  <si>
    <t/>
  </si>
  <si>
    <t>Anz Auswahl EW</t>
  </si>
  <si>
    <t>AF 3</t>
  </si>
  <si>
    <t>Werg</t>
  </si>
  <si>
    <t>AF 4</t>
  </si>
  <si>
    <t>Auswahl EW</t>
  </si>
  <si>
    <t>AF 5</t>
  </si>
  <si>
    <t>Zeige REALE Tabelle</t>
  </si>
  <si>
    <t>AF 6</t>
  </si>
  <si>
    <t>Angezeigte Paarungen sind nicht die zu tippenden Spiele!</t>
  </si>
  <si>
    <t>AF 7</t>
  </si>
  <si>
    <t>AF 8</t>
  </si>
  <si>
    <t>VF 1</t>
  </si>
  <si>
    <t>AF</t>
  </si>
  <si>
    <t>VF 2</t>
  </si>
  <si>
    <t>Auswahl Team</t>
  </si>
  <si>
    <t>VF 3</t>
  </si>
  <si>
    <t>VF 4</t>
  </si>
  <si>
    <t>HF 1</t>
  </si>
  <si>
    <t>VF</t>
  </si>
  <si>
    <t>EW gesperrt</t>
  </si>
  <si>
    <t>HF 2</t>
  </si>
  <si>
    <t>Formular-Navigation:</t>
  </si>
  <si>
    <t xml:space="preserve">J  </t>
  </si>
  <si>
    <t>?</t>
  </si>
  <si>
    <t>Sieger gesperrt</t>
  </si>
  <si>
    <t>FIN.</t>
  </si>
  <si>
    <t>HF</t>
  </si>
  <si>
    <t xml:space="preserve">Manuelle Tabellen und qualifizierte Gruppendritte  (Man. | Q3)  </t>
  </si>
  <si>
    <t xml:space="preserve">TS  </t>
  </si>
  <si>
    <t>TSK / SaveBut</t>
  </si>
  <si>
    <t xml:space="preserve">E  </t>
  </si>
  <si>
    <t>Left EW</t>
  </si>
  <si>
    <t>Ergebnistipp fehlt</t>
  </si>
  <si>
    <t xml:space="preserve">Erg.tipp  </t>
  </si>
  <si>
    <t xml:space="preserve">Reales Erg.  </t>
  </si>
  <si>
    <t>Top EW</t>
  </si>
  <si>
    <t>EW: Remis tippen</t>
  </si>
  <si>
    <t xml:space="preserve">Reale Ergebnisse der KO-Spiele  </t>
  </si>
  <si>
    <t xml:space="preserve">HW  </t>
  </si>
  <si>
    <t>Left WIN</t>
  </si>
  <si>
    <t>EW: Teamfehler</t>
  </si>
  <si>
    <t xml:space="preserve">EW  </t>
  </si>
  <si>
    <t>Top WIN</t>
  </si>
  <si>
    <t>EW fehlt</t>
  </si>
  <si>
    <t>Zeile</t>
  </si>
  <si>
    <t>Zwang</t>
  </si>
  <si>
    <t xml:space="preserve">  Gruppenrunde</t>
  </si>
  <si>
    <t>Qualifizert für das Achelfinale sind alle Gruppenersten und -zweiten sowie die vier besten Gruppendritten.</t>
  </si>
  <si>
    <t>farbig</t>
  </si>
  <si>
    <t>CB TippTab und Vorhersage</t>
  </si>
  <si>
    <t>Testen</t>
  </si>
  <si>
    <t xml:space="preserve">  Spieltag 1</t>
  </si>
  <si>
    <t>Tipp aktuell</t>
  </si>
  <si>
    <t>Tipps gespeichert</t>
  </si>
  <si>
    <t>Erg wenn vorh.</t>
  </si>
  <si>
    <t>Sieger</t>
  </si>
  <si>
    <t>Summe</t>
  </si>
  <si>
    <t xml:space="preserve">Verfügbarer Einsatz  </t>
  </si>
  <si>
    <t xml:space="preserve">Min | Max  </t>
  </si>
  <si>
    <t xml:space="preserve">Rest  </t>
  </si>
  <si>
    <t>TEST</t>
  </si>
  <si>
    <t>Resultat</t>
  </si>
  <si>
    <t>SIEGER</t>
  </si>
  <si>
    <t>Auswertung</t>
  </si>
  <si>
    <t>Ergtipp</t>
  </si>
  <si>
    <t>EW Team</t>
  </si>
  <si>
    <t>Fehler</t>
  </si>
  <si>
    <t>Fehler Siegerspalte</t>
  </si>
  <si>
    <t>erf.</t>
  </si>
  <si>
    <t>Vergleich</t>
  </si>
  <si>
    <t>Ges</t>
  </si>
  <si>
    <t>min</t>
  </si>
  <si>
    <t>max</t>
  </si>
  <si>
    <t>TA</t>
  </si>
  <si>
    <t>Erg.tipp</t>
  </si>
  <si>
    <t>E</t>
  </si>
  <si>
    <t>HW</t>
  </si>
  <si>
    <t>Reales Erg.</t>
  </si>
  <si>
    <t>Reale Tabellen</t>
  </si>
  <si>
    <t>Fehler Tipp</t>
  </si>
  <si>
    <t>Fehler Real</t>
  </si>
  <si>
    <t>ManTab</t>
  </si>
  <si>
    <t>Chronologisch</t>
  </si>
  <si>
    <t>TH</t>
  </si>
  <si>
    <t>J</t>
  </si>
  <si>
    <t>EWT</t>
  </si>
  <si>
    <t>S</t>
  </si>
  <si>
    <t>Joker fix</t>
  </si>
  <si>
    <t>HCW erlaubt</t>
  </si>
  <si>
    <t>Fehler HCW</t>
  </si>
  <si>
    <t>Joker gesetzt</t>
  </si>
  <si>
    <t>Joker Nr.</t>
  </si>
  <si>
    <t>Fehler Joker</t>
  </si>
  <si>
    <t>R</t>
  </si>
  <si>
    <t>RealesErg</t>
  </si>
  <si>
    <t>Manuelle Tabelle TIPP</t>
  </si>
  <si>
    <t>Erg</t>
  </si>
  <si>
    <t>COBO</t>
  </si>
  <si>
    <t>Serbien</t>
  </si>
  <si>
    <t>Georgien</t>
  </si>
  <si>
    <t>Vorhersage des Siegers mit Bonuspunkten belohnt wird. Die entsprechende Zelle hat eine FÄRBUNG, wenn sie zwingend auszufüllen ist oder ein Fehler vorliegt.</t>
  </si>
  <si>
    <t>-  Einmalige Tippabgabe  VOR  Turnierbeginn  -</t>
  </si>
  <si>
    <t>Die zu tippenden KO-Paarungen ergeben sich aus den eigenen Tipps für die vorhergehenden Runden. Bei der Tippauswertung werden später nur die KO-Tipps gewertet, bei denen die sich</t>
  </si>
  <si>
    <t>real ergebende KO-Paarung korrekt vorhergesagt wurde. Die sich aus den Tipps ergebenden KO-Paarungen werden automatisch ermittelt und angezeigt.</t>
  </si>
  <si>
    <t xml:space="preserve">Diese Variante macht es erforderlich, dass aus jedem Tipp der SIEGER einer KO-Paarung zu ermitteln sein muss. </t>
  </si>
  <si>
    <t>Sollte aus dem Ergebnistipp bzw. einer abgegebenen Elfmeterwette der Sieger des Spiels nicht zu ermitteln sein, muss der Sieger in der Spalte "SIEGER" angegeben werden.</t>
  </si>
  <si>
    <t xml:space="preserve">Eine "Sieger"-Zelle mit Färbung zeigt an, dass die Zelle bei den aktuellen Tipps zwingend auszufüllen ist oder ein Fehler vorliegt. </t>
  </si>
  <si>
    <t>Extratipps</t>
  </si>
  <si>
    <t>Falls Extratipps aktiviert wurden, können diese in den dafür vorgesehenen Zellen unter "Tippabgaben" eingegeben werden.</t>
  </si>
  <si>
    <t xml:space="preserve">Beim Auswählen der Zelle für die Tippabgabe wird eine Liste der möglichen Tipps angezeigt. In Zellen ohne Auswahloption können Zahlen von 0 - 999 editiert werden. </t>
  </si>
  <si>
    <t>Für den Tipp "Spielerin mit den meisten Toren" kann grundsätzlich JEDER Name eingegeben werden. Die korrekte Auswertung eines Tipps setzt aber voraus, dass der getippte Name</t>
  </si>
  <si>
    <t xml:space="preserve">im Hauptprogramm in der EXAKT GLEICHEN Schreibweise innerhalb der Kaderlisten geführt wird. </t>
  </si>
  <si>
    <t>Beim Öffnen der Auswahlbox wird eine Auswahl der Spieler angeboten, die beim Erstellen des Formulars im Hauptprogramm bereits verfügbar waren.</t>
  </si>
  <si>
    <t xml:space="preserve">Falls die Liste leer oder unvollständig sein sollte, kann der Tipp in der Auswahlbox auch editiert werden. Verwenden Sie dann bei der Eingabe das Format  </t>
  </si>
  <si>
    <t>Über eine Aktualisierungsdatei kann die Spielerliste zudem in bereits zuvor erstellte Formulardateien übertragen werden. Öffnen Sie hierfür die Aktualisierungsdatei mit Excel</t>
  </si>
  <si>
    <t>und folgen Sie den weiteren Anweisungen.  Das Importieren von Kadern bzw. Ergebnissen aus den Aktualisierungsdateien erfordert das Zulassen von Makros.</t>
  </si>
  <si>
    <t>In der Spalte  'Vorhersagen aus den Ergebnistipps"  werden, sofern dies möglich ist, die sich aus bereits abgegebenen Ergebnistipps ergebenden Extratipps ermittelt.</t>
  </si>
  <si>
    <t>Sie können diese berechneten Tipps als Extratipp übernehmen aber auch andere Tipps abgeben.</t>
  </si>
  <si>
    <t>Da dieses Formular ohne Makros auskommen muss, können berechnete Extratipps NICHT automatisch in die editierbaren Zellen der Spalte "Tippabgabe" eingetragen werden.</t>
  </si>
  <si>
    <t>Das Eintragen der Extratipps in die Tippzellen muss von Hand erfolgen, auch wenn die berechneten Extratipps übernommen werden sollen. Es ist allerdings beim späteren Importvorgang</t>
  </si>
  <si>
    <t>Ungarn (HUN)</t>
  </si>
  <si>
    <t>HUN</t>
  </si>
  <si>
    <t>ALBANIEN</t>
  </si>
  <si>
    <t>ALBANIEN (ALB)</t>
  </si>
  <si>
    <t>GEORGIEN (GEO)</t>
  </si>
  <si>
    <t>RUMÄNIEN (ROM)</t>
  </si>
  <si>
    <t>SERBIEN (SRB)</t>
  </si>
  <si>
    <t>SLOWENIEN (SLO)</t>
  </si>
  <si>
    <t>GEORGIEN</t>
  </si>
  <si>
    <t>SLOWENIEN</t>
  </si>
  <si>
    <t>SERBIEN</t>
  </si>
  <si>
    <t>RUMÄNIEN</t>
  </si>
  <si>
    <t>Drittplatierte: Teams der erlaubten Gruppen einfügen und alphabetisch sortieren</t>
  </si>
  <si>
    <t>Albanien (ALB)</t>
  </si>
  <si>
    <t>Slowenien (SLO)</t>
  </si>
  <si>
    <t>Serbien (SRB)</t>
  </si>
  <si>
    <t>Rumänien (ROM)</t>
  </si>
  <si>
    <t>Georgien (GEO)</t>
  </si>
  <si>
    <t>Berlin</t>
  </si>
  <si>
    <t>Dortmund</t>
  </si>
  <si>
    <t>Gelsenkirchen</t>
  </si>
  <si>
    <t>Köln</t>
  </si>
  <si>
    <t>01.07.</t>
  </si>
  <si>
    <t>Düsseldorf</t>
  </si>
  <si>
    <t>Frankfurt</t>
  </si>
  <si>
    <t>02.07.</t>
  </si>
  <si>
    <t>Leipzig</t>
  </si>
  <si>
    <t>05.07.</t>
  </si>
  <si>
    <t>Stuttgart</t>
  </si>
  <si>
    <t>Hamburg</t>
  </si>
  <si>
    <t>06.07.</t>
  </si>
  <si>
    <t>09.07.</t>
  </si>
  <si>
    <t>10.07.</t>
  </si>
  <si>
    <t>14.07.</t>
  </si>
  <si>
    <t>P3 wenn gespielt</t>
  </si>
  <si>
    <t xml:space="preserve"> sonst Finale</t>
  </si>
  <si>
    <t>ALB</t>
  </si>
  <si>
    <t>GEO</t>
  </si>
  <si>
    <t>SLO</t>
  </si>
  <si>
    <t>SRB</t>
  </si>
  <si>
    <t>ROM</t>
  </si>
  <si>
    <t>Gelsenk.</t>
  </si>
  <si>
    <t>0/1/2</t>
  </si>
  <si>
    <t xml:space="preserve"> -1/0/1/2</t>
  </si>
  <si>
    <t>EWTeam</t>
  </si>
  <si>
    <t>Siegerspalte</t>
  </si>
  <si>
    <t>Einsatzkorrektur</t>
  </si>
  <si>
    <t>1=OK, 0=inkomplett, -1=Fehler</t>
  </si>
  <si>
    <t>Eingabe E</t>
  </si>
  <si>
    <t>A</t>
  </si>
  <si>
    <t>TÜRKEI (TUR)</t>
  </si>
  <si>
    <t>:</t>
  </si>
  <si>
    <t>ITALIEN (ITA)</t>
  </si>
  <si>
    <t>Tore</t>
  </si>
  <si>
    <t>Diff.</t>
  </si>
  <si>
    <t>P</t>
  </si>
  <si>
    <t>Man.</t>
  </si>
  <si>
    <t>Q3</t>
  </si>
  <si>
    <t xml:space="preserve">A </t>
  </si>
  <si>
    <t>DritterTipp</t>
  </si>
  <si>
    <t>DritterReal</t>
  </si>
  <si>
    <t>Rang tats.</t>
  </si>
  <si>
    <t>TIDX</t>
  </si>
  <si>
    <t>GrNr</t>
  </si>
  <si>
    <t>Spiel</t>
  </si>
  <si>
    <t>H</t>
  </si>
  <si>
    <t>SCHWEIZ (SUI)</t>
  </si>
  <si>
    <t>SA</t>
  </si>
  <si>
    <t>A-1</t>
  </si>
  <si>
    <t>B</t>
  </si>
  <si>
    <t>DÄNEMARK (DEN)</t>
  </si>
  <si>
    <t>ZA</t>
  </si>
  <si>
    <t>A-2</t>
  </si>
  <si>
    <t>BELGIEN (BEL)</t>
  </si>
  <si>
    <t>DA</t>
  </si>
  <si>
    <t>A-3</t>
  </si>
  <si>
    <t>D</t>
  </si>
  <si>
    <t>ENGLAND (ENG)</t>
  </si>
  <si>
    <t>KROATIEN (CRO)</t>
  </si>
  <si>
    <t>VA</t>
  </si>
  <si>
    <t>A-4</t>
  </si>
  <si>
    <t>C</t>
  </si>
  <si>
    <t>ÖSTERREICH (AUT)</t>
  </si>
  <si>
    <t>SB</t>
  </si>
  <si>
    <t>A-5</t>
  </si>
  <si>
    <t>NIEDERLANDE (NED)</t>
  </si>
  <si>
    <t>UKRAINE (UKR)</t>
  </si>
  <si>
    <t>ZB</t>
  </si>
  <si>
    <t>A-6</t>
  </si>
  <si>
    <t>TSCHECHIEN (CZE)</t>
  </si>
  <si>
    <t xml:space="preserve">B </t>
  </si>
  <si>
    <t>DB</t>
  </si>
  <si>
    <t>B-1</t>
  </si>
  <si>
    <t>POLEN (POL)</t>
  </si>
  <si>
    <t>VB</t>
  </si>
  <si>
    <t>B-2</t>
  </si>
  <si>
    <t>SPANIEN (ESP)</t>
  </si>
  <si>
    <t>SCHWEDEN (SWE)</t>
  </si>
  <si>
    <t>SC</t>
  </si>
  <si>
    <t>B-3</t>
  </si>
  <si>
    <t>F</t>
  </si>
  <si>
    <t>PORTUGAL (POR)</t>
  </si>
  <si>
    <t>ZC</t>
  </si>
  <si>
    <t>B-4</t>
  </si>
  <si>
    <t>München</t>
  </si>
  <si>
    <t>FRANKREICH (FRA)</t>
  </si>
  <si>
    <t>DEUTSCHLAND (GER)</t>
  </si>
  <si>
    <t>DC</t>
  </si>
  <si>
    <t>B-5</t>
  </si>
  <si>
    <t>VC</t>
  </si>
  <si>
    <t>B-6</t>
  </si>
  <si>
    <t>SD</t>
  </si>
  <si>
    <t>C-1</t>
  </si>
  <si>
    <t xml:space="preserve">  Spieltag 2</t>
  </si>
  <si>
    <t>ZD</t>
  </si>
  <si>
    <t>C-2</t>
  </si>
  <si>
    <t>DD</t>
  </si>
  <si>
    <t>C-3</t>
  </si>
  <si>
    <t>VD</t>
  </si>
  <si>
    <t>C-4</t>
  </si>
  <si>
    <t>SE</t>
  </si>
  <si>
    <t>C-5</t>
  </si>
  <si>
    <t>ZE</t>
  </si>
  <si>
    <t>C-6</t>
  </si>
  <si>
    <t xml:space="preserve">C </t>
  </si>
  <si>
    <t>DE</t>
  </si>
  <si>
    <t>D-1</t>
  </si>
  <si>
    <t>VE</t>
  </si>
  <si>
    <t>D-2</t>
  </si>
  <si>
    <t>SF</t>
  </si>
  <si>
    <t>D-3</t>
  </si>
  <si>
    <t>ZF</t>
  </si>
  <si>
    <t>D-4</t>
  </si>
  <si>
    <t>DF</t>
  </si>
  <si>
    <t>D-5</t>
  </si>
  <si>
    <t>D-6</t>
  </si>
  <si>
    <t>D1</t>
  </si>
  <si>
    <t>E-1</t>
  </si>
  <si>
    <t xml:space="preserve">D </t>
  </si>
  <si>
    <t>D2</t>
  </si>
  <si>
    <t>E-2</t>
  </si>
  <si>
    <t>D3</t>
  </si>
  <si>
    <t>E-3</t>
  </si>
  <si>
    <t>D4</t>
  </si>
  <si>
    <t>E-4</t>
  </si>
  <si>
    <t>Gruppe manuell</t>
  </si>
  <si>
    <t>E-5</t>
  </si>
  <si>
    <t>E-6</t>
  </si>
  <si>
    <t>F-1</t>
  </si>
  <si>
    <t>F-2</t>
  </si>
  <si>
    <t xml:space="preserve">  Spieltag 3</t>
  </si>
  <si>
    <t>F-3</t>
  </si>
  <si>
    <t>F-4</t>
  </si>
  <si>
    <t>F-5</t>
  </si>
  <si>
    <t>F-6</t>
  </si>
  <si>
    <t xml:space="preserve">E </t>
  </si>
  <si>
    <t>Dritte man</t>
  </si>
  <si>
    <t>Gruppe Man.</t>
  </si>
  <si>
    <t>Dritte</t>
  </si>
  <si>
    <t>Treffer GR</t>
  </si>
  <si>
    <t xml:space="preserve">F </t>
  </si>
  <si>
    <t>Gr</t>
  </si>
  <si>
    <t>TIPP</t>
  </si>
  <si>
    <t>Reale Erg</t>
  </si>
  <si>
    <t xml:space="preserve"> Vorhersage</t>
  </si>
  <si>
    <t>zu tippen</t>
  </si>
  <si>
    <t>Zuord</t>
  </si>
  <si>
    <t>Man Gr. REAL</t>
  </si>
  <si>
    <t xml:space="preserve">  Achtelfinale</t>
  </si>
  <si>
    <t>Format ohne EW  Dv97:DY166</t>
  </si>
  <si>
    <t>TippTipp</t>
  </si>
  <si>
    <t>Real-Tipp</t>
  </si>
  <si>
    <t>Siegertipptipp</t>
  </si>
  <si>
    <t>Sieger Tippreal</t>
  </si>
  <si>
    <t>Verlierer TippTipp</t>
  </si>
  <si>
    <t>Verlierer TippReal</t>
  </si>
  <si>
    <t>abgeschl, T1</t>
  </si>
  <si>
    <t>abgeschl. T2</t>
  </si>
  <si>
    <t>Siegerspalte ausw.</t>
  </si>
  <si>
    <t>Sieger erf.</t>
  </si>
  <si>
    <t>Verlierer</t>
  </si>
  <si>
    <t>TOTO Erg</t>
  </si>
  <si>
    <t>Team EW</t>
  </si>
  <si>
    <t>Fehlertyp</t>
  </si>
  <si>
    <t>Team EW geprüft</t>
  </si>
  <si>
    <t>TOTO inkl. EMW</t>
  </si>
  <si>
    <t>Sieger Fehler</t>
  </si>
  <si>
    <t>Sieger fehlt</t>
  </si>
  <si>
    <t>Real T1 abgeschl.</t>
  </si>
  <si>
    <t>Real T2 abgeschl.</t>
  </si>
  <si>
    <t>Real | Tipp</t>
  </si>
  <si>
    <t>TOTO Real</t>
  </si>
  <si>
    <t>Manuel</t>
  </si>
  <si>
    <t>COBO Sieger</t>
  </si>
  <si>
    <t>0/1/2/3/4</t>
  </si>
  <si>
    <t>1/0</t>
  </si>
  <si>
    <t>W/F</t>
  </si>
  <si>
    <t>29.06.</t>
  </si>
  <si>
    <t>30.06.</t>
  </si>
  <si>
    <t xml:space="preserve">  Viertelfinale</t>
  </si>
  <si>
    <t>Sieger AF</t>
  </si>
  <si>
    <t xml:space="preserve">  Finalspiele</t>
  </si>
  <si>
    <t>Sieger VF</t>
  </si>
  <si>
    <t>Sieger HF</t>
  </si>
  <si>
    <t>Fin.</t>
  </si>
  <si>
    <t>SIEGER HF 1</t>
  </si>
  <si>
    <t>SIEGER HF 2</t>
  </si>
  <si>
    <t>EM</t>
  </si>
  <si>
    <t>2.</t>
  </si>
  <si>
    <t>Abgabetermin</t>
  </si>
  <si>
    <t>Erg+ET</t>
  </si>
  <si>
    <t>Aktiv</t>
  </si>
  <si>
    <t>bisher</t>
  </si>
  <si>
    <t>neu</t>
  </si>
  <si>
    <t>VGL</t>
  </si>
  <si>
    <t>Idx</t>
  </si>
  <si>
    <t>neu korr</t>
  </si>
  <si>
    <t>EXTRATIPPS</t>
  </si>
  <si>
    <t>Mit Klick in die Tippzellen wird eine Auswahl der verfügbaren Tippabgaben angezeigt. Bei den farblich markierten Schätztipps kann eine Zahl zwischen 0 und 999 editiert werden.</t>
  </si>
  <si>
    <t>alle erlaubt</t>
  </si>
  <si>
    <t>LastMatch</t>
  </si>
  <si>
    <t>Bei Extratipps mit mehreren Tippabgaben (z. B. 4 Halbfinalisten) ist die Reihenfolge der Tipps beliebig.  GR = Gruppenrunde, EMS = Elfmeterschießen. Treffer im EMS zählen  NICHT für Gesamttrefferzahl und TSK.</t>
  </si>
  <si>
    <t>Manuell KO</t>
  </si>
  <si>
    <t>Korrigiert</t>
  </si>
  <si>
    <t>Die unter Vorhersage angegebenen Tipps können beim Importieren als gültige Tippabgabe für im Hauptprogramm fehlende Extratipps verwendet werden, wenn auch unter "Tippabgabe" der Eintrag fehlt.</t>
  </si>
  <si>
    <t>keine realen Erg</t>
  </si>
  <si>
    <t>Test</t>
  </si>
  <si>
    <t>Zeile von</t>
  </si>
  <si>
    <t>Zeile bis</t>
  </si>
  <si>
    <t>TEXT Neu Korr</t>
  </si>
  <si>
    <t>Leer</t>
  </si>
  <si>
    <t xml:space="preserve"> BESCHREIBUNG</t>
  </si>
  <si>
    <t>Slowenien</t>
  </si>
  <si>
    <t>Hinweise</t>
  </si>
  <si>
    <t xml:space="preserve">Verantwortlich:  </t>
  </si>
  <si>
    <t>Thomas Günther, Kassel</t>
  </si>
  <si>
    <t xml:space="preserve">Web:  </t>
  </si>
  <si>
    <t>Hinweise zur Nutzung des Tippformulars</t>
  </si>
  <si>
    <t>Dieses Tippformular kann über die gesamte Dauer des Turniers für die Tippabgabe verwendet werden.</t>
  </si>
  <si>
    <t>Es ist zu jedem Zeitpunkt und auch mehrfach während des Turniers möglich, die in einem Formular enthaltenen Tipps in eine Hauptprogrammdatei zu importieren.</t>
  </si>
  <si>
    <t>Der Inhalt des Formulars kann dabei über die Importfunktion der Hauptprogrammdatei komplett oder teilweise übertragen werden.</t>
  </si>
  <si>
    <t xml:space="preserve">Die Datei muss aus Kompatibilitätsgründen in einem Format für MS Excel gespeichert werden. </t>
  </si>
  <si>
    <t>Tippabgabe</t>
  </si>
  <si>
    <t>Wenn dort kein Name eingetragen wird, können aus dem Formular später keine Tipps importiert werden.</t>
  </si>
  <si>
    <t>Ergebnistipps</t>
  </si>
  <si>
    <t>Editieren Sie die Tipps in den dafür vorgesehenen Zellen links und rechts von den angezeigten Doppelpunkten. Geben Sie ausschließlich die Zahlenwerte und keine weiteren Trennzeichen ein.</t>
  </si>
  <si>
    <t>Falls es die Tippspielregeln vorsehen, kann für jede Tipprunde ein Jokerspiel in der mit  "J"  beschrifteten Spalte bestimmt werden.</t>
  </si>
  <si>
    <t>Beim Anklicken einer Jokerzelle wird eine Auswahl mit dem Kennzeichnungssysmbol für das gewählte Spiel angezeigt.</t>
  </si>
  <si>
    <t xml:space="preserve">Pro Tipprunde kann nur ein Joker gesetzt werden. Falls mehrere Jokerspiele benannt werden, wird beim späteren Importieren nur das erstgenannte Jokerspiel einer Tipprunde berücksichtigt. </t>
  </si>
  <si>
    <t>Fehler beim Setzen der Joker werden durch eine Rotfärbung der Zellen angezeigt.</t>
  </si>
  <si>
    <t>Optional wird statt eines individuellen Jokers die Paarung eines vorbestimmten Topteams automatisch als Jokerspiel bestimmt.</t>
  </si>
  <si>
    <t>Falls die Einsatzwette aktiviert wurde, wird die Wertigkeit eines Spiels durch die persönliche Festlegung des Einsatzes bestimmt.</t>
  </si>
  <si>
    <t>KO-Runde</t>
  </si>
  <si>
    <t xml:space="preserve">Ab der KO-Runde wird abhängig von den Tippspielregeln der Stand nach der regulären Spielzeit, der Stand inkl. einer möglichen Verlängerung oder der Stand inkl. evtl. Verlängerung </t>
  </si>
  <si>
    <t>und Elfmeterschießen für die Tippauswertung herangezogen. Dies ist bei der Tippabgabe zu beachten.</t>
  </si>
  <si>
    <t>Unter "Paarung"  KÖNNEN die zu tippenden Paarungen eingetragen werden, wenn NICHT Spielmodus 2 (s. u.) gespielt wird.. Für den späteren Importvorgang ist die Eingabe der Paarungen</t>
  </si>
  <si>
    <t xml:space="preserve">nicht zwingend erforderlich. Grundsätzlich werden alle Tipps  unabhänging von Eintragungen unter "Paarung" den Spielen zugeordnet, die unter "Spiel" angezeigt werden (AF1, VF1 usw.).  </t>
  </si>
  <si>
    <t>Die getippten bzw. realen Paarungen werden aus den vorliegenden Tipps/Resultaten ermittelt und in der Spalte "Real | Tipp" angezeigt. Für die korrekte Ermittlung der realen Paarungen</t>
  </si>
  <si>
    <t xml:space="preserve">müssen die tatsächlichen Spielergebnisse eingegeben (Reale Erg,) bzw. die Tabellen der Gruppenrunde unter "Man." editiert werden. </t>
  </si>
  <si>
    <t xml:space="preserve">Wenn es die Regeln erlauben, kann in der Spalte  "EW"  über die Elfmeterwette ein Elfmeterschießen vorhergesagt werden. Dabei darf in Abhängigkeit von den gewählten Regeln </t>
  </si>
  <si>
    <t>entweder nur das Elfmeterschießen selbst oder auch das siegreiche Team (T1, T2) getippt werden. Die Spielregeln lassen auch zu, dass die Elfmeterwette pauschal für jedes Spiel gesetzt wird.</t>
  </si>
  <si>
    <t>Eine fehlende oder fehlerhafte Elfmeterwette wird durch Färbung hervorgehoben.</t>
  </si>
  <si>
    <t>Unter "Sieger" kann bei einem Remis-Tipp das Team markiert werden, das die nächste Runde erreichen soll (T1, T2). Eine Rotfärbung zeigt an, dass diese Angabe erforderlich oder fehlerhaft ist.</t>
  </si>
  <si>
    <t xml:space="preserve">Aus programmiertechnischen Gründen werden bei der Auswahlmöglichkeit der Spalten "EW" und "Sieger" keine Nationen sondern lediglich die Optionen  'T1'  und  'T2'  angeboten. </t>
  </si>
  <si>
    <t xml:space="preserve"> T1 (= Team 1) steht dabei für die erstgenannte Mannschaft der zu tippenden Paarung, T2 (= Team 2) entsprechend für das zweitgenannte Team.</t>
  </si>
  <si>
    <t>Bei der Tippabgabe für die KO-Spiele werden 2 Varianten angeboten. Die Spielmodus wird im HAUPTPROGRAMM gewählt und kann im Formular nicht geändert werden.</t>
  </si>
  <si>
    <t>-  Die Tipps können kurzfristig abgegeben werden, wenn die tatsächlichen KO-Paarungen feststehen  -</t>
  </si>
  <si>
    <t>Maßgebend für die zu tippende Paarung ist daher die allgemeine Angabe (z.B. AF1, VF1)  in der Spalte "Spiel".</t>
  </si>
  <si>
    <t>Die Teamnamen der realen Paarung KÖNNEN editiert werden, jedoch hat dies keinen Einfluss auf das spätere Importieren der Tipps und die Tippauswertung.</t>
  </si>
  <si>
    <t xml:space="preserve">Ein automatisiertes Eintragen der Paarungen in diesen Zellen ist aus programmiertechnischen Gründen nicht möglich, die resultierenden Paarungen werden aber unter 'Real | Tipp" angezeigt, </t>
  </si>
  <si>
    <t xml:space="preserve">wenn die REALEN Resultate eingegeben oder die realen Tabellen manuell editiert werden. Für die Tippabgabe ist die Eingabe der realen Ergebnisse jedoch nicht zwingend erforderlich. </t>
  </si>
  <si>
    <t xml:space="preserve">Neben den realen Paarungen werden auch die aus den TIPPS resultierenden VORHERGESAGTEN Paarungen ermittelt. Beim sog.  'KOMPAKTFORMULAR" müssen die Tabellen manuell </t>
  </si>
  <si>
    <t>editert werden, damit die Achtelfinalbegegnungen korrekt angezeigt werden. Die Spalte "Real | Tipp der weiteren Runden (VF bis Finale) ergeben sich aus den Ergebnis-Tipps bzw. realen</t>
  </si>
  <si>
    <t>Ergebnissen, die für die jeweils vorherige KO-Runde eingegeben wurden.</t>
  </si>
  <si>
    <t>Tippspiel UEFA EM 2024 - Tippabgabeformular</t>
  </si>
  <si>
    <t>Sieger Gr. B</t>
  </si>
  <si>
    <t>Sieger Gr. A</t>
  </si>
  <si>
    <t>Sieger Gr. F</t>
  </si>
  <si>
    <t>Sieger Gr. E</t>
  </si>
  <si>
    <t>Sieger Gr. D</t>
  </si>
  <si>
    <t>Sieger Gr. C</t>
  </si>
  <si>
    <t>Albanien</t>
  </si>
  <si>
    <r>
      <t xml:space="preserve">  </t>
    </r>
    <r>
      <rPr>
        <b/>
        <i/>
        <sz val="9"/>
        <color indexed="63"/>
        <rFont val="Arial"/>
        <family val="2"/>
      </rPr>
      <t>Vorname Nachname</t>
    </r>
    <r>
      <rPr>
        <sz val="9"/>
        <color indexed="63"/>
        <rFont val="Arial"/>
        <family val="2"/>
      </rPr>
      <t xml:space="preserve">   OHNE  weitere Angabe  (z. B.    </t>
    </r>
    <r>
      <rPr>
        <b/>
        <sz val="9"/>
        <color indexed="63"/>
        <rFont val="Arial"/>
        <family val="2"/>
      </rPr>
      <t xml:space="preserve">Kai Haverts    </t>
    </r>
    <r>
      <rPr>
        <sz val="9"/>
        <color indexed="63"/>
        <rFont val="Arial"/>
        <family val="2"/>
      </rPr>
      <t>oder</t>
    </r>
    <r>
      <rPr>
        <b/>
        <sz val="9"/>
        <color indexed="63"/>
        <rFont val="Arial"/>
        <family val="2"/>
      </rPr>
      <t xml:space="preserve"> </t>
    </r>
    <r>
      <rPr>
        <sz val="9"/>
        <color indexed="63"/>
        <rFont val="Arial"/>
        <family val="2"/>
      </rPr>
      <t xml:space="preserve">bei Künstlernamen   </t>
    </r>
    <r>
      <rPr>
        <b/>
        <sz val="9"/>
        <color indexed="63"/>
        <rFont val="Arial"/>
        <family val="2"/>
      </rPr>
      <t>Rodrigo</t>
    </r>
    <r>
      <rPr>
        <sz val="9"/>
        <color indexed="63"/>
        <rFont val="Arial"/>
        <family val="2"/>
      </rPr>
      <t>).</t>
    </r>
  </si>
  <si>
    <t xml:space="preserve">Die offiziellen Kaderlisten können zusammen mit den Ergebnissen und Spieldaten über die Importfunktion des EM-Programms (Blatt 'EM 2024') importiert werden. </t>
  </si>
  <si>
    <t>Rumänien</t>
  </si>
  <si>
    <t>Gruppe</t>
  </si>
  <si>
    <t>Tippabgaben</t>
  </si>
  <si>
    <t>Anz TA</t>
  </si>
  <si>
    <t>ZP TA</t>
  </si>
  <si>
    <t>OK Tipp</t>
  </si>
  <si>
    <t>OK V</t>
  </si>
  <si>
    <t>Nachkomma</t>
  </si>
  <si>
    <t>Bewertung</t>
  </si>
  <si>
    <t>Wertungsergebnis</t>
  </si>
  <si>
    <t>Kategorien</t>
  </si>
  <si>
    <t>Wertungsidx</t>
  </si>
  <si>
    <t>GrSpt1</t>
  </si>
  <si>
    <t>GrSpt2</t>
  </si>
  <si>
    <t>GrSpt3</t>
  </si>
  <si>
    <t>Joker</t>
  </si>
  <si>
    <t>TD</t>
  </si>
  <si>
    <t>Remis</t>
  </si>
  <si>
    <t>T</t>
  </si>
  <si>
    <t>Gruppenrunden separat</t>
  </si>
  <si>
    <t>KORunden separat</t>
  </si>
  <si>
    <t>EJ</t>
  </si>
  <si>
    <t>HC an/aus</t>
  </si>
  <si>
    <t>DJ</t>
  </si>
  <si>
    <t>HC1 Dif &gt;=2</t>
  </si>
  <si>
    <t>RJ</t>
  </si>
  <si>
    <t>HC2 Dif. &gt;=3</t>
  </si>
  <si>
    <t>TJ</t>
  </si>
  <si>
    <t>EMW Modus</t>
  </si>
  <si>
    <t>FJ</t>
  </si>
  <si>
    <t>EMW+</t>
  </si>
  <si>
    <t>EMW-</t>
  </si>
  <si>
    <t>U</t>
  </si>
  <si>
    <t>EMW T+</t>
  </si>
  <si>
    <t>Topteam IDX</t>
  </si>
  <si>
    <t>EMW T-</t>
  </si>
  <si>
    <t>BoP KOTeams</t>
  </si>
  <si>
    <t>BoP KOPaarung</t>
  </si>
  <si>
    <t>BoP GR1</t>
  </si>
  <si>
    <t>BoP GR2</t>
  </si>
  <si>
    <t>BoP GR3</t>
  </si>
  <si>
    <t>BoP KO</t>
  </si>
  <si>
    <t>Tipps verstecken</t>
  </si>
  <si>
    <t>Sperre Sp. mit Erg</t>
  </si>
  <si>
    <t>Sperre Runden mit Erg.</t>
  </si>
  <si>
    <t>EMW pauschal</t>
  </si>
  <si>
    <t>EMW TESTEN</t>
  </si>
  <si>
    <t>Sieger+</t>
  </si>
  <si>
    <t>Sieger-</t>
  </si>
  <si>
    <t>minimale Punktzahl nach Punktabzügen</t>
  </si>
  <si>
    <t>Extratipps einrechnen</t>
  </si>
  <si>
    <t>Extratipps verstecken</t>
  </si>
  <si>
    <t>Letzte Seite</t>
  </si>
  <si>
    <t>Kriterien</t>
  </si>
  <si>
    <t>NamenGross</t>
  </si>
  <si>
    <t>Formular: Masterkennwort zeigt keine geschützten Tipps</t>
  </si>
  <si>
    <t>pers. KW zum Aufrufen des Formulars erlauben</t>
  </si>
  <si>
    <t>KW im System halten</t>
  </si>
  <si>
    <t>Formular: autom. ausloggen</t>
  </si>
  <si>
    <t>ET letzten Zeitpunkt ignorieren</t>
  </si>
  <si>
    <t>Nullwarnung Kat.</t>
  </si>
  <si>
    <t>Warnen vor ungesicherter Änderung von Tipps</t>
  </si>
  <si>
    <t>autom. speichern</t>
  </si>
  <si>
    <t>Spiele</t>
  </si>
  <si>
    <t>GR</t>
  </si>
  <si>
    <t>KO</t>
  </si>
  <si>
    <t>WertungsErg</t>
  </si>
  <si>
    <t>Auswagl ManTab</t>
  </si>
  <si>
    <t>Gruppen</t>
  </si>
  <si>
    <t>Alpha</t>
  </si>
  <si>
    <t>AlphaGruppen</t>
  </si>
  <si>
    <t>Formeln</t>
  </si>
  <si>
    <t>Kürzel</t>
  </si>
  <si>
    <t>Lidx-2-Alpha</t>
  </si>
  <si>
    <t>Alpha-2-Lidx</t>
  </si>
  <si>
    <t>AIDX</t>
  </si>
  <si>
    <t>Gruppennummer</t>
  </si>
  <si>
    <t>Orte kurz</t>
  </si>
  <si>
    <t>lang</t>
  </si>
  <si>
    <t>A1</t>
  </si>
  <si>
    <t>Türkei</t>
  </si>
  <si>
    <t>TUR</t>
  </si>
  <si>
    <t>Belgien</t>
  </si>
  <si>
    <t>BEL</t>
  </si>
  <si>
    <t>Italien</t>
  </si>
  <si>
    <t>A2</t>
  </si>
  <si>
    <t>ITA</t>
  </si>
  <si>
    <t>Dänemark</t>
  </si>
  <si>
    <t>DEN</t>
  </si>
  <si>
    <t>Schweiz</t>
  </si>
  <si>
    <t>A3</t>
  </si>
  <si>
    <t>Deutschland</t>
  </si>
  <si>
    <t>GER</t>
  </si>
  <si>
    <t>A4</t>
  </si>
  <si>
    <t>SUI</t>
  </si>
  <si>
    <t>England</t>
  </si>
  <si>
    <t>ENG</t>
  </si>
  <si>
    <t>B1</t>
  </si>
  <si>
    <t>FIN</t>
  </si>
  <si>
    <t>B2</t>
  </si>
  <si>
    <t>Frankreich</t>
  </si>
  <si>
    <t>FRA</t>
  </si>
  <si>
    <t>B3</t>
  </si>
  <si>
    <t>B4</t>
  </si>
  <si>
    <t>Kroatien</t>
  </si>
  <si>
    <t>CRO</t>
  </si>
  <si>
    <t>C1</t>
  </si>
  <si>
    <t>Niederlande</t>
  </si>
  <si>
    <t>NED</t>
  </si>
  <si>
    <t>C2</t>
  </si>
  <si>
    <t>Ukraine</t>
  </si>
  <si>
    <t>UKR</t>
  </si>
  <si>
    <t>Österreich</t>
  </si>
  <si>
    <t>AUT</t>
  </si>
  <si>
    <t>C3</t>
  </si>
  <si>
    <t>C4</t>
  </si>
  <si>
    <t>Polen</t>
  </si>
  <si>
    <t>POL</t>
  </si>
  <si>
    <t>Tschechien</t>
  </si>
  <si>
    <t>CZE</t>
  </si>
  <si>
    <t>Portugal</t>
  </si>
  <si>
    <t>POR</t>
  </si>
  <si>
    <t>E1</t>
  </si>
  <si>
    <t>Spanien</t>
  </si>
  <si>
    <t>ESP</t>
  </si>
  <si>
    <t>E2</t>
  </si>
  <si>
    <t>E3</t>
  </si>
  <si>
    <t>E4</t>
  </si>
  <si>
    <t>F1</t>
  </si>
  <si>
    <t>F2</t>
  </si>
  <si>
    <t>F3</t>
  </si>
  <si>
    <t>F4</t>
  </si>
  <si>
    <t>WERTE</t>
  </si>
  <si>
    <t>Ort</t>
  </si>
  <si>
    <t>Ort idx</t>
  </si>
  <si>
    <t>Rd</t>
  </si>
  <si>
    <t>Allg</t>
  </si>
  <si>
    <t>Tidx</t>
  </si>
  <si>
    <t>A5</t>
  </si>
  <si>
    <t>A6</t>
  </si>
  <si>
    <t>C5</t>
  </si>
  <si>
    <t>C6</t>
  </si>
  <si>
    <t>B5</t>
  </si>
  <si>
    <t>B6</t>
  </si>
  <si>
    <t>D5</t>
  </si>
  <si>
    <t>D6</t>
  </si>
  <si>
    <t>E5</t>
  </si>
  <si>
    <t>E6</t>
  </si>
  <si>
    <t>F5</t>
  </si>
  <si>
    <t>F6</t>
  </si>
  <si>
    <t>DEF</t>
  </si>
  <si>
    <t>ADEF</t>
  </si>
  <si>
    <t>ABC</t>
  </si>
  <si>
    <t>ABCD</t>
  </si>
  <si>
    <t>Index= Eintrag in der Liste aller Teams (lfd. Nr.)</t>
  </si>
  <si>
    <t>EDIT</t>
  </si>
  <si>
    <t>Nr = Nummer in der Gruppe</t>
  </si>
  <si>
    <t>Tabber</t>
  </si>
  <si>
    <t>Punkte</t>
  </si>
  <si>
    <t>Nr</t>
  </si>
  <si>
    <t>HT</t>
  </si>
  <si>
    <t>AT</t>
  </si>
  <si>
    <t>HT2</t>
  </si>
  <si>
    <t>ErgH</t>
  </si>
  <si>
    <t>ErgA</t>
  </si>
  <si>
    <t>ErgH2</t>
  </si>
  <si>
    <t>PH</t>
  </si>
  <si>
    <t>PA</t>
  </si>
  <si>
    <t>DifH</t>
  </si>
  <si>
    <t>DifA</t>
  </si>
  <si>
    <t>WertH</t>
  </si>
  <si>
    <t>WertA</t>
  </si>
  <si>
    <t>TeamIdx</t>
  </si>
  <si>
    <t>Treffer</t>
  </si>
  <si>
    <t>GTo</t>
  </si>
  <si>
    <t>Dif</t>
  </si>
  <si>
    <t>RangPkt</t>
  </si>
  <si>
    <t>Koeff</t>
  </si>
  <si>
    <t>Rang</t>
  </si>
  <si>
    <t>DV1</t>
  </si>
  <si>
    <t>TeamIndex</t>
  </si>
  <si>
    <t>RangPkt.</t>
  </si>
  <si>
    <t>DV2</t>
  </si>
  <si>
    <t>Diff</t>
  </si>
  <si>
    <t>Wertigkeit</t>
  </si>
  <si>
    <t>Faktor</t>
  </si>
  <si>
    <t>Faktoren</t>
  </si>
  <si>
    <t>Wert</t>
  </si>
  <si>
    <t>TD alle</t>
  </si>
  <si>
    <t>Tore alle</t>
  </si>
  <si>
    <t>EMS</t>
  </si>
  <si>
    <t>WAHR/FALSCH  für EMS  AN/AUS</t>
  </si>
  <si>
    <t>um Platz1</t>
  </si>
  <si>
    <t>um Platz2</t>
  </si>
  <si>
    <t>um Platz 3</t>
  </si>
  <si>
    <t>Anz. Teams</t>
  </si>
  <si>
    <t>Paarung</t>
  </si>
  <si>
    <t>Häufigkeit</t>
  </si>
  <si>
    <t>EMS OK</t>
  </si>
  <si>
    <t>Text</t>
  </si>
  <si>
    <t>Ergebnis EMS</t>
  </si>
  <si>
    <t>EMS-Pkt</t>
  </si>
  <si>
    <t>Rangpkt inkl. EMS und Koeff</t>
  </si>
  <si>
    <t>Nr.</t>
  </si>
  <si>
    <t>Rang korr</t>
  </si>
  <si>
    <t>berechnete oder manuelle Tabelle</t>
  </si>
  <si>
    <t>Tabelle</t>
  </si>
  <si>
    <t>Rang Eff</t>
  </si>
  <si>
    <t>Manuell</t>
  </si>
  <si>
    <t>Nr korr</t>
  </si>
  <si>
    <t>Sp</t>
  </si>
  <si>
    <t>T+</t>
  </si>
  <si>
    <t>T-</t>
  </si>
  <si>
    <t>N</t>
  </si>
  <si>
    <t>Tore KO</t>
  </si>
  <si>
    <t>Tore GES</t>
  </si>
  <si>
    <t>Rang eff</t>
  </si>
  <si>
    <t>GRIdx Manuell</t>
  </si>
  <si>
    <t>GRIdx</t>
  </si>
  <si>
    <t>sortiert</t>
  </si>
  <si>
    <t>GRuppe</t>
  </si>
  <si>
    <t>AF #</t>
  </si>
  <si>
    <t>Kombination Dritte</t>
  </si>
  <si>
    <t>ABCE</t>
  </si>
  <si>
    <t>ABCF</t>
  </si>
  <si>
    <t>ABDE</t>
  </si>
  <si>
    <t>ABDF</t>
  </si>
  <si>
    <t>ABEF</t>
  </si>
  <si>
    <t>ACDE</t>
  </si>
  <si>
    <t>ACDF</t>
  </si>
  <si>
    <t>ACEF</t>
  </si>
  <si>
    <t>BCDE</t>
  </si>
  <si>
    <t>BCDF</t>
  </si>
  <si>
    <t>BCEF</t>
  </si>
  <si>
    <t>BDEF</t>
  </si>
  <si>
    <t>CDEF</t>
  </si>
  <si>
    <t>in der Reihenfolge auf Erg von links nach rechts</t>
  </si>
  <si>
    <t>Teams TXT</t>
  </si>
  <si>
    <t>Beschriftung</t>
  </si>
  <si>
    <t>OK</t>
  </si>
  <si>
    <t>Bez.</t>
  </si>
  <si>
    <t>Index</t>
  </si>
  <si>
    <t>Allg.</t>
  </si>
  <si>
    <t>abgeschl.</t>
  </si>
  <si>
    <t>Dritter Gr. ADEF</t>
  </si>
  <si>
    <t>Zweiter Gr. C</t>
  </si>
  <si>
    <t>Dritter Gr. ABC</t>
  </si>
  <si>
    <t>Zweiter Gr. D</t>
  </si>
  <si>
    <t>Zweiter Gr. E</t>
  </si>
  <si>
    <t>Dritter Gr. ABCD</t>
  </si>
  <si>
    <t>Zweiter Gr. F</t>
  </si>
  <si>
    <t>Dritter Gr. DEF</t>
  </si>
  <si>
    <t>Zweiter Gr. A</t>
  </si>
  <si>
    <t>Zweiter Gr. B</t>
  </si>
  <si>
    <t>AutoTab</t>
  </si>
  <si>
    <t>IDX</t>
  </si>
  <si>
    <t>Spiele in der Gruppe</t>
  </si>
  <si>
    <t>Sieger von TA</t>
  </si>
  <si>
    <t>von TA</t>
  </si>
  <si>
    <t>Tore H</t>
  </si>
  <si>
    <t>Tore A</t>
  </si>
  <si>
    <t>Zuordnung</t>
  </si>
  <si>
    <t>SiegerTOTO</t>
  </si>
  <si>
    <t>VH1</t>
  </si>
  <si>
    <t>VH2</t>
  </si>
  <si>
    <t>maxT</t>
  </si>
  <si>
    <t>minT</t>
  </si>
  <si>
    <t>maxGT</t>
  </si>
  <si>
    <t>min GT</t>
  </si>
  <si>
    <t>Summe T GR</t>
  </si>
  <si>
    <t>Summe T KO</t>
  </si>
  <si>
    <t>GruIDX</t>
  </si>
  <si>
    <t>maxT GES</t>
  </si>
  <si>
    <t>besserer Rang = mehr Punkte</t>
  </si>
  <si>
    <t>Dritte Manuell</t>
  </si>
  <si>
    <t>AF # auf Erg</t>
  </si>
  <si>
    <t>AF in der Reihenfolge auf Erg von links nach rechts</t>
  </si>
  <si>
    <t>SiegerTOTO zugeordnetes Spiel</t>
  </si>
  <si>
    <r>
      <t xml:space="preserve">Das Programm unterscheidet zwischen </t>
    </r>
    <r>
      <rPr>
        <b/>
        <sz val="9"/>
        <color indexed="63"/>
        <rFont val="Arial"/>
        <family val="2"/>
      </rPr>
      <t>Ergebnistipps</t>
    </r>
    <r>
      <rPr>
        <sz val="9"/>
        <color indexed="63"/>
        <rFont val="Arial"/>
        <family val="2"/>
      </rPr>
      <t xml:space="preserve"> und</t>
    </r>
    <r>
      <rPr>
        <b/>
        <sz val="9"/>
        <color indexed="63"/>
        <rFont val="Arial"/>
        <family val="2"/>
      </rPr>
      <t xml:space="preserve"> Extratipps</t>
    </r>
    <r>
      <rPr>
        <sz val="9"/>
        <color indexed="63"/>
        <rFont val="Arial"/>
        <family val="2"/>
      </rPr>
      <t>.</t>
    </r>
  </si>
  <si>
    <r>
      <t xml:space="preserve">Alle Tipps werden auf dem Tabellenblatt  </t>
    </r>
    <r>
      <rPr>
        <b/>
        <sz val="9"/>
        <color indexed="63"/>
        <rFont val="Arial"/>
        <family val="2"/>
      </rPr>
      <t>TIPPABGABE</t>
    </r>
    <r>
      <rPr>
        <sz val="9"/>
        <color indexed="63"/>
        <rFont val="Arial"/>
        <family val="2"/>
      </rPr>
      <t xml:space="preserve">  abgegeben. Extratipps sind optional und werden eventuell nicht angezeigt.</t>
    </r>
  </si>
  <si>
    <r>
      <t xml:space="preserve">Der Name des Tippers kann auf dem Blatt  </t>
    </r>
    <r>
      <rPr>
        <b/>
        <sz val="9"/>
        <color indexed="18"/>
        <rFont val="Arial"/>
        <family val="2"/>
      </rPr>
      <t>TIPPABGABE</t>
    </r>
    <r>
      <rPr>
        <sz val="9"/>
        <color indexed="18"/>
        <rFont val="Arial"/>
        <family val="2"/>
      </rPr>
      <t xml:space="preserve">  in der entsprechend markierten Zelle editiert werden.</t>
    </r>
  </si>
  <si>
    <r>
      <t xml:space="preserve">Ein abgegebener Tipp wird  - unabhängig davon, zu welchem Zeitpunkt er abgegeben wurde -  grundsätzlich auf die  </t>
    </r>
    <r>
      <rPr>
        <u/>
        <sz val="9"/>
        <color indexed="63"/>
        <rFont val="Arial"/>
        <family val="2"/>
      </rPr>
      <t xml:space="preserve">real </t>
    </r>
    <r>
      <rPr>
        <sz val="9"/>
        <color indexed="63"/>
        <rFont val="Arial"/>
        <family val="2"/>
      </rPr>
      <t xml:space="preserve"> stattfindende Paarung bezogen. </t>
    </r>
  </si>
  <si>
    <r>
      <t xml:space="preserve">Die Spalte  </t>
    </r>
    <r>
      <rPr>
        <b/>
        <sz val="9"/>
        <color indexed="63"/>
        <rFont val="Arial"/>
        <family val="2"/>
      </rPr>
      <t>S</t>
    </r>
    <r>
      <rPr>
        <sz val="9"/>
        <color indexed="63"/>
        <rFont val="Arial"/>
        <family val="2"/>
      </rPr>
      <t xml:space="preserve">  für  "SIEGER" muss bei dieser Spielvariante nur ausgefüllt werden, wenn aus dem Tipp der Sieger einer Paarung nicht zu ermitteln ist und gleichzeitig die korrekte</t>
    </r>
  </si>
  <si>
    <r>
      <t xml:space="preserve">Bei dieser Variante sollen  </t>
    </r>
    <r>
      <rPr>
        <b/>
        <sz val="9"/>
        <color indexed="63"/>
        <rFont val="Arial"/>
        <family val="2"/>
      </rPr>
      <t xml:space="preserve">ALLE </t>
    </r>
    <r>
      <rPr>
        <sz val="9"/>
        <color indexed="63"/>
        <rFont val="Arial"/>
        <family val="2"/>
      </rPr>
      <t xml:space="preserve"> Tipps bereits  </t>
    </r>
    <r>
      <rPr>
        <b/>
        <sz val="9"/>
        <color indexed="63"/>
        <rFont val="Arial"/>
        <family val="2"/>
      </rPr>
      <t xml:space="preserve">VOR </t>
    </r>
    <r>
      <rPr>
        <sz val="9"/>
        <color indexed="63"/>
        <rFont val="Arial"/>
        <family val="2"/>
      </rPr>
      <t xml:space="preserve"> dem Turnier abgegeben werden. </t>
    </r>
  </si>
  <si>
    <r>
      <t xml:space="preserve">Ein Eintrag unter </t>
    </r>
    <r>
      <rPr>
        <sz val="9"/>
        <color indexed="63"/>
        <rFont val="Arial"/>
        <family val="2"/>
      </rPr>
      <t>"SIEGER" ist nur maßgebend, wenn weder der Ergebnistipp noch eine evtl. Elfmeterwette den Sieger einer Paarung bestimmen.</t>
    </r>
  </si>
  <si>
    <r>
      <t xml:space="preserve">  Spalte 'Sieger': Sieger einer KO-Paarung benennen. Die Spalte wird </t>
    </r>
    <r>
      <rPr>
        <i/>
        <sz val="8"/>
        <color indexed="14"/>
        <rFont val="Arial"/>
        <family val="2"/>
      </rPr>
      <t>markiert,</t>
    </r>
    <r>
      <rPr>
        <i/>
        <sz val="8"/>
        <color indexed="63"/>
        <rFont val="Arial"/>
        <family val="2"/>
      </rPr>
      <t xml:space="preserve"> wenn aus dem Tipp inkl. Elfmeterwette der Sieger nicht zu ermitteln ist, dieser aber zwingend benötigt wird.</t>
    </r>
  </si>
  <si>
    <r>
      <t>ˣ</t>
    </r>
    <r>
      <rPr>
        <i/>
        <sz val="8"/>
        <color indexed="16"/>
        <rFont val="Arial"/>
        <family val="2"/>
      </rPr>
      <t xml:space="preserve"> : Spiel / Extratipp wurde für die Tippabgabe gesperrt. </t>
    </r>
    <r>
      <rPr>
        <i/>
        <sz val="8"/>
        <color indexed="53"/>
        <rFont val="Arial"/>
        <family val="2"/>
      </rPr>
      <t xml:space="preserve"> </t>
    </r>
    <r>
      <rPr>
        <i/>
        <sz val="8"/>
        <color indexed="63"/>
        <rFont val="Arial"/>
        <family val="2"/>
      </rPr>
      <t xml:space="preserve">     Eine</t>
    </r>
    <r>
      <rPr>
        <b/>
        <sz val="8"/>
        <color indexed="10"/>
        <rFont val="Arial"/>
        <family val="2"/>
      </rPr>
      <t xml:space="preserve"> ROT-Färbung</t>
    </r>
    <r>
      <rPr>
        <i/>
        <sz val="8"/>
        <color indexed="63"/>
        <rFont val="Arial"/>
        <family val="2"/>
      </rPr>
      <t xml:space="preserve"> zeigt einen Fehler bei der Tippabgabe an.      Klick in die grünen Zellen für weitere Hinweise.</t>
    </r>
  </si>
  <si>
    <t>Bei den realen Ergebissen ALLE Treffer eingeben</t>
  </si>
  <si>
    <t>tabbermsp</t>
  </si>
  <si>
    <t>tabber</t>
  </si>
  <si>
    <t>Reales Ergebnis  und  Bemerkung</t>
  </si>
  <si>
    <t>ALLE ALPHA</t>
  </si>
  <si>
    <t>ALLE GRU</t>
  </si>
  <si>
    <t>Doppelte Einträge</t>
  </si>
  <si>
    <t>VglT1</t>
  </si>
  <si>
    <t>VglT2</t>
  </si>
  <si>
    <t>Für Hinweise in die Zellen mit den Fragezeichen klicken</t>
  </si>
  <si>
    <t>TANr</t>
  </si>
  <si>
    <t>Paarung Nr TA</t>
  </si>
  <si>
    <t>Halbfinale 2</t>
  </si>
  <si>
    <t>SCHOTTLAND (SCO)</t>
  </si>
  <si>
    <t>SLOWAKEI (SVK)</t>
  </si>
  <si>
    <t>UNGARN (HUN)</t>
  </si>
  <si>
    <t>SCHOTTLAND</t>
  </si>
  <si>
    <t>SLOWAKEI</t>
  </si>
  <si>
    <t>UNGARN</t>
  </si>
  <si>
    <t>Schottland</t>
  </si>
  <si>
    <t>SCO</t>
  </si>
  <si>
    <t>Slowakei</t>
  </si>
  <si>
    <t>SVK</t>
  </si>
  <si>
    <t>Ungarn</t>
  </si>
  <si>
    <t>Tipp Sieger -1/0/1/2</t>
  </si>
  <si>
    <t>37-52 KOT1 1-24 Man. Tab; 25-28 Man. Dritte</t>
  </si>
  <si>
    <t>37-52 KOT2 1-24 TipTab</t>
  </si>
  <si>
    <t>37-51 Getippter SiegerTIDX Tipps -1/&gt;0</t>
  </si>
  <si>
    <t>37-51 Getippter Sieger TIDX reale Spiele -1/&gt;0</t>
  </si>
  <si>
    <t>TOTO -1/1/0/2</t>
  </si>
  <si>
    <t>BoPkt KOPaarung</t>
  </si>
  <si>
    <t>Erg.: BELGIEN (BEL)</t>
  </si>
  <si>
    <t>Erg.: DÄNEMARK (DEN)</t>
  </si>
  <si>
    <t>Erg.: DEUTSCHLAND (GER)</t>
  </si>
  <si>
    <t>Erg.: ENGLAND (ENG)</t>
  </si>
  <si>
    <t>Erg.: FRANKREICH (FRA)</t>
  </si>
  <si>
    <t>Erg.: ITALIEN (ITA)</t>
  </si>
  <si>
    <t>Erg.: KROATIEN (CRO)</t>
  </si>
  <si>
    <t>Erg.: NIEDERLANDE (NED)</t>
  </si>
  <si>
    <t>Erg.: ÖSTERREICH (AUT)</t>
  </si>
  <si>
    <t>Erg.: POLEN (POL)</t>
  </si>
  <si>
    <t>Erg.: PORTUGAL (POR)</t>
  </si>
  <si>
    <t>Erg.: SCHOTTLAND (SCO)</t>
  </si>
  <si>
    <t>Erg.: SCHWEIZ (SUI)</t>
  </si>
  <si>
    <t>Erg.: SLOWAKEI (SVK)</t>
  </si>
  <si>
    <t>Erg.: SPANIEN (ESP)</t>
  </si>
  <si>
    <t>Erg.: TSCHECHIEN (CZE)</t>
  </si>
  <si>
    <t>Erg.: TÜRKEI (TUR)</t>
  </si>
  <si>
    <t>Erg.: UKRAINE (UKR)</t>
  </si>
  <si>
    <t>Erg.: UNGARN (HUN)</t>
  </si>
  <si>
    <t>TA-Nr</t>
  </si>
  <si>
    <t>Italien (ITA)</t>
  </si>
  <si>
    <t>Schweiz (SUI)</t>
  </si>
  <si>
    <t>Kroatien (CRO)</t>
  </si>
  <si>
    <t>Ergebnis: Albanien (ALB)</t>
  </si>
  <si>
    <t>Ergebnis: Belgien (BEL)</t>
  </si>
  <si>
    <t>Ergebnis: Dänemark (DEN)</t>
  </si>
  <si>
    <t>Ergebnis: Deutschland (GER)</t>
  </si>
  <si>
    <t>Ergebnis: England (ENG)</t>
  </si>
  <si>
    <t>Ergebnis: Frankreich (FRA)</t>
  </si>
  <si>
    <t>Ergebnis: Georgien (GEO)</t>
  </si>
  <si>
    <t>Ergebnis: Italien (ITA)</t>
  </si>
  <si>
    <t>Ergebnis: Kroatien (CRO)</t>
  </si>
  <si>
    <t>Ergebnis: Niederlande (NED)</t>
  </si>
  <si>
    <t>Ergebnis: Österreich (AUT)</t>
  </si>
  <si>
    <t>Ergebnis: Polen (POL)</t>
  </si>
  <si>
    <t>Ergebnis: Portugal (POR)</t>
  </si>
  <si>
    <t>Ergebnis: Rumänien (ROM)</t>
  </si>
  <si>
    <t>Ergebnis: Schottland (SCO)</t>
  </si>
  <si>
    <t>Ergebnis: Schweiz (SUI)</t>
  </si>
  <si>
    <t>Ergebnis: Serbien (SRB)</t>
  </si>
  <si>
    <t>Ergebnis: Slowakei (SVK)</t>
  </si>
  <si>
    <t>Ergebnis: Slowenien (SLO)</t>
  </si>
  <si>
    <t>Ergebnis: Spanien (ESP)</t>
  </si>
  <si>
    <t>Ergebnis: Tschechien (CZE)</t>
  </si>
  <si>
    <t>Ergebnis: Türkei (TUR)</t>
  </si>
  <si>
    <t>Ergebnis: Ukraine (UKR)</t>
  </si>
  <si>
    <t>Ergebnis: Ungarn (HUN)</t>
  </si>
  <si>
    <t>MÜNCHEN</t>
  </si>
  <si>
    <t>KÖLN</t>
  </si>
  <si>
    <t>BERLIN</t>
  </si>
  <si>
    <t>DORTMUND</t>
  </si>
  <si>
    <t>HAMBURG</t>
  </si>
  <si>
    <t>STUTTGART</t>
  </si>
  <si>
    <t>GELSENKIRCHEN</t>
  </si>
  <si>
    <t>FRANKFURT</t>
  </si>
  <si>
    <t>DÜSSELDORF</t>
  </si>
  <si>
    <t>LEIPZIG</t>
  </si>
  <si>
    <t>15 Pkt.</t>
  </si>
  <si>
    <t>10 Pkt.</t>
  </si>
  <si>
    <t>5 Pkt.</t>
  </si>
  <si>
    <t>Asllani</t>
  </si>
  <si>
    <t>[ ALB ] KRISTJAN ASLLANI</t>
  </si>
  <si>
    <t>KRISTJAN ASLLANI</t>
  </si>
  <si>
    <t>Kristjan Asllani</t>
  </si>
  <si>
    <t>Bajrami</t>
  </si>
  <si>
    <t>[ ALB ] NEDIM BAJRAMI</t>
  </si>
  <si>
    <t>NEDIM BAJRAMI</t>
  </si>
  <si>
    <t>Nedim Bajrami</t>
  </si>
  <si>
    <t>Balliu</t>
  </si>
  <si>
    <t>[ ALB ] IVÁN BALLIU</t>
  </si>
  <si>
    <t>IVÁN BALLIU</t>
  </si>
  <si>
    <t>Iván Balliu</t>
  </si>
  <si>
    <t>Berisha</t>
  </si>
  <si>
    <t>[ ALB ] ETRIT BERISHA</t>
  </si>
  <si>
    <t>ETRIT BERISHA</t>
  </si>
  <si>
    <t>Etrit Berisha</t>
  </si>
  <si>
    <t>[ ALB ] MEDON BERISHA</t>
  </si>
  <si>
    <t>MEDON BERISHA</t>
  </si>
  <si>
    <t>Medon Berisha</t>
  </si>
  <si>
    <t>Broja</t>
  </si>
  <si>
    <t>[ ALB ] ARMANDO BROJA</t>
  </si>
  <si>
    <t>ARMANDO BROJA</t>
  </si>
  <si>
    <t>Armando Broja</t>
  </si>
  <si>
    <t>Daku</t>
  </si>
  <si>
    <t>[ ALB ] MIRLIND DAKU</t>
  </si>
  <si>
    <t>MIRLIND DAKU</t>
  </si>
  <si>
    <t>Mirlind Daku</t>
  </si>
  <si>
    <t>Djimsiti</t>
  </si>
  <si>
    <t>[ ALB ] BERAT DJIMSITI</t>
  </si>
  <si>
    <t>BERAT DJIMSITI</t>
  </si>
  <si>
    <t>Berat Djimsiti</t>
  </si>
  <si>
    <t>Gjasula</t>
  </si>
  <si>
    <t>[ ALB ] KLAUS GJASULA</t>
  </si>
  <si>
    <t>KLAUS GJASULA</t>
  </si>
  <si>
    <t>Klaus Gjasula</t>
  </si>
  <si>
    <t>Hoxha</t>
  </si>
  <si>
    <t>[ ALB ] ARBËR HOXHA</t>
  </si>
  <si>
    <t>ARBËR HOXHA</t>
  </si>
  <si>
    <t>Arbër Hoxha</t>
  </si>
  <si>
    <t>Hysaj</t>
  </si>
  <si>
    <t>[ ALB ] ELSEID HYSAJ</t>
  </si>
  <si>
    <t>ELSEID HYSAJ</t>
  </si>
  <si>
    <t>Elseid Hysaj</t>
  </si>
  <si>
    <t>Ismajli</t>
  </si>
  <si>
    <t>[ ALB ] ARDIAN ISMAJLI</t>
  </si>
  <si>
    <t>ARDIAN ISMAJLI</t>
  </si>
  <si>
    <t>Ardian Ismajli</t>
  </si>
  <si>
    <t>Kastrati</t>
  </si>
  <si>
    <t>[ ALB ] ELHAN KASTRATI</t>
  </si>
  <si>
    <t>ELHAN KASTRATI</t>
  </si>
  <si>
    <t>Elhan Kastrati</t>
  </si>
  <si>
    <t>Kumbulla</t>
  </si>
  <si>
    <t>[ ALB ] MARASH KUMBULLA</t>
  </si>
  <si>
    <t>MARASH KUMBULLA</t>
  </si>
  <si>
    <t>Marash Kumbulla</t>
  </si>
  <si>
    <t>Laçi</t>
  </si>
  <si>
    <t>[ ALB ] QAZIM LAÇI</t>
  </si>
  <si>
    <t>QAZIM LAÇI</t>
  </si>
  <si>
    <t>Qazim Laçi</t>
  </si>
  <si>
    <t>Manaj</t>
  </si>
  <si>
    <t>[ ALB ] REY MANAJ</t>
  </si>
  <si>
    <t>REY MANAJ</t>
  </si>
  <si>
    <t>Rey Manaj</t>
  </si>
  <si>
    <t>Mihaj</t>
  </si>
  <si>
    <t>[ ALB ] ENEA MIHAJ</t>
  </si>
  <si>
    <t>ENEA MIHAJ</t>
  </si>
  <si>
    <t>Enea Mihaj</t>
  </si>
  <si>
    <t>Mitaj</t>
  </si>
  <si>
    <t>[ ALB ] MARIO MITAJ</t>
  </si>
  <si>
    <t>MARIO MITAJ</t>
  </si>
  <si>
    <t>Mario Mitaj</t>
  </si>
  <si>
    <t>Muçi</t>
  </si>
  <si>
    <t>[ ALB ] ERNEST MUÇI</t>
  </si>
  <si>
    <t>ERNEST MUÇI</t>
  </si>
  <si>
    <t>Ernest Muçi</t>
  </si>
  <si>
    <t>Ramadani</t>
  </si>
  <si>
    <t>[ ALB ] YLBER RAMADANI</t>
  </si>
  <si>
    <t>YLBER RAMADANI</t>
  </si>
  <si>
    <t>Ylber Ramadani</t>
  </si>
  <si>
    <t>Seferi</t>
  </si>
  <si>
    <t>[ ALB ] TAULANT SEFERI</t>
  </si>
  <si>
    <t>TAULANT SEFERI</t>
  </si>
  <si>
    <t>Taulant Seferi</t>
  </si>
  <si>
    <t>Strakosha</t>
  </si>
  <si>
    <t>[ ALB ] THOMAS STRAKOSHA</t>
  </si>
  <si>
    <t>THOMAS STRAKOSHA</t>
  </si>
  <si>
    <t>Thomas Strakosha</t>
  </si>
  <si>
    <t>Bakayoko</t>
  </si>
  <si>
    <t>[ BEL ] JOHAN BAKAYOKO</t>
  </si>
  <si>
    <t>JOHAN BAKAYOKO</t>
  </si>
  <si>
    <t>Johan Bakayoko</t>
  </si>
  <si>
    <t>Carrasco</t>
  </si>
  <si>
    <t>[ BEL ] YANNICK CARRASCO</t>
  </si>
  <si>
    <t>YANNICK CARRASCO</t>
  </si>
  <si>
    <t>Yannick Carrasco</t>
  </si>
  <si>
    <t>Castagne</t>
  </si>
  <si>
    <t>[ BEL ] TIMOTHY CASTAGNE</t>
  </si>
  <si>
    <t>TIMOTHY CASTAGNE</t>
  </si>
  <si>
    <t>Timothy Castagne</t>
  </si>
  <si>
    <t>Casteels</t>
  </si>
  <si>
    <t>[ BEL ] KOEN CASTEELS</t>
  </si>
  <si>
    <t>KOEN CASTEELS</t>
  </si>
  <si>
    <t>Koen Casteels</t>
  </si>
  <si>
    <t>De Bruyne</t>
  </si>
  <si>
    <t>[ BEL ] KEVIN DE BRUYNE</t>
  </si>
  <si>
    <t>KEVIN DE BRUYNE</t>
  </si>
  <si>
    <t>Kevin De Bruyne</t>
  </si>
  <si>
    <t>De Cuyper</t>
  </si>
  <si>
    <t>[ BEL ] MAXIM DE CUYPER</t>
  </si>
  <si>
    <t>MAXIM DE CUYPER</t>
  </si>
  <si>
    <t>Maxim De Cuyper</t>
  </si>
  <si>
    <t>De Ketelaere</t>
  </si>
  <si>
    <t>[ BEL ] CHARLES DE KETELAERE</t>
  </si>
  <si>
    <t>CHARLES DE KETELAERE</t>
  </si>
  <si>
    <t>Charles De Ketelaere</t>
  </si>
  <si>
    <t>Debast</t>
  </si>
  <si>
    <t>[ BEL ] ZENO DEBAST</t>
  </si>
  <si>
    <t>ZENO DEBAST</t>
  </si>
  <si>
    <t>Zeno Debast</t>
  </si>
  <si>
    <t>Doku</t>
  </si>
  <si>
    <t>[ BEL ] JÉRÉMY DOKU</t>
  </si>
  <si>
    <t>JÉRÉMY DOKU</t>
  </si>
  <si>
    <t>Jérémy Doku</t>
  </si>
  <si>
    <t>Faes</t>
  </si>
  <si>
    <t>[ BEL ] WOUT FAES</t>
  </si>
  <si>
    <t>WOUT FAES</t>
  </si>
  <si>
    <t>Wout Faes</t>
  </si>
  <si>
    <t>Kaminski</t>
  </si>
  <si>
    <t>[ BEL ] THOMAS KAMINSKI</t>
  </si>
  <si>
    <t>THOMAS KAMINSKI</t>
  </si>
  <si>
    <t>Thomas Kaminski</t>
  </si>
  <si>
    <t>Lukaku</t>
  </si>
  <si>
    <t>[ BEL ] ROMELU LUKAKU</t>
  </si>
  <si>
    <t>ROMELU LUKAKU</t>
  </si>
  <si>
    <t>Romelu Lukaku</t>
  </si>
  <si>
    <t>Lukébakio</t>
  </si>
  <si>
    <t>[ BEL ] DODI LUKÉBAKIO</t>
  </si>
  <si>
    <t>DODI LUKÉBAKIO</t>
  </si>
  <si>
    <t>Dodi Lukébakio</t>
  </si>
  <si>
    <t>Mangala</t>
  </si>
  <si>
    <t>[ BEL ] OREL MANGALA</t>
  </si>
  <si>
    <t>OREL MANGALA</t>
  </si>
  <si>
    <t>Orel Mangala</t>
  </si>
  <si>
    <t>Meunier</t>
  </si>
  <si>
    <t>[ BEL ] THOMAS MEUNIER</t>
  </si>
  <si>
    <t>THOMAS MEUNIER</t>
  </si>
  <si>
    <t>Thomas Meunier</t>
  </si>
  <si>
    <t>Onana</t>
  </si>
  <si>
    <t>[ BEL ] AMADOU ONANA</t>
  </si>
  <si>
    <t>AMADOU ONANA</t>
  </si>
  <si>
    <t>Amadou Onana</t>
  </si>
  <si>
    <t>Openda</t>
  </si>
  <si>
    <t>[ BEL ] LOÏS OPENDA</t>
  </si>
  <si>
    <t>LOÏS OPENDA</t>
  </si>
  <si>
    <t>Loïs Openda</t>
  </si>
  <si>
    <t>Sels</t>
  </si>
  <si>
    <t>[ BEL ] MATZ SELS</t>
  </si>
  <si>
    <t>MATZ SELS</t>
  </si>
  <si>
    <t>Matz Sels</t>
  </si>
  <si>
    <t>Theate</t>
  </si>
  <si>
    <t>[ BEL ] ARTHUR THEATE</t>
  </si>
  <si>
    <t>ARTHUR THEATE</t>
  </si>
  <si>
    <t>Arthur Theate</t>
  </si>
  <si>
    <t>Tielemans</t>
  </si>
  <si>
    <t>[ BEL ] YOURI TIELEMANS</t>
  </si>
  <si>
    <t>YOURI TIELEMANS</t>
  </si>
  <si>
    <t>Youri Tielemans</t>
  </si>
  <si>
    <t>Trossard</t>
  </si>
  <si>
    <t>[ BEL ] LEANDRO TROSSARD</t>
  </si>
  <si>
    <t>LEANDRO TROSSARD</t>
  </si>
  <si>
    <t>Leandro Trossard</t>
  </si>
  <si>
    <t>Vermeeren</t>
  </si>
  <si>
    <t>[ BEL ] ARTHUR VERMEEREN</t>
  </si>
  <si>
    <t>ARTHUR VERMEEREN</t>
  </si>
  <si>
    <t>Arthur Vermeeren</t>
  </si>
  <si>
    <t>Vertonghen</t>
  </si>
  <si>
    <t>[ BEL ] JAN VERTONGHEN</t>
  </si>
  <si>
    <t>JAN VERTONGHEN</t>
  </si>
  <si>
    <t>Jan Vertonghen</t>
  </si>
  <si>
    <t>Vranckx</t>
  </si>
  <si>
    <t>[ BEL ] ASTER VRANCKX</t>
  </si>
  <si>
    <t>ASTER VRANCKX</t>
  </si>
  <si>
    <t>Aster Vranckx</t>
  </si>
  <si>
    <t>Witsel</t>
  </si>
  <si>
    <t>[ BEL ] AXEL WITSEL</t>
  </si>
  <si>
    <t>AXEL WITSEL</t>
  </si>
  <si>
    <t>Axel Witsel</t>
  </si>
  <si>
    <t>Andersen</t>
  </si>
  <si>
    <t>[ DEN ] JOACHIM ANDERSEN</t>
  </si>
  <si>
    <t>JOACHIM ANDERSEN</t>
  </si>
  <si>
    <t>Joachim Andersen</t>
  </si>
  <si>
    <t>Bah</t>
  </si>
  <si>
    <t>[ DEN ] ALEXANDER BAH</t>
  </si>
  <si>
    <t>ALEXANDER BAH</t>
  </si>
  <si>
    <t>Alexander Bah</t>
  </si>
  <si>
    <t>Bruun Larsen</t>
  </si>
  <si>
    <t>[ DEN ] JACOB BRUUN LARSEN</t>
  </si>
  <si>
    <t>JACOB BRUUN LARSEN</t>
  </si>
  <si>
    <t>Jacob Bruun Larsen</t>
  </si>
  <si>
    <t>Christensen</t>
  </si>
  <si>
    <t>[ DEN ] ANDREAS CHRISTENSEN</t>
  </si>
  <si>
    <t>ANDREAS CHRISTENSEN</t>
  </si>
  <si>
    <t>Andreas Christensen</t>
  </si>
  <si>
    <t>Damsgaard</t>
  </si>
  <si>
    <t>[ DEN ] MIKKEL DAMSGAARD</t>
  </si>
  <si>
    <t>MIKKEL DAMSGAARD</t>
  </si>
  <si>
    <t>Mikkel Damsgaard</t>
  </si>
  <si>
    <t>Delaney</t>
  </si>
  <si>
    <t>[ DEN ] THOMAS DELANEY</t>
  </si>
  <si>
    <t>THOMAS DELANEY</t>
  </si>
  <si>
    <t>Thomas Delaney</t>
  </si>
  <si>
    <t>Dolberg</t>
  </si>
  <si>
    <t>[ DEN ] KASPER DOLBERG</t>
  </si>
  <si>
    <t>KASPER DOLBERG</t>
  </si>
  <si>
    <t>Kasper Dolberg</t>
  </si>
  <si>
    <t>Dreyer</t>
  </si>
  <si>
    <t>[ DEN ] ANDERS DREYER</t>
  </si>
  <si>
    <t>ANDERS DREYER</t>
  </si>
  <si>
    <t>Anders Dreyer</t>
  </si>
  <si>
    <t>Eriksen</t>
  </si>
  <si>
    <t>[ DEN ] CHRISTIAN ERIKSEN</t>
  </si>
  <si>
    <t>CHRISTIAN ERIKSEN</t>
  </si>
  <si>
    <t>Christian Eriksen</t>
  </si>
  <si>
    <t>Hermansen</t>
  </si>
  <si>
    <t>[ DEN ] MADS HERMANSEN</t>
  </si>
  <si>
    <t>MADS HERMANSEN</t>
  </si>
  <si>
    <t>Mads Hermansen</t>
  </si>
  <si>
    <t>Hjulmand</t>
  </si>
  <si>
    <t>[ DEN ] MORTEN HJULMAND</t>
  </si>
  <si>
    <t>MORTEN HJULMAND</t>
  </si>
  <si>
    <t>Morten Hjulmand</t>
  </si>
  <si>
    <t>Højbjerg</t>
  </si>
  <si>
    <t>[ DEN ] PIERRE-EMILE HØJBJERG</t>
  </si>
  <si>
    <t>PIERRE-EMILE HØJBJERG</t>
  </si>
  <si>
    <t>Pierre-Emile Højbjerg</t>
  </si>
  <si>
    <t>Højlund</t>
  </si>
  <si>
    <t>[ DEN ] RASMUS HØJLUND</t>
  </si>
  <si>
    <t>RASMUS HØJLUND</t>
  </si>
  <si>
    <t>Rasmus Højlund</t>
  </si>
  <si>
    <t>Jensen</t>
  </si>
  <si>
    <t>[ DEN ] MATHIAS JENSEN</t>
  </si>
  <si>
    <t>MATHIAS JENSEN</t>
  </si>
  <si>
    <t>Mathias Jensen</t>
  </si>
  <si>
    <t>Jørgensen</t>
  </si>
  <si>
    <t>[ DEN ] MATHIAS JØRGENSEN</t>
  </si>
  <si>
    <t>MATHIAS JØRGENSEN</t>
  </si>
  <si>
    <t>Mathias Jørgensen</t>
  </si>
  <si>
    <t>Kjær</t>
  </si>
  <si>
    <t>[ DEN ] SIMON KJÆR</t>
  </si>
  <si>
    <t>SIMON KJÆR</t>
  </si>
  <si>
    <t>Simon Kjær</t>
  </si>
  <si>
    <t>Kristensen</t>
  </si>
  <si>
    <t>[ DEN ] RASMUS KRISTENSEN</t>
  </si>
  <si>
    <t>RASMUS KRISTENSEN</t>
  </si>
  <si>
    <t>Rasmus Kristensen</t>
  </si>
  <si>
    <t>Kristiansen</t>
  </si>
  <si>
    <t>[ DEN ] VICTOR KRISTIANSEN</t>
  </si>
  <si>
    <t>VICTOR KRISTIANSEN</t>
  </si>
  <si>
    <t>Victor Kristiansen</t>
  </si>
  <si>
    <t>Mæhle</t>
  </si>
  <si>
    <t>[ DEN ] JOAKIM MÆHLE</t>
  </si>
  <si>
    <t>JOAKIM MÆHLE</t>
  </si>
  <si>
    <t>Joakim Mæhle</t>
  </si>
  <si>
    <t>Nørgaard</t>
  </si>
  <si>
    <t>[ DEN ] CHRISTIAN NØRGAARD</t>
  </si>
  <si>
    <t>CHRISTIAN NØRGAARD</t>
  </si>
  <si>
    <t>Christian Nørgaard</t>
  </si>
  <si>
    <t>Poulsen</t>
  </si>
  <si>
    <t>[ DEN ] YUSSUF POULSEN</t>
  </si>
  <si>
    <t>YUSSUF POULSEN</t>
  </si>
  <si>
    <t>Yussuf Poulsen</t>
  </si>
  <si>
    <t>Rønnow</t>
  </si>
  <si>
    <t>[ DEN ] FREDERIK RØNNOW</t>
  </si>
  <si>
    <t>FREDERIK RØNNOW</t>
  </si>
  <si>
    <t>Frederik Rønnow</t>
  </si>
  <si>
    <t>Schmeichel</t>
  </si>
  <si>
    <t>[ DEN ] KASPER SCHMEICHEL</t>
  </si>
  <si>
    <t>KASPER SCHMEICHEL</t>
  </si>
  <si>
    <t>Kasper Schmeichel</t>
  </si>
  <si>
    <t>Skov Olsen</t>
  </si>
  <si>
    <t>[ DEN ] ANDREAS SKOV OLSEN</t>
  </si>
  <si>
    <t>ANDREAS SKOV OLSEN</t>
  </si>
  <si>
    <t>Andreas Skov Olsen</t>
  </si>
  <si>
    <t>Vestergaard</t>
  </si>
  <si>
    <t>[ DEN ] JANNIK VESTERGAARD</t>
  </si>
  <si>
    <t>JANNIK VESTERGAARD</t>
  </si>
  <si>
    <t>Jannik Vestergaard</t>
  </si>
  <si>
    <t>Wind</t>
  </si>
  <si>
    <t>[ DEN ] JONAS WIND</t>
  </si>
  <si>
    <t>JONAS WIND</t>
  </si>
  <si>
    <t>Jonas Wind</t>
  </si>
  <si>
    <t>Andrich</t>
  </si>
  <si>
    <t>[ GER ] ROBERT ANDRICH</t>
  </si>
  <si>
    <t>ROBERT ANDRICH</t>
  </si>
  <si>
    <t>Robert Andrich</t>
  </si>
  <si>
    <t>Anton</t>
  </si>
  <si>
    <t>[ GER ] WALDEMAR ANTON</t>
  </si>
  <si>
    <t>WALDEMAR ANTON</t>
  </si>
  <si>
    <t>Waldemar Anton</t>
  </si>
  <si>
    <t>Baumann</t>
  </si>
  <si>
    <t>[ GER ] OLIVER BAUMANN</t>
  </si>
  <si>
    <t>OLIVER BAUMANN</t>
  </si>
  <si>
    <t>Oliver Baumann</t>
  </si>
  <si>
    <t>Beier</t>
  </si>
  <si>
    <t>[ GER ] MAXIMILIAN BEIER</t>
  </si>
  <si>
    <t>MAXIMILIAN BEIER</t>
  </si>
  <si>
    <t>Maximilian Beier</t>
  </si>
  <si>
    <t>Führich</t>
  </si>
  <si>
    <t>[ GER ] CHRIS FÜHRICH</t>
  </si>
  <si>
    <t>CHRIS FÜHRICH</t>
  </si>
  <si>
    <t>Chris Führich</t>
  </si>
  <si>
    <t>Füllkrug</t>
  </si>
  <si>
    <t>[ GER ] NICLAS FÜLLKRUG</t>
  </si>
  <si>
    <t>NICLAS FÜLLKRUG</t>
  </si>
  <si>
    <t>Niclas Füllkrug</t>
  </si>
  <si>
    <t>Gross</t>
  </si>
  <si>
    <t>[ GER ] PASCAL GROSS</t>
  </si>
  <si>
    <t>PASCAL GROSS</t>
  </si>
  <si>
    <t>Pascal Gross</t>
  </si>
  <si>
    <t>Gündoğan</t>
  </si>
  <si>
    <t>[ GER ] İLKAY GÜNDOĞAN</t>
  </si>
  <si>
    <t>İLKAY GÜNDOĞAN</t>
  </si>
  <si>
    <t>İlkay Gündoğan</t>
  </si>
  <si>
    <t>Havertz</t>
  </si>
  <si>
    <t>[ GER ] KAI HAVERTZ</t>
  </si>
  <si>
    <t>KAI HAVERTZ</t>
  </si>
  <si>
    <t>Kai Havertz</t>
  </si>
  <si>
    <t>Henrichs</t>
  </si>
  <si>
    <t>[ GER ] BENJAMIN HENRICHS</t>
  </si>
  <si>
    <t>BENJAMIN HENRICHS</t>
  </si>
  <si>
    <t>Benjamin Henrichs</t>
  </si>
  <si>
    <t>Kimmich</t>
  </si>
  <si>
    <t>[ GER ] JOSHUA KIMMICH</t>
  </si>
  <si>
    <t>JOSHUA KIMMICH</t>
  </si>
  <si>
    <t>Joshua Kimmich</t>
  </si>
  <si>
    <t>Koch</t>
  </si>
  <si>
    <t>[ GER ] ROBIN KOCH</t>
  </si>
  <si>
    <t>ROBIN KOCH</t>
  </si>
  <si>
    <t>Robin Koch</t>
  </si>
  <si>
    <t>Kroos</t>
  </si>
  <si>
    <t>[ GER ] TONI KROOS</t>
  </si>
  <si>
    <t>TONI KROOS</t>
  </si>
  <si>
    <t>Toni Kroos</t>
  </si>
  <si>
    <t>Mittelstädt</t>
  </si>
  <si>
    <t>[ GER ] MAXIMILIAN MITTELSTÄDT</t>
  </si>
  <si>
    <t>MAXIMILIAN MITTELSTÄDT</t>
  </si>
  <si>
    <t>Maximilian Mittelstädt</t>
  </si>
  <si>
    <t>Müller</t>
  </si>
  <si>
    <t>[ GER ] THOMAS MÜLLER</t>
  </si>
  <si>
    <t>THOMAS MÜLLER</t>
  </si>
  <si>
    <t>Thomas Müller</t>
  </si>
  <si>
    <t>Musiala</t>
  </si>
  <si>
    <t>[ GER ] JAMAL MUSIALA</t>
  </si>
  <si>
    <t>JAMAL MUSIALA</t>
  </si>
  <si>
    <t>Jamal Musiala</t>
  </si>
  <si>
    <t>Neuer</t>
  </si>
  <si>
    <t>[ GER ] MANUEL NEUER</t>
  </si>
  <si>
    <t>MANUEL NEUER</t>
  </si>
  <si>
    <t>Manuel Neuer</t>
  </si>
  <si>
    <t>Pavlovic</t>
  </si>
  <si>
    <t>[ GER ] ALEKSANDAR PAVLOVIC</t>
  </si>
  <si>
    <t>ALEKSANDAR PAVLOVIC</t>
  </si>
  <si>
    <t>Aleksandar Pavlovic</t>
  </si>
  <si>
    <t>Raum</t>
  </si>
  <si>
    <t>[ GER ] DAVID RAUM</t>
  </si>
  <si>
    <t>DAVID RAUM</t>
  </si>
  <si>
    <t>David Raum</t>
  </si>
  <si>
    <t>Rüdiger</t>
  </si>
  <si>
    <t>[ GER ] ANTONIO RÜDIGER</t>
  </si>
  <si>
    <t>ANTONIO RÜDIGER</t>
  </si>
  <si>
    <t>Antonio Rüdiger</t>
  </si>
  <si>
    <t>Sané</t>
  </si>
  <si>
    <t>[ GER ] LEROY SANÉ</t>
  </si>
  <si>
    <t>LEROY SANÉ</t>
  </si>
  <si>
    <t>Leroy Sané</t>
  </si>
  <si>
    <t>Schlotterbeck</t>
  </si>
  <si>
    <t>[ GER ] NICO SCHLOTTERBECK</t>
  </si>
  <si>
    <t>NICO SCHLOTTERBECK</t>
  </si>
  <si>
    <t>Nico Schlotterbeck</t>
  </si>
  <si>
    <t>Tah</t>
  </si>
  <si>
    <t>[ GER ] JONATHAN TAH</t>
  </si>
  <si>
    <t>JONATHAN TAH</t>
  </si>
  <si>
    <t>Jonathan Tah</t>
  </si>
  <si>
    <t>ter Stegen</t>
  </si>
  <si>
    <t>[ GER ] MARC-ANDRÉ TER STEGEN</t>
  </si>
  <si>
    <t>MARC-ANDRÉ TER STEGEN</t>
  </si>
  <si>
    <t>Marc-André ter Stegen</t>
  </si>
  <si>
    <t>Undav</t>
  </si>
  <si>
    <t>[ GER ] DENIZ UNDAV</t>
  </si>
  <si>
    <t>DENIZ UNDAV</t>
  </si>
  <si>
    <t>Deniz Undav</t>
  </si>
  <si>
    <t>Wirtz</t>
  </si>
  <si>
    <t>[ GER ] FLORIAN WIRTZ</t>
  </si>
  <si>
    <t>FLORIAN WIRTZ</t>
  </si>
  <si>
    <t>Florian Wirtz</t>
  </si>
  <si>
    <t>Alexander-Arnold</t>
  </si>
  <si>
    <t>[ ENG ] TRENT ALEXANDER-ARNOLD</t>
  </si>
  <si>
    <t>TRENT ALEXANDER-ARNOLD</t>
  </si>
  <si>
    <t>Trent Alexander-Arnold</t>
  </si>
  <si>
    <t>Bellingham</t>
  </si>
  <si>
    <t>[ ENG ] JUDE BELLINGHAM</t>
  </si>
  <si>
    <t>JUDE BELLINGHAM</t>
  </si>
  <si>
    <t>Jude Bellingham</t>
  </si>
  <si>
    <t>Bowen</t>
  </si>
  <si>
    <t>[ ENG ] JARROD BOWEN</t>
  </si>
  <si>
    <t>JARROD BOWEN</t>
  </si>
  <si>
    <t>Jarrod Bowen</t>
  </si>
  <si>
    <t>Dunk</t>
  </si>
  <si>
    <t>[ ENG ] LEWIS DUNK</t>
  </si>
  <si>
    <t>LEWIS DUNK</t>
  </si>
  <si>
    <t>Lewis Dunk</t>
  </si>
  <si>
    <t>Eze</t>
  </si>
  <si>
    <t>[ ENG ] EBERECHI EZE</t>
  </si>
  <si>
    <t>EBERECHI EZE</t>
  </si>
  <si>
    <t>Eberechi Eze</t>
  </si>
  <si>
    <t>Foden</t>
  </si>
  <si>
    <t>[ ENG ] PHIL FODEN</t>
  </si>
  <si>
    <t>PHIL FODEN</t>
  </si>
  <si>
    <t>Phil Foden</t>
  </si>
  <si>
    <t>Gallagher</t>
  </si>
  <si>
    <t>[ ENG ] CONOR GALLAGHER</t>
  </si>
  <si>
    <t>CONOR GALLAGHER</t>
  </si>
  <si>
    <t>Conor Gallagher</t>
  </si>
  <si>
    <t>Gomez</t>
  </si>
  <si>
    <t>[ ENG ] JOE GOMEZ</t>
  </si>
  <si>
    <t>JOE GOMEZ</t>
  </si>
  <si>
    <t>Joe Gomez</t>
  </si>
  <si>
    <t>Gordon</t>
  </si>
  <si>
    <t>[ ENG ] ANTHONY GORDON</t>
  </si>
  <si>
    <t>ANTHONY GORDON</t>
  </si>
  <si>
    <t>Anthony Gordon</t>
  </si>
  <si>
    <t>Guéhi</t>
  </si>
  <si>
    <t>[ ENG ] MARC GUÉHI</t>
  </si>
  <si>
    <t>MARC GUÉHI</t>
  </si>
  <si>
    <t>Marc Guéhi</t>
  </si>
  <si>
    <t>Henderson</t>
  </si>
  <si>
    <t>[ ENG ] DEAN HENDERSON</t>
  </si>
  <si>
    <t>DEAN HENDERSON</t>
  </si>
  <si>
    <t>Dean Henderson</t>
  </si>
  <si>
    <t>Kane</t>
  </si>
  <si>
    <t>[ ENG ] HARRY KANE</t>
  </si>
  <si>
    <t>HARRY KANE</t>
  </si>
  <si>
    <t>Harry Kane</t>
  </si>
  <si>
    <t>Konsa</t>
  </si>
  <si>
    <t>[ ENG ] EZRI KONSA</t>
  </si>
  <si>
    <t>EZRI KONSA</t>
  </si>
  <si>
    <t>Ezri Konsa</t>
  </si>
  <si>
    <t>Mainoo</t>
  </si>
  <si>
    <t>[ ENG ] KOBBIE MAINOO</t>
  </si>
  <si>
    <t>KOBBIE MAINOO</t>
  </si>
  <si>
    <t>Kobbie Mainoo</t>
  </si>
  <si>
    <t>Palmer</t>
  </si>
  <si>
    <t>[ ENG ] COLE PALMER</t>
  </si>
  <si>
    <t>COLE PALMER</t>
  </si>
  <si>
    <t>Cole Palmer</t>
  </si>
  <si>
    <t>Pickford</t>
  </si>
  <si>
    <t>[ ENG ] JORDAN PICKFORD</t>
  </si>
  <si>
    <t>JORDAN PICKFORD</t>
  </si>
  <si>
    <t>Jordan Pickford</t>
  </si>
  <si>
    <t>Ramsdale</t>
  </si>
  <si>
    <t>[ ENG ] AARON RAMSDALE</t>
  </si>
  <si>
    <t>AARON RAMSDALE</t>
  </si>
  <si>
    <t>Aaron Ramsdale</t>
  </si>
  <si>
    <t>Rice</t>
  </si>
  <si>
    <t>[ ENG ] DECLAN RICE</t>
  </si>
  <si>
    <t>DECLAN RICE</t>
  </si>
  <si>
    <t>Declan Rice</t>
  </si>
  <si>
    <t>Saka</t>
  </si>
  <si>
    <t>[ ENG ] BUKAYO SAKA</t>
  </si>
  <si>
    <t>BUKAYO SAKA</t>
  </si>
  <si>
    <t>Bukayo Saka</t>
  </si>
  <si>
    <t>Shaw</t>
  </si>
  <si>
    <t>[ ENG ] LUKE SHAW</t>
  </si>
  <si>
    <t>LUKE SHAW</t>
  </si>
  <si>
    <t>Luke Shaw</t>
  </si>
  <si>
    <t>Stones</t>
  </si>
  <si>
    <t>[ ENG ] JOHN STONES</t>
  </si>
  <si>
    <t>JOHN STONES</t>
  </si>
  <si>
    <t>John Stones</t>
  </si>
  <si>
    <t>Toney</t>
  </si>
  <si>
    <t>[ ENG ] IVAN TONEY</t>
  </si>
  <si>
    <t>IVAN TONEY</t>
  </si>
  <si>
    <t>Ivan Toney</t>
  </si>
  <si>
    <t>Trippier</t>
  </si>
  <si>
    <t>[ ENG ] KIERAN TRIPPIER</t>
  </si>
  <si>
    <t>KIERAN TRIPPIER</t>
  </si>
  <si>
    <t>Kieran Trippier</t>
  </si>
  <si>
    <t>Walker</t>
  </si>
  <si>
    <t>[ ENG ] KYLE WALKER</t>
  </si>
  <si>
    <t>KYLE WALKER</t>
  </si>
  <si>
    <t>Kyle Walker</t>
  </si>
  <si>
    <t>Watkins</t>
  </si>
  <si>
    <t>[ ENG ] OLLIE WATKINS</t>
  </si>
  <si>
    <t>OLLIE WATKINS</t>
  </si>
  <si>
    <t>Ollie Watkins</t>
  </si>
  <si>
    <t>Wharton</t>
  </si>
  <si>
    <t>[ ENG ] ADAM WHARTON</t>
  </si>
  <si>
    <t>ADAM WHARTON</t>
  </si>
  <si>
    <t>Adam Wharton</t>
  </si>
  <si>
    <t>Areola</t>
  </si>
  <si>
    <t>[ FRA ] ALPHONSE AREOLA</t>
  </si>
  <si>
    <t>ALPHONSE AREOLA</t>
  </si>
  <si>
    <t>Alphonse Areola</t>
  </si>
  <si>
    <t>Barcola</t>
  </si>
  <si>
    <t>[ FRA ] BRADLEY BARCOLA</t>
  </si>
  <si>
    <t>BRADLEY BARCOLA</t>
  </si>
  <si>
    <t>Bradley Barcola</t>
  </si>
  <si>
    <t>Camavinga</t>
  </si>
  <si>
    <t>[ FRA ] EDUARDO CAMAVINGA</t>
  </si>
  <si>
    <t>EDUARDO CAMAVINGA</t>
  </si>
  <si>
    <t>Eduardo Camavinga</t>
  </si>
  <si>
    <t>Clauss</t>
  </si>
  <si>
    <t>[ FRA ] JONATHAN CLAUSS</t>
  </si>
  <si>
    <t>JONATHAN CLAUSS</t>
  </si>
  <si>
    <t>Jonathan Clauss</t>
  </si>
  <si>
    <t>Coman</t>
  </si>
  <si>
    <t>[ FRA ] KINGSLEY COMAN</t>
  </si>
  <si>
    <t>KINGSLEY COMAN</t>
  </si>
  <si>
    <t>Kingsley Coman</t>
  </si>
  <si>
    <t>Dembélé</t>
  </si>
  <si>
    <t>[ FRA ] OUSMANE DEMBÉLÉ</t>
  </si>
  <si>
    <t>OUSMANE DEMBÉLÉ</t>
  </si>
  <si>
    <t>Ousmane Dembélé</t>
  </si>
  <si>
    <t>Fofana</t>
  </si>
  <si>
    <t>[ FRA ] YOUSSOUF FOFANA</t>
  </si>
  <si>
    <t>YOUSSOUF FOFANA</t>
  </si>
  <si>
    <t>Youssouf Fofana</t>
  </si>
  <si>
    <t>Giroud</t>
  </si>
  <si>
    <t>[ FRA ] OLIVIER GIROUD</t>
  </si>
  <si>
    <t>OLIVIER GIROUD</t>
  </si>
  <si>
    <t>Olivier Giroud</t>
  </si>
  <si>
    <t>Griezmann</t>
  </si>
  <si>
    <t>[ FRA ] ANTOINE GRIEZMANN</t>
  </si>
  <si>
    <t>ANTOINE GRIEZMANN</t>
  </si>
  <si>
    <t>Antoine Griezmann</t>
  </si>
  <si>
    <t>Hernández</t>
  </si>
  <si>
    <t>[ FRA ] THEO HERNÁNDEZ</t>
  </si>
  <si>
    <t>THEO HERNÁNDEZ</t>
  </si>
  <si>
    <t>Theo Hernández</t>
  </si>
  <si>
    <t>Kanté</t>
  </si>
  <si>
    <t>[ FRA ] N'GOLO KANTÉ</t>
  </si>
  <si>
    <t>N'GOLO KANTÉ</t>
  </si>
  <si>
    <t>N'Golo Kanté</t>
  </si>
  <si>
    <t>Kolo Muani</t>
  </si>
  <si>
    <t>[ FRA ] RANDAL KOLO MUANI</t>
  </si>
  <si>
    <t>RANDAL KOLO MUANI</t>
  </si>
  <si>
    <t>Randal Kolo Muani</t>
  </si>
  <si>
    <t>Konaté</t>
  </si>
  <si>
    <t>[ FRA ] IBRAHIMA KONATÉ</t>
  </si>
  <si>
    <t>IBRAHIMA KONATÉ</t>
  </si>
  <si>
    <t>Ibrahima Konaté</t>
  </si>
  <si>
    <t>Koundé</t>
  </si>
  <si>
    <t>[ FRA ] JULES KOUNDÉ</t>
  </si>
  <si>
    <t>JULES KOUNDÉ</t>
  </si>
  <si>
    <t>Jules Koundé</t>
  </si>
  <si>
    <t>Maignan</t>
  </si>
  <si>
    <t>[ FRA ] MIKE MAIGNAN</t>
  </si>
  <si>
    <t>MIKE MAIGNAN</t>
  </si>
  <si>
    <t>Mike Maignan</t>
  </si>
  <si>
    <t>Mbappé</t>
  </si>
  <si>
    <t>[ FRA ] KYLIAN MBAPPÉ</t>
  </si>
  <si>
    <t>KYLIAN MBAPPÉ</t>
  </si>
  <si>
    <t>Kylian Mbappé</t>
  </si>
  <si>
    <t>Mendy</t>
  </si>
  <si>
    <t>[ FRA ] FERLAND MENDY</t>
  </si>
  <si>
    <t>FERLAND MENDY</t>
  </si>
  <si>
    <t>Ferland Mendy</t>
  </si>
  <si>
    <t>Pavard</t>
  </si>
  <si>
    <t>[ FRA ] BENJAMIN PAVARD</t>
  </si>
  <si>
    <t>BENJAMIN PAVARD</t>
  </si>
  <si>
    <t>Benjamin Pavard</t>
  </si>
  <si>
    <t>Rabiot</t>
  </si>
  <si>
    <t>[ FRA ] ADRIEN RABIOT</t>
  </si>
  <si>
    <t>ADRIEN RABIOT</t>
  </si>
  <si>
    <t>Adrien Rabiot</t>
  </si>
  <si>
    <t>Saliba</t>
  </si>
  <si>
    <t>[ FRA ] WILLIAM SALIBA</t>
  </si>
  <si>
    <t>WILLIAM SALIBA</t>
  </si>
  <si>
    <t>William Saliba</t>
  </si>
  <si>
    <t>Samba</t>
  </si>
  <si>
    <t>[ FRA ] BRICE SAMBA</t>
  </si>
  <si>
    <t>BRICE SAMBA</t>
  </si>
  <si>
    <t>Brice Samba</t>
  </si>
  <si>
    <t>Tchouameni</t>
  </si>
  <si>
    <t>[ FRA ] AURÉLIEN TCHOUAMENI</t>
  </si>
  <si>
    <t>AURÉLIEN TCHOUAMENI</t>
  </si>
  <si>
    <t>Aurélien Tchouameni</t>
  </si>
  <si>
    <t>Thuram</t>
  </si>
  <si>
    <t>[ FRA ] MARCUS THURAM</t>
  </si>
  <si>
    <t>MARCUS THURAM</t>
  </si>
  <si>
    <t>Marcus Thuram</t>
  </si>
  <si>
    <t>Upamecano</t>
  </si>
  <si>
    <t>[ FRA ] DAYOT UPAMECANO</t>
  </si>
  <si>
    <t>DAYOT UPAMECANO</t>
  </si>
  <si>
    <t>Dayot Upamecano</t>
  </si>
  <si>
    <t>Zaïre-Emery</t>
  </si>
  <si>
    <t>[ FRA ] WARREN ZAÏRE-EMERY</t>
  </si>
  <si>
    <t>WARREN ZAÏRE-EMERY</t>
  </si>
  <si>
    <t>Warren Zaïre-Emery</t>
  </si>
  <si>
    <t>Altunashvili</t>
  </si>
  <si>
    <t>[ GEO ] SANDRO ALTUNASHVILI</t>
  </si>
  <si>
    <t>SANDRO ALTUNASHVILI</t>
  </si>
  <si>
    <t>Sandro Altunashvili</t>
  </si>
  <si>
    <t>Chakvetadze</t>
  </si>
  <si>
    <t>[ GEO ] GIORGI CHAKVETADZE</t>
  </si>
  <si>
    <t>GIORGI CHAKVETADZE</t>
  </si>
  <si>
    <t>Giorgi Chakvetadze</t>
  </si>
  <si>
    <t>Davitashvili</t>
  </si>
  <si>
    <t>[ GEO ] ZURIKO DAVITASHVILI</t>
  </si>
  <si>
    <t>ZURIKO DAVITASHVILI</t>
  </si>
  <si>
    <t>Zuriko Davitashvili</t>
  </si>
  <si>
    <t>Dvali</t>
  </si>
  <si>
    <t>[ GEO ] LASHA DVALI</t>
  </si>
  <si>
    <t>LASHA DVALI</t>
  </si>
  <si>
    <t>Lasha Dvali</t>
  </si>
  <si>
    <t>Gocholeishvili</t>
  </si>
  <si>
    <t>[ GEO ] GIORGI GOCHOLEISHVILI</t>
  </si>
  <si>
    <t>GIORGI GOCHOLEISHVILI</t>
  </si>
  <si>
    <t>Giorgi Gocholeishvili</t>
  </si>
  <si>
    <t>Gugeshashvili</t>
  </si>
  <si>
    <t>[ GEO ] LUKA GUGESHASHVILI</t>
  </si>
  <si>
    <t>LUKA GUGESHASHVILI</t>
  </si>
  <si>
    <t>Luka Gugeshashvili</t>
  </si>
  <si>
    <t>Gvelesiani</t>
  </si>
  <si>
    <t>[ GEO ] GIORGI GVELESIANI</t>
  </si>
  <si>
    <t>GIORGI GVELESIANI</t>
  </si>
  <si>
    <t>Giorgi Gvelesiani</t>
  </si>
  <si>
    <t>Kakabadze</t>
  </si>
  <si>
    <t>[ GEO ] OTAR KAKABADZE</t>
  </si>
  <si>
    <t>OTAR KAKABADZE</t>
  </si>
  <si>
    <t>Otar Kakabadze</t>
  </si>
  <si>
    <t>Kashia</t>
  </si>
  <si>
    <t>[ GEO ] GURAM KASHIA</t>
  </si>
  <si>
    <t>GURAM KASHIA</t>
  </si>
  <si>
    <t>Guram Kashia</t>
  </si>
  <si>
    <t>Kiteishvili</t>
  </si>
  <si>
    <t>[ GEO ] OTAR KITEISHVILI</t>
  </si>
  <si>
    <t>OTAR KITEISHVILI</t>
  </si>
  <si>
    <t>Otar Kiteishvili</t>
  </si>
  <si>
    <t>Kochorashvili</t>
  </si>
  <si>
    <t>[ GEO ] GIORGI KOCHORASHVILI</t>
  </si>
  <si>
    <t>GIORGI KOCHORASHVILI</t>
  </si>
  <si>
    <t>Giorgi Kochorashvili</t>
  </si>
  <si>
    <t>Kvaratskhelia</t>
  </si>
  <si>
    <t>[ GEO ] KHVICHA KVARATSKHELIA</t>
  </si>
  <si>
    <t>KHVICHA KVARATSKHELIA</t>
  </si>
  <si>
    <t>Khvicha Kvaratskhelia</t>
  </si>
  <si>
    <t>Kvekveskiri</t>
  </si>
  <si>
    <t>[ GEO ] NIKA KVEKVESKIRI</t>
  </si>
  <si>
    <t>NIKA KVEKVESKIRI</t>
  </si>
  <si>
    <t>Nika Kvekveskiri</t>
  </si>
  <si>
    <t>Kverkvelia</t>
  </si>
  <si>
    <t>[ GEO ] SOLOMON KVERKVELIA</t>
  </si>
  <si>
    <t>SOLOMON KVERKVELIA</t>
  </si>
  <si>
    <t>Solomon Kverkvelia</t>
  </si>
  <si>
    <t>Kvilitaia</t>
  </si>
  <si>
    <t>[ GEO ] GIORGI KVILITAIA</t>
  </si>
  <si>
    <t>GIORGI KVILITAIA</t>
  </si>
  <si>
    <t>Giorgi Kvilitaia</t>
  </si>
  <si>
    <t>Lobjanidze</t>
  </si>
  <si>
    <t>[ GEO ] SABA LOBJANIDZE</t>
  </si>
  <si>
    <t>SABA LOBJANIDZE</t>
  </si>
  <si>
    <t>Saba Lobjanidze</t>
  </si>
  <si>
    <t>Lochoshvili</t>
  </si>
  <si>
    <t>[ GEO ] LUKA LOCHOSHVILI</t>
  </si>
  <si>
    <t>LUKA LOCHOSHVILI</t>
  </si>
  <si>
    <t>Luka Lochoshvili</t>
  </si>
  <si>
    <t>Loria</t>
  </si>
  <si>
    <t>[ GEO ] GIORGI LORIA</t>
  </si>
  <si>
    <t>GIORGI LORIA</t>
  </si>
  <si>
    <t>Giorgi Loria</t>
  </si>
  <si>
    <t>Mamardashvili</t>
  </si>
  <si>
    <t>[ GEO ] GIORGI MAMARDASHVILI</t>
  </si>
  <si>
    <t>GIORGI MAMARDASHVILI</t>
  </si>
  <si>
    <t>Giorgi Mamardashvili</t>
  </si>
  <si>
    <t>Mekvabishvili</t>
  </si>
  <si>
    <t>[ GEO ] ANZOR MEKVABISHVILI</t>
  </si>
  <si>
    <t>ANZOR MEKVABISHVILI</t>
  </si>
  <si>
    <t>Anzor Mekvabishvili</t>
  </si>
  <si>
    <t>Mikautadze</t>
  </si>
  <si>
    <t>[ GEO ] GEORGES MIKAUTADZE</t>
  </si>
  <si>
    <t>GEORGES MIKAUTADZE</t>
  </si>
  <si>
    <t>Georges Mikautadze</t>
  </si>
  <si>
    <t>Shengelia</t>
  </si>
  <si>
    <t>[ GEO ] LEVAN SHENGELIA</t>
  </si>
  <si>
    <t>LEVAN SHENGELIA</t>
  </si>
  <si>
    <t>Levan Shengelia</t>
  </si>
  <si>
    <t>Sigua</t>
  </si>
  <si>
    <t>[ GEO ] GABRIEL SIGUA</t>
  </si>
  <si>
    <t>GABRIEL SIGUA</t>
  </si>
  <si>
    <t>Gabriel Sigua</t>
  </si>
  <si>
    <t>Tabidze</t>
  </si>
  <si>
    <t>[ GEO ] JEMAL TABIDZE</t>
  </si>
  <si>
    <t>JEMAL TABIDZE</t>
  </si>
  <si>
    <t>Jemal Tabidze</t>
  </si>
  <si>
    <t>Tsitaishvili</t>
  </si>
  <si>
    <t>[ GEO ] GIORGI TSITAISHVILI</t>
  </si>
  <si>
    <t>GIORGI TSITAISHVILI</t>
  </si>
  <si>
    <t>Giorgi Tsitaishvili</t>
  </si>
  <si>
    <t>Zivzivadze</t>
  </si>
  <si>
    <t>[ GEO ] BUDU ZIVZIVADZE</t>
  </si>
  <si>
    <t>BUDU ZIVZIVADZE</t>
  </si>
  <si>
    <t>Budu Zivzivadze</t>
  </si>
  <si>
    <t>Barella</t>
  </si>
  <si>
    <t>[ ITA ] NICOLÒ BARELLA</t>
  </si>
  <si>
    <t>NICOLÒ BARELLA</t>
  </si>
  <si>
    <t>Nicolò Barella</t>
  </si>
  <si>
    <t>Bastoni</t>
  </si>
  <si>
    <t>[ ITA ] ALESSANDRO BASTONI</t>
  </si>
  <si>
    <t>ALESSANDRO BASTONI</t>
  </si>
  <si>
    <t>Alessandro Bastoni</t>
  </si>
  <si>
    <t>Bellanova</t>
  </si>
  <si>
    <t>[ ITA ] RAOUL BELLANOVA</t>
  </si>
  <si>
    <t>RAOUL BELLANOVA</t>
  </si>
  <si>
    <t>Raoul Bellanova</t>
  </si>
  <si>
    <t>Buongiorno</t>
  </si>
  <si>
    <t>[ ITA ] ALESSANDRO BUONGIORNO</t>
  </si>
  <si>
    <t>ALESSANDRO BUONGIORNO</t>
  </si>
  <si>
    <t>Alessandro Buongiorno</t>
  </si>
  <si>
    <t>Calafiori</t>
  </si>
  <si>
    <t>[ ITA ] RICCARDO CALAFIORI</t>
  </si>
  <si>
    <t>RICCARDO CALAFIORI</t>
  </si>
  <si>
    <t>Riccardo Calafiori</t>
  </si>
  <si>
    <t>Cambiaso</t>
  </si>
  <si>
    <t>[ ITA ] ANDREA CAMBIASO</t>
  </si>
  <si>
    <t>ANDREA CAMBIASO</t>
  </si>
  <si>
    <t>Andrea Cambiaso</t>
  </si>
  <si>
    <t>Chiesa</t>
  </si>
  <si>
    <t>[ ITA ] FEDERICO CHIESA</t>
  </si>
  <si>
    <t>FEDERICO CHIESA</t>
  </si>
  <si>
    <t>Federico Chiesa</t>
  </si>
  <si>
    <t>Cristante</t>
  </si>
  <si>
    <t>[ ITA ] BRYAN CRISTANTE</t>
  </si>
  <si>
    <t>BRYAN CRISTANTE</t>
  </si>
  <si>
    <t>Bryan Cristante</t>
  </si>
  <si>
    <t>Darmian</t>
  </si>
  <si>
    <t>[ ITA ] MATTEO DARMIAN</t>
  </si>
  <si>
    <t>MATTEO DARMIAN</t>
  </si>
  <si>
    <t>Matteo Darmian</t>
  </si>
  <si>
    <t>Di Lorenzo</t>
  </si>
  <si>
    <t>[ ITA ] GIOVANNI DI LORENZO</t>
  </si>
  <si>
    <t>GIOVANNI DI LORENZO</t>
  </si>
  <si>
    <t>Giovanni Di Lorenzo</t>
  </si>
  <si>
    <t>Dimarco</t>
  </si>
  <si>
    <t>[ ITA ] FEDERICO DIMARCO</t>
  </si>
  <si>
    <t>FEDERICO DIMARCO</t>
  </si>
  <si>
    <t>Federico Dimarco</t>
  </si>
  <si>
    <t>Donnarumma</t>
  </si>
  <si>
    <t>[ ITA ] GIANLUIGI DONNARUMMA</t>
  </si>
  <si>
    <t>GIANLUIGI DONNARUMMA</t>
  </si>
  <si>
    <t>Gianluigi Donnarumma</t>
  </si>
  <si>
    <t>El Shaarawy</t>
  </si>
  <si>
    <t>[ ITA ] STEPHAN EL SHAARAWY</t>
  </si>
  <si>
    <t>STEPHAN EL SHAARAWY</t>
  </si>
  <si>
    <t>Stephan El Shaarawy</t>
  </si>
  <si>
    <t>Fagioli</t>
  </si>
  <si>
    <t>[ ITA ] NICOLÒ FAGIOLI</t>
  </si>
  <si>
    <t>NICOLÒ FAGIOLI</t>
  </si>
  <si>
    <t>Nicolò Fagioli</t>
  </si>
  <si>
    <t>Folorunsho</t>
  </si>
  <si>
    <t>[ ITA ] MICHAEL FOLORUNSHO</t>
  </si>
  <si>
    <t>MICHAEL FOLORUNSHO</t>
  </si>
  <si>
    <t>Michael Folorunsho</t>
  </si>
  <si>
    <t>Frattesi</t>
  </si>
  <si>
    <t>[ ITA ] DAVIDE FRATTESI</t>
  </si>
  <si>
    <t>DAVIDE FRATTESI</t>
  </si>
  <si>
    <t>Davide Frattesi</t>
  </si>
  <si>
    <t>Gatti</t>
  </si>
  <si>
    <t>[ ITA ] FEDERICO GATTI</t>
  </si>
  <si>
    <t>FEDERICO GATTI</t>
  </si>
  <si>
    <t>Federico Gatti</t>
  </si>
  <si>
    <t>Jorginho</t>
  </si>
  <si>
    <t>[ ITA ] JORGINHO</t>
  </si>
  <si>
    <t>JORGINHO</t>
  </si>
  <si>
    <t>Mancini</t>
  </si>
  <si>
    <t>[ ITA ] GIANLUCA MANCINI</t>
  </si>
  <si>
    <t>GIANLUCA MANCINI</t>
  </si>
  <si>
    <t>Gianluca Mancini</t>
  </si>
  <si>
    <t>Meret</t>
  </si>
  <si>
    <t>[ ITA ] ALEX MERET</t>
  </si>
  <si>
    <t>ALEX MERET</t>
  </si>
  <si>
    <t>Alex Meret</t>
  </si>
  <si>
    <t>Pellegrini</t>
  </si>
  <si>
    <t>[ ITA ] LORENZO PELLEGRINI</t>
  </si>
  <si>
    <t>LORENZO PELLEGRINI</t>
  </si>
  <si>
    <t>Lorenzo Pellegrini</t>
  </si>
  <si>
    <t>Raspadori</t>
  </si>
  <si>
    <t>[ ITA ] GIACOMO RASPADORI</t>
  </si>
  <si>
    <t>GIACOMO RASPADORI</t>
  </si>
  <si>
    <t>Giacomo Raspadori</t>
  </si>
  <si>
    <t>Retegui</t>
  </si>
  <si>
    <t>[ ITA ] MATEO RETEGUI</t>
  </si>
  <si>
    <t>MATEO RETEGUI</t>
  </si>
  <si>
    <t>Mateo Retegui</t>
  </si>
  <si>
    <t>Scamacca</t>
  </si>
  <si>
    <t>[ ITA ] GIANLUCA SCAMACCA</t>
  </si>
  <si>
    <t>GIANLUCA SCAMACCA</t>
  </si>
  <si>
    <t>Gianluca Scamacca</t>
  </si>
  <si>
    <t>Vicario</t>
  </si>
  <si>
    <t>[ ITA ] GUGLIELMO VICARIO</t>
  </si>
  <si>
    <t>GUGLIELMO VICARIO</t>
  </si>
  <si>
    <t>Guglielmo Vicario</t>
  </si>
  <si>
    <t>Zaccagni</t>
  </si>
  <si>
    <t>[ ITA ] MATTIA ZACCAGNI</t>
  </si>
  <si>
    <t>MATTIA ZACCAGNI</t>
  </si>
  <si>
    <t>Mattia Zaccagni</t>
  </si>
  <si>
    <t>Baturina</t>
  </si>
  <si>
    <t>[ CRO ] MARTIN BATURINA</t>
  </si>
  <si>
    <t>MARTIN BATURINA</t>
  </si>
  <si>
    <t>Martin Baturina</t>
  </si>
  <si>
    <t>Brozović</t>
  </si>
  <si>
    <t>[ CRO ] MARCELO BROZOVIĆ</t>
  </si>
  <si>
    <t>MARCELO BROZOVIĆ</t>
  </si>
  <si>
    <t>Marcelo Brozović</t>
  </si>
  <si>
    <t>Budimir</t>
  </si>
  <si>
    <t>[ CRO ] ANTE BUDIMIR</t>
  </si>
  <si>
    <t>ANTE BUDIMIR</t>
  </si>
  <si>
    <t>Ante Budimir</t>
  </si>
  <si>
    <t>Erlić</t>
  </si>
  <si>
    <t>[ CRO ] MARTIN ERLIĆ</t>
  </si>
  <si>
    <t>MARTIN ERLIĆ</t>
  </si>
  <si>
    <t>Martin Erlić</t>
  </si>
  <si>
    <t>Gvardiol</t>
  </si>
  <si>
    <t>[ CRO ] JOŠKO GVARDIOL</t>
  </si>
  <si>
    <t>JOŠKO GVARDIOL</t>
  </si>
  <si>
    <t>Joško Gvardiol</t>
  </si>
  <si>
    <t>Ivanušec</t>
  </si>
  <si>
    <t>[ CRO ] LUKA IVANUŠEC</t>
  </si>
  <si>
    <t>LUKA IVANUŠEC</t>
  </si>
  <si>
    <t>Luka Ivanušec</t>
  </si>
  <si>
    <t>Ivušić</t>
  </si>
  <si>
    <t>[ CRO ] IVICA IVUŠIĆ</t>
  </si>
  <si>
    <t>IVICA IVUŠIĆ</t>
  </si>
  <si>
    <t>Ivica Ivušić</t>
  </si>
  <si>
    <t>Juranović</t>
  </si>
  <si>
    <t>[ CRO ] JOSIP JURANOVIĆ</t>
  </si>
  <si>
    <t>JOSIP JURANOVIĆ</t>
  </si>
  <si>
    <t>Josip Juranović</t>
  </si>
  <si>
    <t>Kovačić</t>
  </si>
  <si>
    <t>[ CRO ] MATEO KOVAČIĆ</t>
  </si>
  <si>
    <t>MATEO KOVAČIĆ</t>
  </si>
  <si>
    <t>Mateo Kovačić</t>
  </si>
  <si>
    <t>Kramarić</t>
  </si>
  <si>
    <t>[ CRO ] ANDREJ KRAMARIĆ</t>
  </si>
  <si>
    <t>ANDREJ KRAMARIĆ</t>
  </si>
  <si>
    <t>Andrej Kramarić</t>
  </si>
  <si>
    <t>Labrović</t>
  </si>
  <si>
    <t>[ CRO ] NEDILJKO LABROVIĆ</t>
  </si>
  <si>
    <t>NEDILJKO LABROVIĆ</t>
  </si>
  <si>
    <t>Nediljko Labrović</t>
  </si>
  <si>
    <t>Livaković</t>
  </si>
  <si>
    <t>[ CRO ] DOMINIK LIVAKOVIĆ</t>
  </si>
  <si>
    <t>DOMINIK LIVAKOVIĆ</t>
  </si>
  <si>
    <t>Dominik Livaković</t>
  </si>
  <si>
    <t>Majer</t>
  </si>
  <si>
    <t>[ CRO ] LOVRO MAJER</t>
  </si>
  <si>
    <t>LOVRO MAJER</t>
  </si>
  <si>
    <t>Lovro Majer</t>
  </si>
  <si>
    <t>Modrić</t>
  </si>
  <si>
    <t>[ CRO ] LUKA MODRIĆ</t>
  </si>
  <si>
    <t>LUKA MODRIĆ</t>
  </si>
  <si>
    <t>Luka Modrić</t>
  </si>
  <si>
    <t>Pašalić</t>
  </si>
  <si>
    <t>[ CRO ] MARIO PAŠALIĆ</t>
  </si>
  <si>
    <t>MARIO PAŠALIĆ</t>
  </si>
  <si>
    <t>Mario Pašalić</t>
  </si>
  <si>
    <t>[ CRO ] MARCO PAŠALIĆ</t>
  </si>
  <si>
    <t>MARCO PAŠALIĆ</t>
  </si>
  <si>
    <t>Marco Pašalić</t>
  </si>
  <si>
    <t>Perišić</t>
  </si>
  <si>
    <t>[ CRO ] IVAN PERIŠIĆ</t>
  </si>
  <si>
    <t>IVAN PERIŠIĆ</t>
  </si>
  <si>
    <t>Ivan Perišić</t>
  </si>
  <si>
    <t>Petković</t>
  </si>
  <si>
    <t>[ CRO ] BRUNO PETKOVIĆ</t>
  </si>
  <si>
    <t>BRUNO PETKOVIĆ</t>
  </si>
  <si>
    <t>Bruno Petković</t>
  </si>
  <si>
    <t>Pjaca</t>
  </si>
  <si>
    <t>[ CRO ] MARKO PJACA</t>
  </si>
  <si>
    <t>MARKO PJACA</t>
  </si>
  <si>
    <t>Marko Pjaca</t>
  </si>
  <si>
    <t>Pongračić</t>
  </si>
  <si>
    <t>[ CRO ] MARIN PONGRAČIĆ</t>
  </si>
  <si>
    <t>MARIN PONGRAČIĆ</t>
  </si>
  <si>
    <t>Marin Pongračić</t>
  </si>
  <si>
    <t>Sosa</t>
  </si>
  <si>
    <t>[ CRO ] BORNA SOSA</t>
  </si>
  <si>
    <t>BORNA SOSA</t>
  </si>
  <si>
    <t>Borna Sosa</t>
  </si>
  <si>
    <t>Stanišić</t>
  </si>
  <si>
    <t>[ CRO ] JOSIP STANIŠIĆ</t>
  </si>
  <si>
    <t>JOSIP STANIŠIĆ</t>
  </si>
  <si>
    <t>Josip Stanišić</t>
  </si>
  <si>
    <t>Sučić</t>
  </si>
  <si>
    <t>[ CRO ] LUKA SUČIĆ</t>
  </si>
  <si>
    <t>LUKA SUČIĆ</t>
  </si>
  <si>
    <t>Luka Sučić</t>
  </si>
  <si>
    <t>Šutalo</t>
  </si>
  <si>
    <t>[ CRO ] JOSIP ŠUTALO</t>
  </si>
  <si>
    <t>JOSIP ŠUTALO</t>
  </si>
  <si>
    <t>Josip Šutalo</t>
  </si>
  <si>
    <t>Vida</t>
  </si>
  <si>
    <t>[ CRO ] DOMAGOJ VIDA</t>
  </si>
  <si>
    <t>DOMAGOJ VIDA</t>
  </si>
  <si>
    <t>Domagoj Vida</t>
  </si>
  <si>
    <t>Vlašić</t>
  </si>
  <si>
    <t>[ CRO ] NIKOLA VLAŠIĆ</t>
  </si>
  <si>
    <t>NIKOLA VLAŠIĆ</t>
  </si>
  <si>
    <t>Nikola Vlašić</t>
  </si>
  <si>
    <t>Aké</t>
  </si>
  <si>
    <t>[ NED ] NATHAN AKÉ</t>
  </si>
  <si>
    <t>NATHAN AKÉ</t>
  </si>
  <si>
    <t>Nathan Aké</t>
  </si>
  <si>
    <t>Bergwijn</t>
  </si>
  <si>
    <t>[ NED ] STEVEN BERGWIJN</t>
  </si>
  <si>
    <t>STEVEN BERGWIJN</t>
  </si>
  <si>
    <t>Steven Bergwijn</t>
  </si>
  <si>
    <t>Bijlow</t>
  </si>
  <si>
    <t>[ NED ] JUSTIN BIJLOW</t>
  </si>
  <si>
    <t>JUSTIN BIJLOW</t>
  </si>
  <si>
    <t>Justin Bijlow</t>
  </si>
  <si>
    <t>Blind</t>
  </si>
  <si>
    <t>[ NED ] DALEY BLIND</t>
  </si>
  <si>
    <t>DALEY BLIND</t>
  </si>
  <si>
    <t>Daley Blind</t>
  </si>
  <si>
    <t>Brobbey</t>
  </si>
  <si>
    <t>[ NED ] BRIAN BROBBEY</t>
  </si>
  <si>
    <t>BRIAN BROBBEY</t>
  </si>
  <si>
    <t>Brian Brobbey</t>
  </si>
  <si>
    <t>de Jong</t>
  </si>
  <si>
    <t>[ NED ] FRENKIE DE JONG</t>
  </si>
  <si>
    <t>FRENKIE DE JONG</t>
  </si>
  <si>
    <t>Frenkie de Jong</t>
  </si>
  <si>
    <t>De Ligt</t>
  </si>
  <si>
    <t>[ NED ] MATTHIJS DE LIGT</t>
  </si>
  <si>
    <t>MATTHIJS DE LIGT</t>
  </si>
  <si>
    <t>Matthijs De Ligt</t>
  </si>
  <si>
    <t>De Vrij</t>
  </si>
  <si>
    <t>[ NED ] STEFAN DE VRIJ</t>
  </si>
  <si>
    <t>STEFAN DE VRIJ</t>
  </si>
  <si>
    <t>Stefan De Vrij</t>
  </si>
  <si>
    <t>Depay</t>
  </si>
  <si>
    <t>[ NED ] MEMPHIS DEPAY</t>
  </si>
  <si>
    <t>MEMPHIS DEPAY</t>
  </si>
  <si>
    <t>Memphis Depay</t>
  </si>
  <si>
    <t>Dumfries</t>
  </si>
  <si>
    <t>[ NED ] DENZEL DUMFRIES</t>
  </si>
  <si>
    <t>DENZEL DUMFRIES</t>
  </si>
  <si>
    <t>Denzel Dumfries</t>
  </si>
  <si>
    <t>Flekken</t>
  </si>
  <si>
    <t>[ NED ] MARK FLEKKEN</t>
  </si>
  <si>
    <t>MARK FLEKKEN</t>
  </si>
  <si>
    <t>Mark Flekken</t>
  </si>
  <si>
    <t>Frimpong</t>
  </si>
  <si>
    <t>[ NED ] JEREMIE FRIMPONG</t>
  </si>
  <si>
    <t>JEREMIE FRIMPONG</t>
  </si>
  <si>
    <t>Jeremie Frimpong</t>
  </si>
  <si>
    <t>Gakpo</t>
  </si>
  <si>
    <t>[ NED ] CODY GAKPO</t>
  </si>
  <si>
    <t>CODY GAKPO</t>
  </si>
  <si>
    <t>Cody Gakpo</t>
  </si>
  <si>
    <t>Geertruida</t>
  </si>
  <si>
    <t>[ NED ] LUTSHAREL GEERTRUIDA</t>
  </si>
  <si>
    <t>LUTSHAREL GEERTRUIDA</t>
  </si>
  <si>
    <t>Lutsharel Geertruida</t>
  </si>
  <si>
    <t>Gravenberch</t>
  </si>
  <si>
    <t>[ NED ] RYAN GRAVENBERCH</t>
  </si>
  <si>
    <t>RYAN GRAVENBERCH</t>
  </si>
  <si>
    <t>Ryan Gravenberch</t>
  </si>
  <si>
    <t>Koopmeiners</t>
  </si>
  <si>
    <t>[ NED ] TEUN KOOPMEINERS</t>
  </si>
  <si>
    <t>TEUN KOOPMEINERS</t>
  </si>
  <si>
    <t>Teun Koopmeiners</t>
  </si>
  <si>
    <t>Malen</t>
  </si>
  <si>
    <t>[ NED ] DONYELL MALEN</t>
  </si>
  <si>
    <t>DONYELL MALEN</t>
  </si>
  <si>
    <t>Donyell Malen</t>
  </si>
  <si>
    <t>Reijnders</t>
  </si>
  <si>
    <t>[ NED ] TIJJANI REIJNDERS</t>
  </si>
  <si>
    <t>TIJJANI REIJNDERS</t>
  </si>
  <si>
    <t>Tijjani Reijnders</t>
  </si>
  <si>
    <t>Schouten</t>
  </si>
  <si>
    <t>[ NED ] JERDY SCHOUTEN</t>
  </si>
  <si>
    <t>JERDY SCHOUTEN</t>
  </si>
  <si>
    <t>Jerdy Schouten</t>
  </si>
  <si>
    <t>Simons</t>
  </si>
  <si>
    <t>[ NED ] XAVI SIMONS</t>
  </si>
  <si>
    <t>XAVI SIMONS</t>
  </si>
  <si>
    <t>Xavi Simons</t>
  </si>
  <si>
    <t>van de Ven</t>
  </si>
  <si>
    <t>[ NED ] MICKY VAN DE VEN</t>
  </si>
  <si>
    <t>MICKY VAN DE VEN</t>
  </si>
  <si>
    <t>Micky van de Ven</t>
  </si>
  <si>
    <t>van Dijk</t>
  </si>
  <si>
    <t>[ NED ] VIRGIL VAN DIJK</t>
  </si>
  <si>
    <t>VIRGIL VAN DIJK</t>
  </si>
  <si>
    <t>Virgil van Dijk</t>
  </si>
  <si>
    <t>Veerman</t>
  </si>
  <si>
    <t>[ NED ] JOEY VEERMAN</t>
  </si>
  <si>
    <t>JOEY VEERMAN</t>
  </si>
  <si>
    <t>Joey Veerman</t>
  </si>
  <si>
    <t>Verbruggen</t>
  </si>
  <si>
    <t>[ NED ] BART VERBRUGGEN</t>
  </si>
  <si>
    <t>BART VERBRUGGEN</t>
  </si>
  <si>
    <t>Bart Verbruggen</t>
  </si>
  <si>
    <t>Weghorst</t>
  </si>
  <si>
    <t>[ NED ] WOUT WEGHORST</t>
  </si>
  <si>
    <t>WOUT WEGHORST</t>
  </si>
  <si>
    <t>Wout Weghorst</t>
  </si>
  <si>
    <t>Wijnaldum</t>
  </si>
  <si>
    <t>[ NED ] GEORGINIO WIJNALDUM</t>
  </si>
  <si>
    <t>GEORGINIO WIJNALDUM</t>
  </si>
  <si>
    <t>Georginio Wijnaldum</t>
  </si>
  <si>
    <t>Arnautović</t>
  </si>
  <si>
    <t>[ AUT ] MARKO ARNAUTOVIĆ</t>
  </si>
  <si>
    <t>MARKO ARNAUTOVIĆ</t>
  </si>
  <si>
    <t>Marko Arnautović</t>
  </si>
  <si>
    <t>Baumgartner</t>
  </si>
  <si>
    <t>[ AUT ] CHRISTOPH BAUMGARTNER</t>
  </si>
  <si>
    <t>CHRISTOPH BAUMGARTNER</t>
  </si>
  <si>
    <t>Christoph Baumgartner</t>
  </si>
  <si>
    <t>Daniliuc</t>
  </si>
  <si>
    <t>[ AUT ] FLAVIUS DANILIUC</t>
  </si>
  <si>
    <t>FLAVIUS DANILIUC</t>
  </si>
  <si>
    <t>Flavius Daniliuc</t>
  </si>
  <si>
    <t>Danso</t>
  </si>
  <si>
    <t>[ AUT ] KEVIN DANSO</t>
  </si>
  <si>
    <t>KEVIN DANSO</t>
  </si>
  <si>
    <t>Kevin Danso</t>
  </si>
  <si>
    <t>Entrup</t>
  </si>
  <si>
    <t>[ AUT ] MAXIMILIAN ENTRUP</t>
  </si>
  <si>
    <t>MAXIMILIAN ENTRUP</t>
  </si>
  <si>
    <t>Maximilian Entrup</t>
  </si>
  <si>
    <t>Gregoritsch</t>
  </si>
  <si>
    <t>[ AUT ] MICHAEL GREGORITSCH</t>
  </si>
  <si>
    <t>MICHAEL GREGORITSCH</t>
  </si>
  <si>
    <t>Michael Gregoritsch</t>
  </si>
  <si>
    <t>Grillitsch</t>
  </si>
  <si>
    <t>[ AUT ] FLORIAN GRILLITSCH</t>
  </si>
  <si>
    <t>FLORIAN GRILLITSCH</t>
  </si>
  <si>
    <t>Florian Grillitsch</t>
  </si>
  <si>
    <t>Grüll</t>
  </si>
  <si>
    <t>[ AUT ] MARCO GRÜLL</t>
  </si>
  <si>
    <t>MARCO GRÜLL</t>
  </si>
  <si>
    <t>Marco Grüll</t>
  </si>
  <si>
    <t>Hedl</t>
  </si>
  <si>
    <t>[ AUT ] NIKLAS HEDL</t>
  </si>
  <si>
    <t>NIKLAS HEDL</t>
  </si>
  <si>
    <t>Niklas Hedl</t>
  </si>
  <si>
    <t>Kainz</t>
  </si>
  <si>
    <t>[ AUT ] FLORIAN KAINZ</t>
  </si>
  <si>
    <t>FLORIAN KAINZ</t>
  </si>
  <si>
    <t>Florian Kainz</t>
  </si>
  <si>
    <t>Laimer</t>
  </si>
  <si>
    <t>[ AUT ] KONRAD LAIMER</t>
  </si>
  <si>
    <t>KONRAD LAIMER</t>
  </si>
  <si>
    <t>Konrad Laimer</t>
  </si>
  <si>
    <t>Lienhart</t>
  </si>
  <si>
    <t>[ AUT ] PHILIPP LIENHART</t>
  </si>
  <si>
    <t>PHILIPP LIENHART</t>
  </si>
  <si>
    <t>Philipp Lienhart</t>
  </si>
  <si>
    <t>Lindner</t>
  </si>
  <si>
    <t>[ AUT ] HEINZ LINDNER</t>
  </si>
  <si>
    <t>HEINZ LINDNER</t>
  </si>
  <si>
    <t>Heinz Lindner</t>
  </si>
  <si>
    <t>Mwene</t>
  </si>
  <si>
    <t>[ AUT ] PHILLIPP MWENE</t>
  </si>
  <si>
    <t>PHILLIPP MWENE</t>
  </si>
  <si>
    <t>Phillipp Mwene</t>
  </si>
  <si>
    <t>Pentz</t>
  </si>
  <si>
    <t>[ AUT ] PATRICK PENTZ</t>
  </si>
  <si>
    <t>PATRICK PENTZ</t>
  </si>
  <si>
    <t>Patrick Pentz</t>
  </si>
  <si>
    <t>Posch</t>
  </si>
  <si>
    <t>[ AUT ] STEFAN POSCH</t>
  </si>
  <si>
    <t>STEFAN POSCH</t>
  </si>
  <si>
    <t>Stefan Posch</t>
  </si>
  <si>
    <t>Prass</t>
  </si>
  <si>
    <t>[ AUT ] ALEXANDER PRASS</t>
  </si>
  <si>
    <t>ALEXANDER PRASS</t>
  </si>
  <si>
    <t>Alexander Prass</t>
  </si>
  <si>
    <t>Querfeld</t>
  </si>
  <si>
    <t>[ AUT ] LEOPOLD QUERFELD</t>
  </si>
  <si>
    <t>LEOPOLD QUERFELD</t>
  </si>
  <si>
    <t>Leopold Querfeld</t>
  </si>
  <si>
    <t>Sabitzer</t>
  </si>
  <si>
    <t>[ AUT ] MARCEL SABITZER</t>
  </si>
  <si>
    <t>MARCEL SABITZER</t>
  </si>
  <si>
    <t>Marcel Sabitzer</t>
  </si>
  <si>
    <t>Schmid</t>
  </si>
  <si>
    <t>[ AUT ] ROMANO SCHMID</t>
  </si>
  <si>
    <t>ROMANO SCHMID</t>
  </si>
  <si>
    <t>Romano Schmid</t>
  </si>
  <si>
    <t>Seidl</t>
  </si>
  <si>
    <t>[ AUT ] MATTHIAS SEIDL</t>
  </si>
  <si>
    <t>MATTHIAS SEIDL</t>
  </si>
  <si>
    <t>Matthias Seidl</t>
  </si>
  <si>
    <t>Seiwald</t>
  </si>
  <si>
    <t>[ AUT ] NICOLAS SEIWALD</t>
  </si>
  <si>
    <t>NICOLAS SEIWALD</t>
  </si>
  <si>
    <t>Nicolas Seiwald</t>
  </si>
  <si>
    <t>Trauner</t>
  </si>
  <si>
    <t>[ AUT ] GERNOT TRAUNER</t>
  </si>
  <si>
    <t>GERNOT TRAUNER</t>
  </si>
  <si>
    <t>Gernot Trauner</t>
  </si>
  <si>
    <t>Weimann</t>
  </si>
  <si>
    <t>[ AUT ] ANDREAS WEIMANN</t>
  </si>
  <si>
    <t>ANDREAS WEIMANN</t>
  </si>
  <si>
    <t>Andreas Weimann</t>
  </si>
  <si>
    <t>Wimmer</t>
  </si>
  <si>
    <t>[ AUT ] PATRICK WIMMER</t>
  </si>
  <si>
    <t>PATRICK WIMMER</t>
  </si>
  <si>
    <t>Patrick Wimmer</t>
  </si>
  <si>
    <t>Wöber</t>
  </si>
  <si>
    <t>[ AUT ] MAXIMILIAN WÖBER</t>
  </si>
  <si>
    <t>MAXIMILIAN WÖBER</t>
  </si>
  <si>
    <t>Maximilian Wöber</t>
  </si>
  <si>
    <t>Bednarek</t>
  </si>
  <si>
    <t>[ POL ] JAN BEDNAREK</t>
  </si>
  <si>
    <t>JAN BEDNAREK</t>
  </si>
  <si>
    <t>Jan Bednarek</t>
  </si>
  <si>
    <t>Bereszyński</t>
  </si>
  <si>
    <t>[ POL ] BARTOSZ BERESZYŃSKI</t>
  </si>
  <si>
    <t>BARTOSZ BERESZYŃSKI</t>
  </si>
  <si>
    <t>Bartosz Bereszyński</t>
  </si>
  <si>
    <t>Buksa</t>
  </si>
  <si>
    <t>[ POL ] ADAM BUKSA</t>
  </si>
  <si>
    <t>ADAM BUKSA</t>
  </si>
  <si>
    <t>Adam Buksa</t>
  </si>
  <si>
    <t>Bulka</t>
  </si>
  <si>
    <t>[ POL ] MARCIN BULKA</t>
  </si>
  <si>
    <t>MARCIN BULKA</t>
  </si>
  <si>
    <t>Marcin Bulka</t>
  </si>
  <si>
    <t>Dawidowicz</t>
  </si>
  <si>
    <t>[ POL ] PAWEŁ DAWIDOWICZ</t>
  </si>
  <si>
    <t>PAWEŁ DAWIDOWICZ</t>
  </si>
  <si>
    <t>Paweł Dawidowicz</t>
  </si>
  <si>
    <t>Frankowski</t>
  </si>
  <si>
    <t>[ POL ] PRZEMYSŁAW FRANKOWSKI</t>
  </si>
  <si>
    <t>PRZEMYSŁAW FRANKOWSKI</t>
  </si>
  <si>
    <t>Przemysław Frankowski</t>
  </si>
  <si>
    <t>Grosicki</t>
  </si>
  <si>
    <t>[ POL ] KAMIL GROSICKI</t>
  </si>
  <si>
    <t>KAMIL GROSICKI</t>
  </si>
  <si>
    <t>Kamil Grosicki</t>
  </si>
  <si>
    <t>Kiwior</t>
  </si>
  <si>
    <t>[ POL ] JAKUB KIWIOR</t>
  </si>
  <si>
    <t>JAKUB KIWIOR</t>
  </si>
  <si>
    <t>Jakub Kiwior</t>
  </si>
  <si>
    <t>Lewandowski</t>
  </si>
  <si>
    <t>[ POL ] ROBERT LEWANDOWSKI</t>
  </si>
  <si>
    <t>ROBERT LEWANDOWSKI</t>
  </si>
  <si>
    <t>Robert Lewandowski</t>
  </si>
  <si>
    <t>Moder</t>
  </si>
  <si>
    <t>[ POL ] JAKUB MODER</t>
  </si>
  <si>
    <t>JAKUB MODER</t>
  </si>
  <si>
    <t>Jakub Moder</t>
  </si>
  <si>
    <t>Piątek</t>
  </si>
  <si>
    <t>[ POL ] KRZYSZTOF PIĄTEK</t>
  </si>
  <si>
    <t>KRZYSZTOF PIĄTEK</t>
  </si>
  <si>
    <t>Krzysztof Piątek</t>
  </si>
  <si>
    <t>Piotrowski</t>
  </si>
  <si>
    <t>[ POL ] JAKUB PIOTROWSKI</t>
  </si>
  <si>
    <t>JAKUB PIOTROWSKI</t>
  </si>
  <si>
    <t>Jakub Piotrowski</t>
  </si>
  <si>
    <t>Puchacz</t>
  </si>
  <si>
    <t>[ POL ] TYMOTEUSZ PUCHACZ</t>
  </si>
  <si>
    <t>TYMOTEUSZ PUCHACZ</t>
  </si>
  <si>
    <t>Tymoteusz Puchacz</t>
  </si>
  <si>
    <t>Romanczuk</t>
  </si>
  <si>
    <t>[ POL ] TARAS ROMANCZUK</t>
  </si>
  <si>
    <t>TARAS ROMANCZUK</t>
  </si>
  <si>
    <t>Taras Romanczuk</t>
  </si>
  <si>
    <t>Salamon</t>
  </si>
  <si>
    <t>[ POL ] BARTOSZ SALAMON</t>
  </si>
  <si>
    <t>BARTOSZ SALAMON</t>
  </si>
  <si>
    <t>Bartosz Salamon</t>
  </si>
  <si>
    <t>Skóraś</t>
  </si>
  <si>
    <t>[ POL ] MICHAŁ SKÓRAŚ</t>
  </si>
  <si>
    <t>MICHAŁ SKÓRAŚ</t>
  </si>
  <si>
    <t>Michał Skóraś</t>
  </si>
  <si>
    <t>Skorupski</t>
  </si>
  <si>
    <t>[ POL ] ŁUKASZ SKORUPSKI</t>
  </si>
  <si>
    <t>ŁUKASZ SKORUPSKI</t>
  </si>
  <si>
    <t>Łukasz Skorupski</t>
  </si>
  <si>
    <t>Slisz</t>
  </si>
  <si>
    <t>[ POL ] BARTOSZ SLISZ</t>
  </si>
  <si>
    <t>BARTOSZ SLISZ</t>
  </si>
  <si>
    <t>Bartosz Slisz</t>
  </si>
  <si>
    <t>Świderski</t>
  </si>
  <si>
    <t>[ POL ] KAROL ŚWIDERSKI</t>
  </si>
  <si>
    <t>KAROL ŚWIDERSKI</t>
  </si>
  <si>
    <t>Karol Świderski</t>
  </si>
  <si>
    <t>Szczęsny</t>
  </si>
  <si>
    <t>[ POL ] WOJCIECH SZCZĘSNY</t>
  </si>
  <si>
    <t>WOJCIECH SZCZĘSNY</t>
  </si>
  <si>
    <t>Wojciech Szczęsny</t>
  </si>
  <si>
    <t>Szymański</t>
  </si>
  <si>
    <t>[ POL ] DAMIAN SZYMAŃSKI</t>
  </si>
  <si>
    <t>DAMIAN SZYMAŃSKI</t>
  </si>
  <si>
    <t>Damian Szymański</t>
  </si>
  <si>
    <t>[ POL ] SEBASTIAN SZYMAŃSKI</t>
  </si>
  <si>
    <t>SEBASTIAN SZYMAŃSKI</t>
  </si>
  <si>
    <t>Sebastian Szymański</t>
  </si>
  <si>
    <t>Urbański</t>
  </si>
  <si>
    <t>[ POL ] KACPER URBAŃSKI</t>
  </si>
  <si>
    <t>KACPER URBAŃSKI</t>
  </si>
  <si>
    <t>Kacper Urbański</t>
  </si>
  <si>
    <t>Walukiewicz</t>
  </si>
  <si>
    <t>[ POL ] SEBASTIAN WALUKIEWICZ</t>
  </si>
  <si>
    <t>SEBASTIAN WALUKIEWICZ</t>
  </si>
  <si>
    <t>Sebastian Walukiewicz</t>
  </si>
  <si>
    <t>Zalewski</t>
  </si>
  <si>
    <t>[ POL ] NICOLA ZALEWSKI</t>
  </si>
  <si>
    <t>NICOLA ZALEWSKI</t>
  </si>
  <si>
    <t>Nicola Zalewski</t>
  </si>
  <si>
    <t>Zieliński</t>
  </si>
  <si>
    <t>[ POL ] PIOTR ZIELIŃSKI</t>
  </si>
  <si>
    <t>PIOTR ZIELIŃSKI</t>
  </si>
  <si>
    <t>Piotr Zieliński</t>
  </si>
  <si>
    <t>Cancelo</t>
  </si>
  <si>
    <t>[ POR ] JOÃO CANCELO</t>
  </si>
  <si>
    <t>JOÃO CANCELO</t>
  </si>
  <si>
    <t>João Cancelo</t>
  </si>
  <si>
    <t>Conceição</t>
  </si>
  <si>
    <t>[ POR ] FRANCISCO CONCEIÇÃO</t>
  </si>
  <si>
    <t>FRANCISCO CONCEIÇÃO</t>
  </si>
  <si>
    <t>Francisco Conceição</t>
  </si>
  <si>
    <t>Costa</t>
  </si>
  <si>
    <t>[ POR ] DIOGO COSTA</t>
  </si>
  <si>
    <t>DIOGO COSTA</t>
  </si>
  <si>
    <t>Diogo Costa</t>
  </si>
  <si>
    <t>Cristiano Ronaldo</t>
  </si>
  <si>
    <t>[ POR ] 0 CRISTIANO RONALDO</t>
  </si>
  <si>
    <t>0 CRISTIANO RONALDO</t>
  </si>
  <si>
    <t>0 Cristiano Ronaldo</t>
  </si>
  <si>
    <t>Dalot</t>
  </si>
  <si>
    <t>[ POR ] DIOGO DALOT</t>
  </si>
  <si>
    <t>DIOGO DALOT</t>
  </si>
  <si>
    <t>Diogo Dalot</t>
  </si>
  <si>
    <t>Danilo</t>
  </si>
  <si>
    <t>[ POR ] DANILO</t>
  </si>
  <si>
    <t>DANILO</t>
  </si>
  <si>
    <t>Dias</t>
  </si>
  <si>
    <t>[ POR ] RÚBEN DIAS</t>
  </si>
  <si>
    <t>RÚBEN DIAS</t>
  </si>
  <si>
    <t>Rúben Dias</t>
  </si>
  <si>
    <t>Félix</t>
  </si>
  <si>
    <t>[ POR ] JOÃO FÉLIX</t>
  </si>
  <si>
    <t>JOÃO FÉLIX</t>
  </si>
  <si>
    <t>João Félix</t>
  </si>
  <si>
    <t>Fernandes</t>
  </si>
  <si>
    <t>[ POR ] BRUNO FERNANDES</t>
  </si>
  <si>
    <t>BRUNO FERNANDES</t>
  </si>
  <si>
    <t>Bruno Fernandes</t>
  </si>
  <si>
    <t>Inácio</t>
  </si>
  <si>
    <t>[ POR ] GONÇALO INÁCIO</t>
  </si>
  <si>
    <t>GONÇALO INÁCIO</t>
  </si>
  <si>
    <t>Gonçalo Inácio</t>
  </si>
  <si>
    <t>Jota</t>
  </si>
  <si>
    <t>[ POR ] DIOGO JOTA</t>
  </si>
  <si>
    <t>DIOGO JOTA</t>
  </si>
  <si>
    <t>Diogo Jota</t>
  </si>
  <si>
    <t>Leão</t>
  </si>
  <si>
    <t>[ POR ] RAFAEL LEÃO</t>
  </si>
  <si>
    <t>RAFAEL LEÃO</t>
  </si>
  <si>
    <t>Rafael Leão</t>
  </si>
  <si>
    <t>Mendes</t>
  </si>
  <si>
    <t>[ POR ] NUNO MENDES</t>
  </si>
  <si>
    <t>NUNO MENDES</t>
  </si>
  <si>
    <t>Nuno Mendes</t>
  </si>
  <si>
    <t>Neto</t>
  </si>
  <si>
    <t>[ POR ] PEDRO NETO</t>
  </si>
  <si>
    <t>PEDRO NETO</t>
  </si>
  <si>
    <t>Pedro Neto</t>
  </si>
  <si>
    <t>Neves</t>
  </si>
  <si>
    <t>[ POR ] JOÃO NEVES</t>
  </si>
  <si>
    <t>JOÃO NEVES</t>
  </si>
  <si>
    <t>João Neves</t>
  </si>
  <si>
    <t>[ POR ] RÚBEN NEVES</t>
  </si>
  <si>
    <t>RÚBEN NEVES</t>
  </si>
  <si>
    <t>Rúben Neves</t>
  </si>
  <si>
    <t>Nunes</t>
  </si>
  <si>
    <t>[ POR ] MATHEUS NUNES</t>
  </si>
  <si>
    <t>MATHEUS NUNES</t>
  </si>
  <si>
    <t>Matheus Nunes</t>
  </si>
  <si>
    <t>Palhinha</t>
  </si>
  <si>
    <t>[ POR ] JOÃO PALHINHA</t>
  </si>
  <si>
    <t>JOÃO PALHINHA</t>
  </si>
  <si>
    <t>João Palhinha</t>
  </si>
  <si>
    <t>Patrício</t>
  </si>
  <si>
    <t>[ POR ] RUI PATRÍCIO</t>
  </si>
  <si>
    <t>RUI PATRÍCIO</t>
  </si>
  <si>
    <t>Rui Patrício</t>
  </si>
  <si>
    <t>Pepe</t>
  </si>
  <si>
    <t>[ POR ] PEPE</t>
  </si>
  <si>
    <t>PEPE</t>
  </si>
  <si>
    <t>Ramos</t>
  </si>
  <si>
    <t>[ POR ] GONÇALO RAMOS</t>
  </si>
  <si>
    <t>GONÇALO RAMOS</t>
  </si>
  <si>
    <t>Gonçalo Ramos</t>
  </si>
  <si>
    <t>Sá</t>
  </si>
  <si>
    <t>[ POR ] JOSÉ SÁ</t>
  </si>
  <si>
    <t>JOSÉ SÁ</t>
  </si>
  <si>
    <t>José Sá</t>
  </si>
  <si>
    <t>Semedo</t>
  </si>
  <si>
    <t>[ POR ] NÉLSON SEMEDO</t>
  </si>
  <si>
    <t>NÉLSON SEMEDO</t>
  </si>
  <si>
    <t>Nélson Semedo</t>
  </si>
  <si>
    <t>Silva</t>
  </si>
  <si>
    <t>[ POR ] ANTÓNIO SILVA</t>
  </si>
  <si>
    <t>ANTÓNIO SILVA</t>
  </si>
  <si>
    <t>António Silva</t>
  </si>
  <si>
    <t>[ POR ] BERNARDO SILVA</t>
  </si>
  <si>
    <t>BERNARDO SILVA</t>
  </si>
  <si>
    <t>Bernardo Silva</t>
  </si>
  <si>
    <t>Vitinha</t>
  </si>
  <si>
    <t>[ POR ] VITINHA</t>
  </si>
  <si>
    <t>VITINHA</t>
  </si>
  <si>
    <t>Alibec</t>
  </si>
  <si>
    <t>[ ROM ] DENIS ALIBEC</t>
  </si>
  <si>
    <t>DENIS ALIBEC</t>
  </si>
  <si>
    <t>Denis Alibec</t>
  </si>
  <si>
    <t>Bancu</t>
  </si>
  <si>
    <t>[ ROM ] NICUȘOR BANCU</t>
  </si>
  <si>
    <t>NICUȘOR BANCU</t>
  </si>
  <si>
    <t>Nicușor Bancu</t>
  </si>
  <si>
    <t>Bîrligea</t>
  </si>
  <si>
    <t>[ ROM ] DANIEL BÎRLIGEA</t>
  </si>
  <si>
    <t>DANIEL BÎRLIGEA</t>
  </si>
  <si>
    <t>Daniel Bîrligea</t>
  </si>
  <si>
    <t>Burcă</t>
  </si>
  <si>
    <t>[ ROM ] ANDREI BURCĂ</t>
  </si>
  <si>
    <t>ANDREI BURCĂ</t>
  </si>
  <si>
    <t>Andrei Burcă</t>
  </si>
  <si>
    <t>Cicâldău</t>
  </si>
  <si>
    <t>[ ROM ] ALEXANDRU CICÂLDĂU</t>
  </si>
  <si>
    <t>ALEXANDRU CICÂLDĂU</t>
  </si>
  <si>
    <t>Alexandru Cicâldău</t>
  </si>
  <si>
    <t>[ ROM ] FLORINEL COMAN</t>
  </si>
  <si>
    <t>FLORINEL COMAN</t>
  </si>
  <si>
    <t>Florinel Coman</t>
  </si>
  <si>
    <t>Drăguş</t>
  </si>
  <si>
    <t>[ ROM ] DENIS DRĂGUŞ</t>
  </si>
  <si>
    <t>DENIS DRĂGUŞ</t>
  </si>
  <si>
    <t>Denis Drăguş</t>
  </si>
  <si>
    <t>Drăgușin</t>
  </si>
  <si>
    <t>[ ROM ] RADU DRĂGUȘIN</t>
  </si>
  <si>
    <t>RADU DRĂGUȘIN</t>
  </si>
  <si>
    <t>Radu Drăgușin</t>
  </si>
  <si>
    <t>Hagi</t>
  </si>
  <si>
    <t>[ ROM ] IANIS HAGI</t>
  </si>
  <si>
    <t>IANIS HAGI</t>
  </si>
  <si>
    <t>Ianis Hagi</t>
  </si>
  <si>
    <t>Man</t>
  </si>
  <si>
    <t>[ ROM ] DENNIS MAN</t>
  </si>
  <si>
    <t>DENNIS MAN</t>
  </si>
  <si>
    <t>Dennis Man</t>
  </si>
  <si>
    <t>Marin</t>
  </si>
  <si>
    <t>[ ROM ] MARIUS MARIN</t>
  </si>
  <si>
    <t>MARIUS MARIN</t>
  </si>
  <si>
    <t>Marius Marin</t>
  </si>
  <si>
    <t>[ ROM ] RĂZVAN MARIN</t>
  </si>
  <si>
    <t>RĂZVAN MARIN</t>
  </si>
  <si>
    <t>Răzvan Marin</t>
  </si>
  <si>
    <t>Mihăilă</t>
  </si>
  <si>
    <t>[ ROM ] VALENTIN MIHĂILĂ</t>
  </si>
  <si>
    <t>VALENTIN MIHĂILĂ</t>
  </si>
  <si>
    <t>Valentin Mihăilă</t>
  </si>
  <si>
    <t>Mogoș</t>
  </si>
  <si>
    <t>[ ROM ] VASILE MOGOȘ</t>
  </si>
  <si>
    <t>VASILE MOGOȘ</t>
  </si>
  <si>
    <t>Vasile Mogoș</t>
  </si>
  <si>
    <t>Moldovan</t>
  </si>
  <si>
    <t>[ ROM ] HORAȚIU MOLDOVAN</t>
  </si>
  <si>
    <t>HORAȚIU MOLDOVAN</t>
  </si>
  <si>
    <t>Horațiu Moldovan</t>
  </si>
  <si>
    <t>Nedelcearu</t>
  </si>
  <si>
    <t>[ ROM ] IONUŢ NEDELCEARU</t>
  </si>
  <si>
    <t>IONUŢ NEDELCEARU</t>
  </si>
  <si>
    <t>Ionuţ Nedelcearu</t>
  </si>
  <si>
    <t>Niță</t>
  </si>
  <si>
    <t>[ ROM ] FLORIN NIȚĂ</t>
  </si>
  <si>
    <t>FLORIN NIȚĂ</t>
  </si>
  <si>
    <t>Florin Niță</t>
  </si>
  <si>
    <t>Olaru</t>
  </si>
  <si>
    <t>[ ROM ] DARIUS OLARU</t>
  </si>
  <si>
    <t>DARIUS OLARU</t>
  </si>
  <si>
    <t>Darius Olaru</t>
  </si>
  <si>
    <t>Puşcaş</t>
  </si>
  <si>
    <t>[ ROM ] GEORGE PUŞCAŞ</t>
  </si>
  <si>
    <t>GEORGE PUŞCAŞ</t>
  </si>
  <si>
    <t>George Puşcaş</t>
  </si>
  <si>
    <t>Racoviţan</t>
  </si>
  <si>
    <t>[ ROM ] BOGDAN RACOVIŢAN</t>
  </si>
  <si>
    <t>BOGDAN RACOVIŢAN</t>
  </si>
  <si>
    <t>Bogdan Racoviţan</t>
  </si>
  <si>
    <t>Rațiu</t>
  </si>
  <si>
    <t>[ ROM ] ANDREI RAȚIU</t>
  </si>
  <si>
    <t>ANDREI RAȚIU</t>
  </si>
  <si>
    <t>Andrei Rațiu</t>
  </si>
  <si>
    <t>Rus</t>
  </si>
  <si>
    <t>[ ROM ] ADRIAN RUS</t>
  </si>
  <si>
    <t>ADRIAN RUS</t>
  </si>
  <si>
    <t>Adrian Rus</t>
  </si>
  <si>
    <t>Sorescu</t>
  </si>
  <si>
    <t>[ ROM ] DEIAN SORESCU</t>
  </si>
  <si>
    <t>DEIAN SORESCU</t>
  </si>
  <si>
    <t>Deian Sorescu</t>
  </si>
  <si>
    <t>Stanciu</t>
  </si>
  <si>
    <t>[ ROM ] NICOLAE STANCIU</t>
  </si>
  <si>
    <t>NICOLAE STANCIU</t>
  </si>
  <si>
    <t>Nicolae Stanciu</t>
  </si>
  <si>
    <t>Șut</t>
  </si>
  <si>
    <t>[ ROM ] ADRIAN ȘUT</t>
  </si>
  <si>
    <t>ADRIAN ȘUT</t>
  </si>
  <si>
    <t>Adrian Șut</t>
  </si>
  <si>
    <t>Târnovanu</t>
  </si>
  <si>
    <t>[ ROM ] ŞTEFAN TÂRNOVANU</t>
  </si>
  <si>
    <t>ŞTEFAN TÂRNOVANU</t>
  </si>
  <si>
    <t>Ştefan Târnovanu</t>
  </si>
  <si>
    <t>Adams</t>
  </si>
  <si>
    <t>[ SCO ] CHÉ ADAMS</t>
  </si>
  <si>
    <t>CHÉ ADAMS</t>
  </si>
  <si>
    <t>Ché Adams</t>
  </si>
  <si>
    <t>Armstrong</t>
  </si>
  <si>
    <t>[ SCO ] STUART ARMSTRONG</t>
  </si>
  <si>
    <t>STUART ARMSTRONG</t>
  </si>
  <si>
    <t>Stuart Armstrong</t>
  </si>
  <si>
    <t>Christie</t>
  </si>
  <si>
    <t>[ SCO ] RYAN CHRISTIE</t>
  </si>
  <si>
    <t>RYAN CHRISTIE</t>
  </si>
  <si>
    <t>Ryan Christie</t>
  </si>
  <si>
    <t>Clark</t>
  </si>
  <si>
    <t>[ SCO ] ZANDER CLARK</t>
  </si>
  <si>
    <t>ZANDER CLARK</t>
  </si>
  <si>
    <t>Zander Clark</t>
  </si>
  <si>
    <t>Conway</t>
  </si>
  <si>
    <t>[ SCO ] TOMMY CONWAY</t>
  </si>
  <si>
    <t>TOMMY CONWAY</t>
  </si>
  <si>
    <t>Tommy Conway</t>
  </si>
  <si>
    <t>Cooper</t>
  </si>
  <si>
    <t>[ SCO ] LIAM COOPER</t>
  </si>
  <si>
    <t>LIAM COOPER</t>
  </si>
  <si>
    <t>Liam Cooper</t>
  </si>
  <si>
    <t>Forrest</t>
  </si>
  <si>
    <t>[ SCO ] JAMES FORREST</t>
  </si>
  <si>
    <t>JAMES FORREST</t>
  </si>
  <si>
    <t>James Forrest</t>
  </si>
  <si>
    <t>Gilmour</t>
  </si>
  <si>
    <t>[ SCO ] BILLY GILMOUR</t>
  </si>
  <si>
    <t>BILLY GILMOUR</t>
  </si>
  <si>
    <t>Billy Gilmour</t>
  </si>
  <si>
    <t>Gunn</t>
  </si>
  <si>
    <t>[ SCO ] ANGUS GUNN</t>
  </si>
  <si>
    <t>ANGUS GUNN</t>
  </si>
  <si>
    <t>Angus Gunn</t>
  </si>
  <si>
    <t>Hanley</t>
  </si>
  <si>
    <t>[ SCO ] GRANT HANLEY</t>
  </si>
  <si>
    <t>GRANT HANLEY</t>
  </si>
  <si>
    <t>Grant Hanley</t>
  </si>
  <si>
    <t>Hendry</t>
  </si>
  <si>
    <t>[ SCO ] JACK HENDRY</t>
  </si>
  <si>
    <t>JACK HENDRY</t>
  </si>
  <si>
    <t>Jack Hendry</t>
  </si>
  <si>
    <t>Jack</t>
  </si>
  <si>
    <t>[ SCO ] RYAN JACK</t>
  </si>
  <si>
    <t>RYAN JACK</t>
  </si>
  <si>
    <t>Ryan Jack</t>
  </si>
  <si>
    <t>Kelly</t>
  </si>
  <si>
    <t>[ SCO ] LIAM KELLY</t>
  </si>
  <si>
    <t>LIAM KELLY</t>
  </si>
  <si>
    <t>Liam Kelly</t>
  </si>
  <si>
    <t>McCrorie</t>
  </si>
  <si>
    <t>[ SCO ] ROSS MCCRORIE</t>
  </si>
  <si>
    <t>ROSS MCCRORIE</t>
  </si>
  <si>
    <t>Ross McCrorie</t>
  </si>
  <si>
    <t>McGinn</t>
  </si>
  <si>
    <t>[ SCO ] JOHN MCGINN</t>
  </si>
  <si>
    <t>JOHN MCGINN</t>
  </si>
  <si>
    <t>John McGinn</t>
  </si>
  <si>
    <t>McGregor</t>
  </si>
  <si>
    <t>[ SCO ] CALLUM MCGREGOR</t>
  </si>
  <si>
    <t>CALLUM MCGREGOR</t>
  </si>
  <si>
    <t>Callum McGregor</t>
  </si>
  <si>
    <t>McKenna</t>
  </si>
  <si>
    <t>[ SCO ] SCOTT MCKENNA</t>
  </si>
  <si>
    <t>SCOTT MCKENNA</t>
  </si>
  <si>
    <t>Scott McKenna</t>
  </si>
  <si>
    <t>McLean</t>
  </si>
  <si>
    <t>[ SCO ] KENNY MCLEAN</t>
  </si>
  <si>
    <t>KENNY MCLEAN</t>
  </si>
  <si>
    <t>Kenny McLean</t>
  </si>
  <si>
    <t>McTominay</t>
  </si>
  <si>
    <t>[ SCO ] SCOTT MCTOMINAY</t>
  </si>
  <si>
    <t>SCOTT MCTOMINAY</t>
  </si>
  <si>
    <t>Scott McTominay</t>
  </si>
  <si>
    <t>Morgan</t>
  </si>
  <si>
    <t>[ SCO ] LEWIS MORGAN</t>
  </si>
  <si>
    <t>LEWIS MORGAN</t>
  </si>
  <si>
    <t>Lewis Morgan</t>
  </si>
  <si>
    <t>Porteous</t>
  </si>
  <si>
    <t>[ SCO ] RYAN PORTEOUS</t>
  </si>
  <si>
    <t>RYAN PORTEOUS</t>
  </si>
  <si>
    <t>Ryan Porteous</t>
  </si>
  <si>
    <t>Ralston</t>
  </si>
  <si>
    <t>[ SCO ] ANTHONY RALSTON</t>
  </si>
  <si>
    <t>ANTHONY RALSTON</t>
  </si>
  <si>
    <t>Anthony Ralston</t>
  </si>
  <si>
    <t>Robertson</t>
  </si>
  <si>
    <t>[ SCO ] ANDREW ROBERTSON</t>
  </si>
  <si>
    <t>ANDREW ROBERTSON</t>
  </si>
  <si>
    <t>Andrew Robertson</t>
  </si>
  <si>
    <t>Shankland</t>
  </si>
  <si>
    <t>[ SCO ] LAWRENCE SHANKLAND</t>
  </si>
  <si>
    <t>LAWRENCE SHANKLAND</t>
  </si>
  <si>
    <t>Lawrence Shankland</t>
  </si>
  <si>
    <t>Taylor</t>
  </si>
  <si>
    <t>[ SCO ] GREG TAYLOR</t>
  </si>
  <si>
    <t>GREG TAYLOR</t>
  </si>
  <si>
    <t>Greg Taylor</t>
  </si>
  <si>
    <t>Tierney</t>
  </si>
  <si>
    <t>[ SCO ] KIERAN TIERNEY</t>
  </si>
  <si>
    <t>KIERAN TIERNEY</t>
  </si>
  <si>
    <t>Kieran Tierney</t>
  </si>
  <si>
    <t>Aebischer</t>
  </si>
  <si>
    <t>[ SUI ] MICHEL AEBISCHER</t>
  </si>
  <si>
    <t>MICHEL AEBISCHER</t>
  </si>
  <si>
    <t>Michel Aebischer</t>
  </si>
  <si>
    <t>Akanji</t>
  </si>
  <si>
    <t>[ SUI ] MANUEL AKANJI</t>
  </si>
  <si>
    <t>MANUEL AKANJI</t>
  </si>
  <si>
    <t>Manuel Akanji</t>
  </si>
  <si>
    <t>Amdouni</t>
  </si>
  <si>
    <t>[ SUI ] ZEKI AMDOUNI</t>
  </si>
  <si>
    <t>ZEKI AMDOUNI</t>
  </si>
  <si>
    <t>Zeki Amdouni</t>
  </si>
  <si>
    <t>Duah</t>
  </si>
  <si>
    <t>[ SUI ] KWADWO DUAH</t>
  </si>
  <si>
    <t>KWADWO DUAH</t>
  </si>
  <si>
    <t>Kwadwo Duah</t>
  </si>
  <si>
    <t>Elvedi</t>
  </si>
  <si>
    <t>[ SUI ] NICO ELVEDI</t>
  </si>
  <si>
    <t>NICO ELVEDI</t>
  </si>
  <si>
    <t>Nico Elvedi</t>
  </si>
  <si>
    <t>Embolo</t>
  </si>
  <si>
    <t>[ SUI ] BREEL EMBOLO</t>
  </si>
  <si>
    <t>BREEL EMBOLO</t>
  </si>
  <si>
    <t>Breel Embolo</t>
  </si>
  <si>
    <t>Freuler</t>
  </si>
  <si>
    <t>[ SUI ] REMO FREULER</t>
  </si>
  <si>
    <t>REMO FREULER</t>
  </si>
  <si>
    <t>Remo Freuler</t>
  </si>
  <si>
    <t>Jashari</t>
  </si>
  <si>
    <t>[ SUI ] ARDON JASHARI</t>
  </si>
  <si>
    <t>ARDON JASHARI</t>
  </si>
  <si>
    <t>Ardon Jashari</t>
  </si>
  <si>
    <t>Kobel</t>
  </si>
  <si>
    <t>[ SUI ] GREGOR KOBEL</t>
  </si>
  <si>
    <t>GREGOR KOBEL</t>
  </si>
  <si>
    <t>Gregor Kobel</t>
  </si>
  <si>
    <t>Mvogo</t>
  </si>
  <si>
    <t>[ SUI ] YVON MVOGO</t>
  </si>
  <si>
    <t>YVON MVOGO</t>
  </si>
  <si>
    <t>Yvon Mvogo</t>
  </si>
  <si>
    <t>Ndoye</t>
  </si>
  <si>
    <t>[ SUI ] DAN NDOYE</t>
  </si>
  <si>
    <t>DAN NDOYE</t>
  </si>
  <si>
    <t>Dan Ndoye</t>
  </si>
  <si>
    <t>Okafor</t>
  </si>
  <si>
    <t>[ SUI ] NOAH OKAFOR</t>
  </si>
  <si>
    <t>NOAH OKAFOR</t>
  </si>
  <si>
    <t>Noah Okafor</t>
  </si>
  <si>
    <t>Rieder</t>
  </si>
  <si>
    <t>[ SUI ] FABIAN RIEDER</t>
  </si>
  <si>
    <t>FABIAN RIEDER</t>
  </si>
  <si>
    <t>Fabian Rieder</t>
  </si>
  <si>
    <t>Rodríguez</t>
  </si>
  <si>
    <t>[ SUI ] RICARDO RODRÍGUEZ</t>
  </si>
  <si>
    <t>RICARDO RODRÍGUEZ</t>
  </si>
  <si>
    <t>Ricardo Rodríguez</t>
  </si>
  <si>
    <t>Schär</t>
  </si>
  <si>
    <t>[ SUI ] FABIAN SCHÄR</t>
  </si>
  <si>
    <t>FABIAN SCHÄR</t>
  </si>
  <si>
    <t>Fabian Schär</t>
  </si>
  <si>
    <t>Shaqiri</t>
  </si>
  <si>
    <t>[ SUI ] XHERDAN SHAQIRI</t>
  </si>
  <si>
    <t>XHERDAN SHAQIRI</t>
  </si>
  <si>
    <t>Xherdan Shaqiri</t>
  </si>
  <si>
    <t>Sierro</t>
  </si>
  <si>
    <t>[ SUI ] VINCENT SIERRO</t>
  </si>
  <si>
    <t>VINCENT SIERRO</t>
  </si>
  <si>
    <t>Vincent Sierro</t>
  </si>
  <si>
    <t>Sommer</t>
  </si>
  <si>
    <t>[ SUI ] YANN SOMMER</t>
  </si>
  <si>
    <t>YANN SOMMER</t>
  </si>
  <si>
    <t>Yann Sommer</t>
  </si>
  <si>
    <t>Steffen</t>
  </si>
  <si>
    <t>[ SUI ] RENATO STEFFEN</t>
  </si>
  <si>
    <t>RENATO STEFFEN</t>
  </si>
  <si>
    <t>Renato Steffen</t>
  </si>
  <si>
    <t>Stergiou</t>
  </si>
  <si>
    <t>[ SUI ] LEONIDAS STERGIOU</t>
  </si>
  <si>
    <t>LEONIDAS STERGIOU</t>
  </si>
  <si>
    <t>Leonidas Stergiou</t>
  </si>
  <si>
    <t>Vargas</t>
  </si>
  <si>
    <t>[ SUI ] RUBEN VARGAS</t>
  </si>
  <si>
    <t>RUBEN VARGAS</t>
  </si>
  <si>
    <t>Ruben Vargas</t>
  </si>
  <si>
    <t>Widmer</t>
  </si>
  <si>
    <t>[ SUI ] SILVAN WIDMER</t>
  </si>
  <si>
    <t>SILVAN WIDMER</t>
  </si>
  <si>
    <t>Silvan Widmer</t>
  </si>
  <si>
    <t>Xhaka</t>
  </si>
  <si>
    <t>[ SUI ] GRANIT XHAKA</t>
  </si>
  <si>
    <t>GRANIT XHAKA</t>
  </si>
  <si>
    <t>Granit Xhaka</t>
  </si>
  <si>
    <t>Zakaria</t>
  </si>
  <si>
    <t>[ SUI ] DENIS ZAKARIA</t>
  </si>
  <si>
    <t>DENIS ZAKARIA</t>
  </si>
  <si>
    <t>Denis Zakaria</t>
  </si>
  <si>
    <t>Zesiger</t>
  </si>
  <si>
    <t>[ SUI ] CÉDRIC ZESIGER</t>
  </si>
  <si>
    <t>CÉDRIC ZESIGER</t>
  </si>
  <si>
    <t>Cédric Zesiger</t>
  </si>
  <si>
    <t>Zuber</t>
  </si>
  <si>
    <t>[ SUI ] STEVEN ZUBER</t>
  </si>
  <si>
    <t>STEVEN ZUBER</t>
  </si>
  <si>
    <t>Steven Zuber</t>
  </si>
  <si>
    <t>Babić</t>
  </si>
  <si>
    <t>[ SRB ] SRĐAN BABIĆ</t>
  </si>
  <si>
    <t>SRĐAN BABIĆ</t>
  </si>
  <si>
    <t>Srđan Babić</t>
  </si>
  <si>
    <t>Birmančević</t>
  </si>
  <si>
    <t>[ SRB ] VELJKO BIRMANČEVIĆ</t>
  </si>
  <si>
    <t>VELJKO BIRMANČEVIĆ</t>
  </si>
  <si>
    <t>Veljko Birmančević</t>
  </si>
  <si>
    <t>Gaćinović</t>
  </si>
  <si>
    <t>[ SRB ] MIJAT GAĆINOVIĆ</t>
  </si>
  <si>
    <t>MIJAT GAĆINOVIĆ</t>
  </si>
  <si>
    <t>Mijat Gaćinović</t>
  </si>
  <si>
    <t>Gudelj</t>
  </si>
  <si>
    <t>[ SRB ] NEMANJA GUDELJ</t>
  </si>
  <si>
    <t>NEMANJA GUDELJ</t>
  </si>
  <si>
    <t>Nemanja Gudelj</t>
  </si>
  <si>
    <t>Ilić</t>
  </si>
  <si>
    <t>[ SRB ] IVAN ILIĆ</t>
  </si>
  <si>
    <t>IVAN ILIĆ</t>
  </si>
  <si>
    <t>Ivan Ilić</t>
  </si>
  <si>
    <t>Jović</t>
  </si>
  <si>
    <t>[ SRB ] LUKA JOVIĆ</t>
  </si>
  <si>
    <t>LUKA JOVIĆ</t>
  </si>
  <si>
    <t>Luka Jović</t>
  </si>
  <si>
    <t>Kostić</t>
  </si>
  <si>
    <t>[ SRB ] FILIP KOSTIĆ</t>
  </si>
  <si>
    <t>FILIP KOSTIĆ</t>
  </si>
  <si>
    <t>Filip Kostić</t>
  </si>
  <si>
    <t>Lukić</t>
  </si>
  <si>
    <t>[ SRB ] SAŠA LUKIĆ</t>
  </si>
  <si>
    <t>SAŠA LUKIĆ</t>
  </si>
  <si>
    <t>Saša Lukić</t>
  </si>
  <si>
    <t>Maksimović</t>
  </si>
  <si>
    <t>[ SRB ] NEMANJA MAKSIMOVIĆ</t>
  </si>
  <si>
    <t>NEMANJA MAKSIMOVIĆ</t>
  </si>
  <si>
    <t>Nemanja Maksimović</t>
  </si>
  <si>
    <t>Mijailović</t>
  </si>
  <si>
    <t>[ SRB ] SRDJAN MIJAILOVIĆ</t>
  </si>
  <si>
    <t>SRDJAN MIJAILOVIĆ</t>
  </si>
  <si>
    <t>Srdjan Mijailović</t>
  </si>
  <si>
    <t>Milenković</t>
  </si>
  <si>
    <t>[ SRB ] NIKOLA MILENKOVIĆ</t>
  </si>
  <si>
    <t>NIKOLA MILENKOVIĆ</t>
  </si>
  <si>
    <t>Nikola Milenković</t>
  </si>
  <si>
    <t>Milinković-Savić</t>
  </si>
  <si>
    <t>[ SRB ] VANJA MILINKOVIĆ-SAVIĆ</t>
  </si>
  <si>
    <t>VANJA MILINKOVIĆ-SAVIĆ</t>
  </si>
  <si>
    <t>Vanja Milinković-Savić</t>
  </si>
  <si>
    <t>[ SRB ] SERGEJ MILINKOVIĆ-SAVIĆ</t>
  </si>
  <si>
    <t>SERGEJ MILINKOVIĆ-SAVIĆ</t>
  </si>
  <si>
    <t>Sergej Milinković-Savić</t>
  </si>
  <si>
    <t>Mitrović</t>
  </si>
  <si>
    <t>[ SRB ] ALEKSANDAR MITROVIĆ</t>
  </si>
  <si>
    <t>ALEKSANDAR MITROVIĆ</t>
  </si>
  <si>
    <t>Aleksandar Mitrović</t>
  </si>
  <si>
    <t>Mladenović</t>
  </si>
  <si>
    <t>[ SRB ] FILIP MLADENOVIĆ</t>
  </si>
  <si>
    <t>FILIP MLADENOVIĆ</t>
  </si>
  <si>
    <t>Filip Mladenović</t>
  </si>
  <si>
    <t>Pavlović</t>
  </si>
  <si>
    <t>[ SRB ] STRAHINJA PAVLOVIĆ</t>
  </si>
  <si>
    <t>STRAHINJA PAVLOVIĆ</t>
  </si>
  <si>
    <t>Strahinja Pavlović</t>
  </si>
  <si>
    <t>Petrović</t>
  </si>
  <si>
    <t>[ SRB ] ĐORĐE PETROVIĆ</t>
  </si>
  <si>
    <t>ĐORĐE PETROVIĆ</t>
  </si>
  <si>
    <t>Đorđe Petrović</t>
  </si>
  <si>
    <t>Rajković</t>
  </si>
  <si>
    <t>[ SRB ] PREDRAG RAJKOVIĆ</t>
  </si>
  <si>
    <t>PREDRAG RAJKOVIĆ</t>
  </si>
  <si>
    <t>Predrag Rajković</t>
  </si>
  <si>
    <t>Ratkov</t>
  </si>
  <si>
    <t>[ SRB ] PETAR RATKOV</t>
  </si>
  <si>
    <t>PETAR RATKOV</t>
  </si>
  <si>
    <t>Petar Ratkov</t>
  </si>
  <si>
    <t>Samardzic</t>
  </si>
  <si>
    <t>[ SRB ] LAZAR VUJADIN SAMARDZIC</t>
  </si>
  <si>
    <t>LAZAR VUJADIN SAMARDZIC</t>
  </si>
  <si>
    <t>Lazar Vujadin Samardzic</t>
  </si>
  <si>
    <t>Spajić</t>
  </si>
  <si>
    <t>[ SRB ] UROŠ SPAJIĆ</t>
  </si>
  <si>
    <t>UROŠ SPAJIĆ</t>
  </si>
  <si>
    <t>Uroš Spajić</t>
  </si>
  <si>
    <t>Stojić</t>
  </si>
  <si>
    <t>[ SRB ] NEMANJA STOJIĆ</t>
  </si>
  <si>
    <t>NEMANJA STOJIĆ</t>
  </si>
  <si>
    <t>Nemanja Stojić</t>
  </si>
  <si>
    <t>Tadić</t>
  </si>
  <si>
    <t>[ SRB ] DUŠAN TADIĆ</t>
  </si>
  <si>
    <t>DUŠAN TADIĆ</t>
  </si>
  <si>
    <t>Dušan Tadić</t>
  </si>
  <si>
    <t>Veljković</t>
  </si>
  <si>
    <t>[ SRB ] MILOŠ VELJKOVIĆ</t>
  </si>
  <si>
    <t>MILOŠ VELJKOVIĆ</t>
  </si>
  <si>
    <t>Miloš Veljković</t>
  </si>
  <si>
    <t>Vlahović</t>
  </si>
  <si>
    <t>[ SRB ] DUŠAN VLAHOVIĆ</t>
  </si>
  <si>
    <t>DUŠAN VLAHOVIĆ</t>
  </si>
  <si>
    <t>Dušan Vlahović</t>
  </si>
  <si>
    <t>Živković</t>
  </si>
  <si>
    <t>[ SRB ] ANDRIJA ŽIVKOVIĆ</t>
  </si>
  <si>
    <t>ANDRIJA ŽIVKOVIĆ</t>
  </si>
  <si>
    <t>Andrija Živković</t>
  </si>
  <si>
    <t>Bénes</t>
  </si>
  <si>
    <t>[ SVK ] LÁSZLÓ BÉNES</t>
  </si>
  <si>
    <t>LÁSZLÓ BÉNES</t>
  </si>
  <si>
    <t>László Bénes</t>
  </si>
  <si>
    <t>Bero</t>
  </si>
  <si>
    <t>[ SVK ] MATÚŠ BERO</t>
  </si>
  <si>
    <t>MATÚŠ BERO</t>
  </si>
  <si>
    <t>Matúš Bero</t>
  </si>
  <si>
    <t>Boženík</t>
  </si>
  <si>
    <t>[ SVK ] RÓBERT BOŽENÍK</t>
  </si>
  <si>
    <t>RÓBERT BOŽENÍK</t>
  </si>
  <si>
    <t>Róbert Boženík</t>
  </si>
  <si>
    <t>De Marco</t>
  </si>
  <si>
    <t>[ SVK ] VERNON DE MARCO</t>
  </si>
  <si>
    <t>VERNON DE MARCO</t>
  </si>
  <si>
    <t>Vernon De Marco</t>
  </si>
  <si>
    <t>Dúbravka</t>
  </si>
  <si>
    <t>[ SVK ] MARTIN DÚBRAVKA</t>
  </si>
  <si>
    <t>MARTIN DÚBRAVKA</t>
  </si>
  <si>
    <t>Martin Dúbravka</t>
  </si>
  <si>
    <t>Duda</t>
  </si>
  <si>
    <t>[ SVK ] ONDREJ DUDA</t>
  </si>
  <si>
    <t>ONDREJ DUDA</t>
  </si>
  <si>
    <t>Ondrej Duda</t>
  </si>
  <si>
    <t>Ďuriš</t>
  </si>
  <si>
    <t>[ SVK ] DÁVID ĎURIŠ</t>
  </si>
  <si>
    <t>DÁVID ĎURIŠ</t>
  </si>
  <si>
    <t>Dávid Ďuriš</t>
  </si>
  <si>
    <t>Gyömbér</t>
  </si>
  <si>
    <t>[ SVK ] NORBERT GYÖMBÉR</t>
  </si>
  <si>
    <t>NORBERT GYÖMBÉR</t>
  </si>
  <si>
    <t>Norbert Gyömbér</t>
  </si>
  <si>
    <t>Hancko</t>
  </si>
  <si>
    <t>[ SVK ] DÁVID HANCKO</t>
  </si>
  <si>
    <t>DÁVID HANCKO</t>
  </si>
  <si>
    <t>Dávid Hancko</t>
  </si>
  <si>
    <t>Haraslín</t>
  </si>
  <si>
    <t>[ SVK ] LUKÁŠ HARASLÍN</t>
  </si>
  <si>
    <t>LUKÁŠ HARASLÍN</t>
  </si>
  <si>
    <t>Lukáš Haraslín</t>
  </si>
  <si>
    <t>Hrošovský</t>
  </si>
  <si>
    <t>[ SVK ] PATRIK HROŠOVSKÝ</t>
  </si>
  <si>
    <t>PATRIK HROŠOVSKÝ</t>
  </si>
  <si>
    <t>Patrik Hrošovský</t>
  </si>
  <si>
    <t>Kóša</t>
  </si>
  <si>
    <t>[ SVK ] SEBASTIÁN KÓŠA</t>
  </si>
  <si>
    <t>SEBASTIÁN KÓŠA</t>
  </si>
  <si>
    <t>Sebastián Kóša</t>
  </si>
  <si>
    <t>Kucka</t>
  </si>
  <si>
    <t>[ SVK ] JURAJ KUCKA</t>
  </si>
  <si>
    <t>JURAJ KUCKA</t>
  </si>
  <si>
    <t>Juraj Kucka</t>
  </si>
  <si>
    <t>Lobotka</t>
  </si>
  <si>
    <t>[ SVK ] STANISLAV LOBOTKA</t>
  </si>
  <si>
    <t>STANISLAV LOBOTKA</t>
  </si>
  <si>
    <t>Stanislav Lobotka</t>
  </si>
  <si>
    <t>Obert</t>
  </si>
  <si>
    <t>[ SVK ] ADAM OBERT</t>
  </si>
  <si>
    <t>ADAM OBERT</t>
  </si>
  <si>
    <t>Adam Obert</t>
  </si>
  <si>
    <t>Pekarík</t>
  </si>
  <si>
    <t>[ SVK ] PETER PEKARÍK</t>
  </si>
  <si>
    <t>PETER PEKARÍK</t>
  </si>
  <si>
    <t>Peter Pekarík</t>
  </si>
  <si>
    <t>Ravas</t>
  </si>
  <si>
    <t>[ SVK ] HENRICH RAVAS</t>
  </si>
  <si>
    <t>HENRICH RAVAS</t>
  </si>
  <si>
    <t>Henrich Ravas</t>
  </si>
  <si>
    <t>Rigo</t>
  </si>
  <si>
    <t>[ SVK ] TOMÁŠ RIGO</t>
  </si>
  <si>
    <t>TOMÁŠ RIGO</t>
  </si>
  <si>
    <t>Tomáš Rigo</t>
  </si>
  <si>
    <t>Rodák</t>
  </si>
  <si>
    <t>[ SVK ] MAREK RODÁK</t>
  </si>
  <si>
    <t>MAREK RODÁK</t>
  </si>
  <si>
    <t>Marek Rodák</t>
  </si>
  <si>
    <t>Sauer</t>
  </si>
  <si>
    <t>[ SVK ] LEO SAUER</t>
  </si>
  <si>
    <t>LEO SAUER</t>
  </si>
  <si>
    <t>Leo Sauer</t>
  </si>
  <si>
    <t>Schranz</t>
  </si>
  <si>
    <t>[ SVK ] IVAN SCHRANZ</t>
  </si>
  <si>
    <t>IVAN SCHRANZ</t>
  </si>
  <si>
    <t>Ivan Schranz</t>
  </si>
  <si>
    <t>Skriniar</t>
  </si>
  <si>
    <t>[ SVK ] MILAN SKRINIAR</t>
  </si>
  <si>
    <t>MILAN SKRINIAR</t>
  </si>
  <si>
    <t>Milan Skriniar</t>
  </si>
  <si>
    <t>Strelec</t>
  </si>
  <si>
    <t>[ SVK ] DAVID STRELEC</t>
  </si>
  <si>
    <t>DAVID STRELEC</t>
  </si>
  <si>
    <t>David Strelec</t>
  </si>
  <si>
    <t>Suslov</t>
  </si>
  <si>
    <t>[ SVK ] TOMÁŠ SUSLOV</t>
  </si>
  <si>
    <t>TOMÁŠ SUSLOV</t>
  </si>
  <si>
    <t>Tomáš Suslov</t>
  </si>
  <si>
    <t>Tupta</t>
  </si>
  <si>
    <t>[ SVK ] ĽUBOMÍR TUPTA</t>
  </si>
  <si>
    <t>ĽUBOMÍR TUPTA</t>
  </si>
  <si>
    <t>Ľubomír Tupta</t>
  </si>
  <si>
    <t>Vavro</t>
  </si>
  <si>
    <t>[ SVK ] DENIS VAVRO</t>
  </si>
  <si>
    <t>DENIS VAVRO</t>
  </si>
  <si>
    <t>Denis Vavro</t>
  </si>
  <si>
    <t>Balkovec</t>
  </si>
  <si>
    <t>[ SLO ] JURE BALKOVEC</t>
  </si>
  <si>
    <t>JURE BALKOVEC</t>
  </si>
  <si>
    <t>Jure Balkovec</t>
  </si>
  <si>
    <t>Belec</t>
  </si>
  <si>
    <t>[ SLO ] VID BELEC</t>
  </si>
  <si>
    <t>VID BELEC</t>
  </si>
  <si>
    <t>Vid Belec</t>
  </si>
  <si>
    <t>Bijol</t>
  </si>
  <si>
    <t>[ SLO ] JAKA BIJOL</t>
  </si>
  <si>
    <t>JAKA BIJOL</t>
  </si>
  <si>
    <t>Jaka Bijol</t>
  </si>
  <si>
    <t>Blažič</t>
  </si>
  <si>
    <t>[ SLO ] MIHA BLAŽIČ</t>
  </si>
  <si>
    <t>MIHA BLAŽIČ</t>
  </si>
  <si>
    <t>Miha Blažič</t>
  </si>
  <si>
    <t>Brekalo</t>
  </si>
  <si>
    <t>[ SLO ] DAVID BREKALO</t>
  </si>
  <si>
    <t>DAVID BREKALO</t>
  </si>
  <si>
    <t>David Brekalo</t>
  </si>
  <si>
    <t>Celar</t>
  </si>
  <si>
    <t>[ SLO ] ŽAN CELAR</t>
  </si>
  <si>
    <t>ŽAN CELAR</t>
  </si>
  <si>
    <t>Žan Celar</t>
  </si>
  <si>
    <t>Drkušić</t>
  </si>
  <si>
    <t>[ SLO ] VANJA DRKUŠIĆ</t>
  </si>
  <si>
    <t>VANJA DRKUŠIĆ</t>
  </si>
  <si>
    <t>Vanja Drkušić</t>
  </si>
  <si>
    <t>Elšnik</t>
  </si>
  <si>
    <t>[ SLO ] TIMI ELŠNIK</t>
  </si>
  <si>
    <t>TIMI ELŠNIK</t>
  </si>
  <si>
    <t>Timi Elšnik</t>
  </si>
  <si>
    <t>Gnezda Čerin</t>
  </si>
  <si>
    <t>[ SLO ] ADAM GNEZDA ČERIN</t>
  </si>
  <si>
    <t>ADAM GNEZDA ČERIN</t>
  </si>
  <si>
    <t>Adam Gnezda Čerin</t>
  </si>
  <si>
    <t>Gorenc Stanković</t>
  </si>
  <si>
    <t>[ SLO ] JON GORENC STANKOVIĆ</t>
  </si>
  <si>
    <t>JON GORENC STANKOVIĆ</t>
  </si>
  <si>
    <t>Jon Gorenc Stanković</t>
  </si>
  <si>
    <t>Horvat</t>
  </si>
  <si>
    <t>[ SLO ] TOMI HORVAT</t>
  </si>
  <si>
    <t>TOMI HORVAT</t>
  </si>
  <si>
    <t>Tomi Horvat</t>
  </si>
  <si>
    <t>Iličić</t>
  </si>
  <si>
    <t>[ SLO ] JOSIP ILIČIĆ</t>
  </si>
  <si>
    <t>JOSIP ILIČIĆ</t>
  </si>
  <si>
    <t>Josip Iličić</t>
  </si>
  <si>
    <t>Janža</t>
  </si>
  <si>
    <t>[ SLO ] ERIK JANŽA</t>
  </si>
  <si>
    <t>ERIK JANŽA</t>
  </si>
  <si>
    <t>Erik Janža</t>
  </si>
  <si>
    <t>Karničnik</t>
  </si>
  <si>
    <t>[ SLO ] ŽAN KARNIČNIK</t>
  </si>
  <si>
    <t>ŽAN KARNIČNIK</t>
  </si>
  <si>
    <t>Žan Karničnik</t>
  </si>
  <si>
    <t>Kurtić</t>
  </si>
  <si>
    <t>[ SLO ] JASMIN KURTIĆ</t>
  </si>
  <si>
    <t>JASMIN KURTIĆ</t>
  </si>
  <si>
    <t>Jasmin Kurtić</t>
  </si>
  <si>
    <t>Lovrić</t>
  </si>
  <si>
    <t>[ SLO ] SANDI LOVRIĆ</t>
  </si>
  <si>
    <t>SANDI LOVRIĆ</t>
  </si>
  <si>
    <t>Sandi Lovrić</t>
  </si>
  <si>
    <t>Mlakar</t>
  </si>
  <si>
    <t>[ SLO ] JAN MLAKAR</t>
  </si>
  <si>
    <t>JAN MLAKAR</t>
  </si>
  <si>
    <t>Jan Mlakar</t>
  </si>
  <si>
    <t>Oblak</t>
  </si>
  <si>
    <t>[ SLO ] JAN OBLAK</t>
  </si>
  <si>
    <t>JAN OBLAK</t>
  </si>
  <si>
    <t>Jan Oblak</t>
  </si>
  <si>
    <t>Šeško</t>
  </si>
  <si>
    <t>[ SLO ] BENJAMIN ŠEŠKO</t>
  </si>
  <si>
    <t>BENJAMIN ŠEŠKO</t>
  </si>
  <si>
    <t>Benjamin Šeško</t>
  </si>
  <si>
    <t>Šporar</t>
  </si>
  <si>
    <t>[ SLO ] ANDRAŽ ŠPORAR</t>
  </si>
  <si>
    <t>ANDRAŽ ŠPORAR</t>
  </si>
  <si>
    <t>Andraž Šporar</t>
  </si>
  <si>
    <t>Stojanović</t>
  </si>
  <si>
    <t>[ SLO ] PETAR STOJANOVIĆ</t>
  </si>
  <si>
    <t>PETAR STOJANOVIĆ</t>
  </si>
  <si>
    <t>Petar Stojanović</t>
  </si>
  <si>
    <t>Vekić</t>
  </si>
  <si>
    <t>[ SLO ] IGOR VEKIĆ</t>
  </si>
  <si>
    <t>IGOR VEKIĆ</t>
  </si>
  <si>
    <t>Igor Vekić</t>
  </si>
  <si>
    <t>Verbič</t>
  </si>
  <si>
    <t>[ SLO ] BENJAMIN VERBIČ</t>
  </si>
  <si>
    <t>BENJAMIN VERBIČ</t>
  </si>
  <si>
    <t>Benjamin Verbič</t>
  </si>
  <si>
    <t>Vipotnik</t>
  </si>
  <si>
    <t>[ SLO ] ŽAN VIPOTNIK</t>
  </si>
  <si>
    <t>ŽAN VIPOTNIK</t>
  </si>
  <si>
    <t>Žan Vipotnik</t>
  </si>
  <si>
    <t>Zeljković</t>
  </si>
  <si>
    <t>[ SLO ] ADRIAN ZELJKOVIĆ</t>
  </si>
  <si>
    <t>ADRIAN ZELJKOVIĆ</t>
  </si>
  <si>
    <t>Adrian Zeljković</t>
  </si>
  <si>
    <t>Žugelj</t>
  </si>
  <si>
    <t>[ SLO ] NINO ŽUGELJ</t>
  </si>
  <si>
    <t>NINO ŽUGELJ</t>
  </si>
  <si>
    <t>Nino Žugelj</t>
  </si>
  <si>
    <t>Baena</t>
  </si>
  <si>
    <t>[ ESP ] ÁLEX BAENA</t>
  </si>
  <si>
    <t>ÁLEX BAENA</t>
  </si>
  <si>
    <t>Álex Baena</t>
  </si>
  <si>
    <t>Carvajal</t>
  </si>
  <si>
    <t>[ ESP ] DANI CARVAJAL</t>
  </si>
  <si>
    <t>DANI CARVAJAL</t>
  </si>
  <si>
    <t>Dani Carvajal</t>
  </si>
  <si>
    <t>Cucurella</t>
  </si>
  <si>
    <t>[ ESP ] MARC CUCURELLA</t>
  </si>
  <si>
    <t>MARC CUCURELLA</t>
  </si>
  <si>
    <t>Marc Cucurella</t>
  </si>
  <si>
    <t>Grimaldo</t>
  </si>
  <si>
    <t>[ ESP ] ALEJANDRO GRIMALDO</t>
  </si>
  <si>
    <t>ALEJANDRO GRIMALDO</t>
  </si>
  <si>
    <t>Alejandro Grimaldo</t>
  </si>
  <si>
    <t>Joselu</t>
  </si>
  <si>
    <t>[ ESP ] JOSELU</t>
  </si>
  <si>
    <t>JOSELU</t>
  </si>
  <si>
    <t>Laporte</t>
  </si>
  <si>
    <t>[ ESP ] AYMERIC LAPORTE</t>
  </si>
  <si>
    <t>AYMERIC LAPORTE</t>
  </si>
  <si>
    <t>Aymeric Laporte</t>
  </si>
  <si>
    <t>Le Normand</t>
  </si>
  <si>
    <t>[ ESP ] ROBIN LE NORMAND</t>
  </si>
  <si>
    <t>ROBIN LE NORMAND</t>
  </si>
  <si>
    <t>Robin Le Normand</t>
  </si>
  <si>
    <t>López</t>
  </si>
  <si>
    <t>[ ESP ] FERMÍN LÓPEZ</t>
  </si>
  <si>
    <t>FERMÍN LÓPEZ</t>
  </si>
  <si>
    <t>Fermín López</t>
  </si>
  <si>
    <t>Merino</t>
  </si>
  <si>
    <t>[ ESP ] MIKEL MERINO</t>
  </si>
  <si>
    <t>MIKEL MERINO</t>
  </si>
  <si>
    <t>Mikel Merino</t>
  </si>
  <si>
    <t>Morata</t>
  </si>
  <si>
    <t>[ ESP ] ÁLVARO MORATA</t>
  </si>
  <si>
    <t>ÁLVARO MORATA</t>
  </si>
  <si>
    <t>Álvaro Morata</t>
  </si>
  <si>
    <t>Nacho</t>
  </si>
  <si>
    <t>[ ESP ] NACHO</t>
  </si>
  <si>
    <t>NACHO</t>
  </si>
  <si>
    <t>Navas</t>
  </si>
  <si>
    <t>[ ESP ] JESÚS NAVAS</t>
  </si>
  <si>
    <t>JESÚS NAVAS</t>
  </si>
  <si>
    <t>Jesús Navas</t>
  </si>
  <si>
    <t>Olmo</t>
  </si>
  <si>
    <t>[ ESP ] DANI OLMO</t>
  </si>
  <si>
    <t>DANI OLMO</t>
  </si>
  <si>
    <t>Dani Olmo</t>
  </si>
  <si>
    <t>Oyarzabal</t>
  </si>
  <si>
    <t>[ ESP ] MIKEL OYARZABAL</t>
  </si>
  <si>
    <t>MIKEL OYARZABAL</t>
  </si>
  <si>
    <t>Mikel Oyarzabal</t>
  </si>
  <si>
    <t>Pedri</t>
  </si>
  <si>
    <t>[ ESP ] PEDRI</t>
  </si>
  <si>
    <t>PEDRI</t>
  </si>
  <si>
    <t>Pérez</t>
  </si>
  <si>
    <t>[ ESP ] AYOZE PÉREZ</t>
  </si>
  <si>
    <t>AYOZE PÉREZ</t>
  </si>
  <si>
    <t>Ayoze Pérez</t>
  </si>
  <si>
    <t>Raya</t>
  </si>
  <si>
    <t>[ ESP ] DAVID RAYA</t>
  </si>
  <si>
    <t>DAVID RAYA</t>
  </si>
  <si>
    <t>David Raya</t>
  </si>
  <si>
    <t>Remiro</t>
  </si>
  <si>
    <t>[ ESP ] ALEJANDRO REMIRO</t>
  </si>
  <si>
    <t>ALEJANDRO REMIRO</t>
  </si>
  <si>
    <t>Alejandro Remiro</t>
  </si>
  <si>
    <t>Rodri</t>
  </si>
  <si>
    <t>[ ESP ] RODRI</t>
  </si>
  <si>
    <t>RODRI</t>
  </si>
  <si>
    <t>Ruiz</t>
  </si>
  <si>
    <t>[ ESP ] FABIÁN RUIZ</t>
  </si>
  <si>
    <t>FABIÁN RUIZ</t>
  </si>
  <si>
    <t>Fabián Ruiz</t>
  </si>
  <si>
    <t>Simón</t>
  </si>
  <si>
    <t>[ ESP ] UNAI SIMÓN</t>
  </si>
  <si>
    <t>UNAI SIMÓN</t>
  </si>
  <si>
    <t>Unai Simón</t>
  </si>
  <si>
    <t>Torres</t>
  </si>
  <si>
    <t>[ ESP ] FERRAN TORRES</t>
  </si>
  <si>
    <t>FERRAN TORRES</t>
  </si>
  <si>
    <t>Ferran Torres</t>
  </si>
  <si>
    <t>Vivian</t>
  </si>
  <si>
    <t>[ ESP ] DANIEL VIVIAN</t>
  </si>
  <si>
    <t>DANIEL VIVIAN</t>
  </si>
  <si>
    <t>Daniel Vivian</t>
  </si>
  <si>
    <t>Williams</t>
  </si>
  <si>
    <t>[ ESP ] NICO WILLIAMS</t>
  </si>
  <si>
    <t>NICO WILLIAMS</t>
  </si>
  <si>
    <t>Nico Williams</t>
  </si>
  <si>
    <t>Yamal</t>
  </si>
  <si>
    <t>[ ESP ] LAMINE YAMAL</t>
  </si>
  <si>
    <t>LAMINE YAMAL</t>
  </si>
  <si>
    <t>Lamine Yamal</t>
  </si>
  <si>
    <t>Zubimendi</t>
  </si>
  <si>
    <t>[ ESP ] MARTIN ZUBIMENDI</t>
  </si>
  <si>
    <t>MARTIN ZUBIMENDI</t>
  </si>
  <si>
    <t>Martin Zubimendi</t>
  </si>
  <si>
    <t>Barák</t>
  </si>
  <si>
    <t>[ CZE ] ANTONÍN BARÁK</t>
  </si>
  <si>
    <t>ANTONÍN BARÁK</t>
  </si>
  <si>
    <t>Antonín Barák</t>
  </si>
  <si>
    <t>Černý</t>
  </si>
  <si>
    <t>[ CZE ] VÁCLAV ČERNÝ</t>
  </si>
  <si>
    <t>VÁCLAV ČERNÝ</t>
  </si>
  <si>
    <t>Václav Černý</t>
  </si>
  <si>
    <t>Červ</t>
  </si>
  <si>
    <t>[ CZE ] LUKÁŠ ČERV</t>
  </si>
  <si>
    <t>LUKÁŠ ČERV</t>
  </si>
  <si>
    <t>Lukáš Červ</t>
  </si>
  <si>
    <t>Chorý</t>
  </si>
  <si>
    <t>[ CZE ] TOMÁŠ CHORÝ</t>
  </si>
  <si>
    <t>TOMÁŠ CHORÝ</t>
  </si>
  <si>
    <t>Tomáš Chorý</t>
  </si>
  <si>
    <t>Chytil</t>
  </si>
  <si>
    <t>[ CZE ] MOJMÍR CHYTIL</t>
  </si>
  <si>
    <t>MOJMÍR CHYTIL</t>
  </si>
  <si>
    <t>Mojmír Chytil</t>
  </si>
  <si>
    <t>Coufal</t>
  </si>
  <si>
    <t>[ CZE ] VLADIMÍR COUFAL</t>
  </si>
  <si>
    <t>VLADIMÍR COUFAL</t>
  </si>
  <si>
    <t>Vladimír Coufal</t>
  </si>
  <si>
    <t>Douděra</t>
  </si>
  <si>
    <t>[ CZE ] DAVID DOUDĚRA</t>
  </si>
  <si>
    <t>DAVID DOUDĚRA</t>
  </si>
  <si>
    <t>David Douděra</t>
  </si>
  <si>
    <t>Hložek</t>
  </si>
  <si>
    <t>[ CZE ] ADAM HLOŽEK</t>
  </si>
  <si>
    <t>ADAM HLOŽEK</t>
  </si>
  <si>
    <t>Adam Hložek</t>
  </si>
  <si>
    <t>Holes</t>
  </si>
  <si>
    <t>[ CZE ] TOMAS HOLES</t>
  </si>
  <si>
    <t>TOMAS HOLES</t>
  </si>
  <si>
    <t>Tomas Holes</t>
  </si>
  <si>
    <t>Hranáč</t>
  </si>
  <si>
    <t>[ CZE ] ROBIN HRANÁČ</t>
  </si>
  <si>
    <t>ROBIN HRANÁČ</t>
  </si>
  <si>
    <t>Robin Hranáč</t>
  </si>
  <si>
    <t>Jaroš</t>
  </si>
  <si>
    <t>[ CZE ] VITĚZSLAV JAROŠ</t>
  </si>
  <si>
    <t>VITĚZSLAV JAROŠ</t>
  </si>
  <si>
    <t>Vitězslav Jaroš</t>
  </si>
  <si>
    <t>Jurásek</t>
  </si>
  <si>
    <t>[ CZE ] DAVID JURÁSEK</t>
  </si>
  <si>
    <t>DAVID JURÁSEK</t>
  </si>
  <si>
    <t>David Jurásek</t>
  </si>
  <si>
    <t>[ CZE ] MATĚJ JURÁSEK</t>
  </si>
  <si>
    <t>MATĚJ JURÁSEK</t>
  </si>
  <si>
    <t>Matěj Jurásek</t>
  </si>
  <si>
    <t>Kovář</t>
  </si>
  <si>
    <t>[ CZE ] MATĚJ KOVÁŘ</t>
  </si>
  <si>
    <t>MATĚJ KOVÁŘ</t>
  </si>
  <si>
    <t>Matěj Kovář</t>
  </si>
  <si>
    <t>Krejčí</t>
  </si>
  <si>
    <t>[ CZE ] LADISLAV KREJČÍ</t>
  </si>
  <si>
    <t>LADISLAV KREJČÍ</t>
  </si>
  <si>
    <t>Ladislav Krejčí</t>
  </si>
  <si>
    <t>Kuchta</t>
  </si>
  <si>
    <t>[ CZE ] JAN KUCHTA</t>
  </si>
  <si>
    <t>JAN KUCHTA</t>
  </si>
  <si>
    <t>Jan Kuchta</t>
  </si>
  <si>
    <t>Lingr</t>
  </si>
  <si>
    <t>[ CZE ] ONDŘEJ LINGR</t>
  </si>
  <si>
    <t>ONDŘEJ LINGR</t>
  </si>
  <si>
    <t>Ondřej Lingr</t>
  </si>
  <si>
    <t>Provod</t>
  </si>
  <si>
    <t>[ CZE ] LUKÁŠ PROVOD</t>
  </si>
  <si>
    <t>LUKÁŠ PROVOD</t>
  </si>
  <si>
    <t>Lukáš Provod</t>
  </si>
  <si>
    <t>Sadílek</t>
  </si>
  <si>
    <t>[ CZE ] MICHAL SADÍLEK</t>
  </si>
  <si>
    <t>MICHAL SADÍLEK</t>
  </si>
  <si>
    <t>Michal Sadílek</t>
  </si>
  <si>
    <t>Schick</t>
  </si>
  <si>
    <t>[ CZE ] PATRIK SCHICK</t>
  </si>
  <si>
    <t>PATRIK SCHICK</t>
  </si>
  <si>
    <t>Patrik Schick</t>
  </si>
  <si>
    <t>Souček</t>
  </si>
  <si>
    <t>[ CZE ] TOMÁŠ SOUČEK</t>
  </si>
  <si>
    <t>TOMÁŠ SOUČEK</t>
  </si>
  <si>
    <t>Tomáš Souček</t>
  </si>
  <si>
    <t>Staněk</t>
  </si>
  <si>
    <t>[ CZE ] JINDŘICH STANĚK</t>
  </si>
  <si>
    <t>JINDŘICH STANĚK</t>
  </si>
  <si>
    <t>Jindřich Staněk</t>
  </si>
  <si>
    <t>Šulc</t>
  </si>
  <si>
    <t>[ CZE ] PAVEL ŠULC</t>
  </si>
  <si>
    <t>PAVEL ŠULC</t>
  </si>
  <si>
    <t>Pavel Šulc</t>
  </si>
  <si>
    <t>Vitík</t>
  </si>
  <si>
    <t>[ CZE ] MARTIN VITÍK</t>
  </si>
  <si>
    <t>MARTIN VITÍK</t>
  </si>
  <si>
    <t>Martin Vitík</t>
  </si>
  <si>
    <t>Vlček</t>
  </si>
  <si>
    <t>[ CZE ] TOMÁŠ VLČEK</t>
  </si>
  <si>
    <t>TOMÁŠ VLČEK</t>
  </si>
  <si>
    <t>Tomáš Vlček</t>
  </si>
  <si>
    <t>Zima</t>
  </si>
  <si>
    <t>[ CZE ] DAVID ZIMA</t>
  </si>
  <si>
    <t>DAVID ZIMA</t>
  </si>
  <si>
    <t>David Zima</t>
  </si>
  <si>
    <t>Akaydin</t>
  </si>
  <si>
    <t>[ TUR ] SAMET AKAYDIN</t>
  </si>
  <si>
    <t>SAMET AKAYDIN</t>
  </si>
  <si>
    <t>Samet Akaydin</t>
  </si>
  <si>
    <t>Akgün</t>
  </si>
  <si>
    <t>[ TUR ] YUNUS AKGÜN</t>
  </si>
  <si>
    <t>YUNUS AKGÜN</t>
  </si>
  <si>
    <t>Yunus Akgün</t>
  </si>
  <si>
    <t>Aktürkoğlu</t>
  </si>
  <si>
    <t>[ TUR ] KEREM AKTÜRKOĞLU</t>
  </si>
  <si>
    <t>KEREM AKTÜRKOĞLU</t>
  </si>
  <si>
    <t>Kerem Aktürkoğlu</t>
  </si>
  <si>
    <t>Ayhan</t>
  </si>
  <si>
    <t>[ TUR ] KAAN AYHAN</t>
  </si>
  <si>
    <t>KAAN AYHAN</t>
  </si>
  <si>
    <t>Kaan Ayhan</t>
  </si>
  <si>
    <t>Bardakcı</t>
  </si>
  <si>
    <t>[ TUR ] ABDÜLKERIM BARDAKCı</t>
  </si>
  <si>
    <t>ABDÜLKERIM BARDAKCı</t>
  </si>
  <si>
    <t>Abdülkerim Bardakcı</t>
  </si>
  <si>
    <t>Bayındır</t>
  </si>
  <si>
    <t>[ TUR ] ALTAY BAYıNDıR</t>
  </si>
  <si>
    <t>ALTAY BAYıNDıR</t>
  </si>
  <si>
    <t>Altay Bayındır</t>
  </si>
  <si>
    <t>Çakır</t>
  </si>
  <si>
    <t>[ TUR ] UĞURCAN ÇAKıR</t>
  </si>
  <si>
    <t>UĞURCAN ÇAKıR</t>
  </si>
  <si>
    <t>Uğurcan Çakır</t>
  </si>
  <si>
    <t>Çalhanoğlu</t>
  </si>
  <si>
    <t>[ TUR ] HAKAN ÇALHANOĞLU</t>
  </si>
  <si>
    <t>HAKAN ÇALHANOĞLU</t>
  </si>
  <si>
    <t>Hakan Çalhanoğlu</t>
  </si>
  <si>
    <t>Can Kahveci</t>
  </si>
  <si>
    <t>[ TUR ] İRFAN CAN KAHVECI</t>
  </si>
  <si>
    <t>İRFAN CAN KAHVECI</t>
  </si>
  <si>
    <t>İrfan Can Kahveci</t>
  </si>
  <si>
    <t>Çelik</t>
  </si>
  <si>
    <t>[ TUR ] ZEKI ÇELIK</t>
  </si>
  <si>
    <t>ZEKI ÇELIK</t>
  </si>
  <si>
    <t>Zeki Çelik</t>
  </si>
  <si>
    <t>Demiral</t>
  </si>
  <si>
    <t>[ TUR ] MERIH DEMIRAL</t>
  </si>
  <si>
    <t>MERIH DEMIRAL</t>
  </si>
  <si>
    <t>Merih Demiral</t>
  </si>
  <si>
    <t>Güler</t>
  </si>
  <si>
    <t>[ TUR ] ARDA GÜLER</t>
  </si>
  <si>
    <t>ARDA GÜLER</t>
  </si>
  <si>
    <t>Arda Güler</t>
  </si>
  <si>
    <t>Günok</t>
  </si>
  <si>
    <t>[ TUR ] MERT GÜNOK</t>
  </si>
  <si>
    <t>MERT GÜNOK</t>
  </si>
  <si>
    <t>Mert Günok</t>
  </si>
  <si>
    <t>Kadıoğlu</t>
  </si>
  <si>
    <t>[ TUR ] FERDI KADıOĞLU</t>
  </si>
  <si>
    <t>FERDI KADıOĞLU</t>
  </si>
  <si>
    <t>Ferdi Kadıoğlu</t>
  </si>
  <si>
    <t>Kaplan</t>
  </si>
  <si>
    <t>[ TUR ] AHMETCAN KAPLAN</t>
  </si>
  <si>
    <t>AHMETCAN KAPLAN</t>
  </si>
  <si>
    <t>Ahmetcan Kaplan</t>
  </si>
  <si>
    <t>Kılıçsoy</t>
  </si>
  <si>
    <t>[ TUR ] SEMIH KıLıÇSOY</t>
  </si>
  <si>
    <t>SEMIH KıLıÇSOY</t>
  </si>
  <si>
    <t>Semih Kılıçsoy</t>
  </si>
  <si>
    <t>Kökçü</t>
  </si>
  <si>
    <t>[ TUR ] ORKUN KÖKÇÜ</t>
  </si>
  <si>
    <t>ORKUN KÖKÇÜ</t>
  </si>
  <si>
    <t>Orkun Kökçü</t>
  </si>
  <si>
    <t>Müldür</t>
  </si>
  <si>
    <t>[ TUR ] MERT MÜLDÜR</t>
  </si>
  <si>
    <t>MERT MÜLDÜR</t>
  </si>
  <si>
    <t>Mert Müldür</t>
  </si>
  <si>
    <t>Özcan</t>
  </si>
  <si>
    <t>[ TUR ] SALIH ÖZCAN</t>
  </si>
  <si>
    <t>SALIH ÖZCAN</t>
  </si>
  <si>
    <t>Salih Özcan</t>
  </si>
  <si>
    <t>Tosun</t>
  </si>
  <si>
    <t>[ TUR ] CENK TOSUN</t>
  </si>
  <si>
    <t>CENK TOSUN</t>
  </si>
  <si>
    <t>Cenk Tosun</t>
  </si>
  <si>
    <t>Yazıcı</t>
  </si>
  <si>
    <t>[ TUR ] YUSUF YAZıCı</t>
  </si>
  <si>
    <t>YUSUF YAZıCı</t>
  </si>
  <si>
    <t>Yusuf Yazıcı</t>
  </si>
  <si>
    <t>Yıldırım</t>
  </si>
  <si>
    <t>[ TUR ] BERTUĞ YıLDıRıM</t>
  </si>
  <si>
    <t>BERTUĞ YıLDıRıM</t>
  </si>
  <si>
    <t>Bertuğ Yıldırım</t>
  </si>
  <si>
    <t>Yıldız</t>
  </si>
  <si>
    <t>[ TUR ] KENAN YıLDıZ</t>
  </si>
  <si>
    <t>KENAN YıLDıZ</t>
  </si>
  <si>
    <t>Kenan Yıldız</t>
  </si>
  <si>
    <t>Yılmaz</t>
  </si>
  <si>
    <t>[ TUR ] BARıŞ ALPER YıLMAZ</t>
  </si>
  <si>
    <t>BARıŞ ALPER YıLMAZ</t>
  </si>
  <si>
    <t>Barış Alper Yılmaz</t>
  </si>
  <si>
    <t>Yokuşlu</t>
  </si>
  <si>
    <t>[ TUR ] OKAY YOKUŞLU</t>
  </si>
  <si>
    <t>OKAY YOKUŞLU</t>
  </si>
  <si>
    <t>Okay Yokuşlu</t>
  </si>
  <si>
    <t>Yüksek</t>
  </si>
  <si>
    <t>[ TUR ] İSMAIL YÜKSEK</t>
  </si>
  <si>
    <t>İSMAIL YÜKSEK</t>
  </si>
  <si>
    <t>İsmail Yüksek</t>
  </si>
  <si>
    <t>Bondar</t>
  </si>
  <si>
    <t>[ UKR ] VALERIY BONDAR</t>
  </si>
  <si>
    <t>VALERIY BONDAR</t>
  </si>
  <si>
    <t>Valeriy Bondar</t>
  </si>
  <si>
    <t>Brazhko</t>
  </si>
  <si>
    <t>[ UKR ] VOLODYMYR BRAZHKO</t>
  </si>
  <si>
    <t>VOLODYMYR BRAZHKO</t>
  </si>
  <si>
    <t>Volodymyr Brazhko</t>
  </si>
  <si>
    <t>Bushchan</t>
  </si>
  <si>
    <t>[ UKR ] GEORGIY BUSHCHAN</t>
  </si>
  <si>
    <t>GEORGIY BUSHCHAN</t>
  </si>
  <si>
    <t>Georgiy Bushchan</t>
  </si>
  <si>
    <t>Dovbyk</t>
  </si>
  <si>
    <t>[ UKR ] ARTEM DOVBYK</t>
  </si>
  <si>
    <t>ARTEM DOVBYK</t>
  </si>
  <si>
    <t>Artem Dovbyk</t>
  </si>
  <si>
    <t>Konoplia</t>
  </si>
  <si>
    <t>[ UKR ] YUKHYM KONOPLIA</t>
  </si>
  <si>
    <t>YUKHYM KONOPLIA</t>
  </si>
  <si>
    <t>Yukhym Konoplia</t>
  </si>
  <si>
    <t>Lunin</t>
  </si>
  <si>
    <t>[ UKR ] ANDRIY LUNIN</t>
  </si>
  <si>
    <t>ANDRIY LUNIN</t>
  </si>
  <si>
    <t>Andriy Lunin</t>
  </si>
  <si>
    <t>Malinovskyi</t>
  </si>
  <si>
    <t>[ UKR ] RUSLAN MALINOVSKYI</t>
  </si>
  <si>
    <t>RUSLAN MALINOVSKYI</t>
  </si>
  <si>
    <t>Ruslan Malinovskyi</t>
  </si>
  <si>
    <t>Matviyenko</t>
  </si>
  <si>
    <t>[ UKR ] MYKOLA MATVIYENKO</t>
  </si>
  <si>
    <t>MYKOLA MATVIYENKO</t>
  </si>
  <si>
    <t>Mykola Matviyenko</t>
  </si>
  <si>
    <t>Mudryk</t>
  </si>
  <si>
    <t>[ UKR ] MYKHAILO MUDRYK</t>
  </si>
  <si>
    <t>MYKHAILO MUDRYK</t>
  </si>
  <si>
    <t>Mykhailo Mudryk</t>
  </si>
  <si>
    <t>Mykhaylichenko</t>
  </si>
  <si>
    <t>[ UKR ] BOGDAN MYKHAYLICHENKO</t>
  </si>
  <si>
    <t>BOGDAN MYKHAYLICHENKO</t>
  </si>
  <si>
    <t>Bogdan Mykhaylichenko</t>
  </si>
  <si>
    <t>Mykolenko</t>
  </si>
  <si>
    <t>[ UKR ] VITALIY MYKOLENKO</t>
  </si>
  <si>
    <t>VITALIY MYKOLENKO</t>
  </si>
  <si>
    <t>Vitaliy Mykolenko</t>
  </si>
  <si>
    <t>Shaparenko</t>
  </si>
  <si>
    <t>[ UKR ] MYKOLA SHAPARENKO</t>
  </si>
  <si>
    <t>MYKOLA SHAPARENKO</t>
  </si>
  <si>
    <t>Mykola Shaparenko</t>
  </si>
  <si>
    <t>Stepanenko</t>
  </si>
  <si>
    <t>[ UKR ] TARAS STEPANENKO</t>
  </si>
  <si>
    <t>TARAS STEPANENKO</t>
  </si>
  <si>
    <t>Taras Stepanenko</t>
  </si>
  <si>
    <t>Sudakov</t>
  </si>
  <si>
    <t>[ UKR ] GEORGIY SUDAKOV</t>
  </si>
  <si>
    <t>GEORGIY SUDAKOV</t>
  </si>
  <si>
    <t>Georgiy Sudakov</t>
  </si>
  <si>
    <t>Svatok</t>
  </si>
  <si>
    <t>[ UKR ] OLEKSANDR SVATOK</t>
  </si>
  <si>
    <t>OLEKSANDR SVATOK</t>
  </si>
  <si>
    <t>Oleksandr Svatok</t>
  </si>
  <si>
    <t>Sydorchuk</t>
  </si>
  <si>
    <t>[ UKR ] SERHIY SYDORCHUK</t>
  </si>
  <si>
    <t>SERHIY SYDORCHUK</t>
  </si>
  <si>
    <t>Serhiy Sydorchuk</t>
  </si>
  <si>
    <t>Talovierov</t>
  </si>
  <si>
    <t>[ UKR ] MAKSYM TALOVIEROV</t>
  </si>
  <si>
    <t>MAKSYM TALOVIEROV</t>
  </si>
  <si>
    <t>Maksym Talovierov</t>
  </si>
  <si>
    <t>Trubin</t>
  </si>
  <si>
    <t>[ UKR ] ANATOLIY TRUBIN</t>
  </si>
  <si>
    <t>ANATOLIY TRUBIN</t>
  </si>
  <si>
    <t>Anatoliy Trubin</t>
  </si>
  <si>
    <t>Tsygankov</t>
  </si>
  <si>
    <t>[ UKR ] VIKTOR TSYGANKOV</t>
  </si>
  <si>
    <t>VIKTOR TSYGANKOV</t>
  </si>
  <si>
    <t>Viktor Tsygankov</t>
  </si>
  <si>
    <t>Tymchyk</t>
  </si>
  <si>
    <t>[ UKR ] OLEKSANDR TYMCHYK</t>
  </si>
  <si>
    <t>OLEKSANDR TYMCHYK</t>
  </si>
  <si>
    <t>Oleksandr Tymchyk</t>
  </si>
  <si>
    <t>Vanat</t>
  </si>
  <si>
    <t>[ UKR ] VLADYSLAV VANAT</t>
  </si>
  <si>
    <t>VLADYSLAV VANAT</t>
  </si>
  <si>
    <t>Vladyslav Vanat</t>
  </si>
  <si>
    <t>Yaremchuk</t>
  </si>
  <si>
    <t>[ UKR ] ROMAN YAREMCHUK</t>
  </si>
  <si>
    <t>ROMAN YAREMCHUK</t>
  </si>
  <si>
    <t>Roman Yaremchuk</t>
  </si>
  <si>
    <t>Yarmolenko</t>
  </si>
  <si>
    <t>[ UKR ] ANDREY YARMOLENKO</t>
  </si>
  <si>
    <t>ANDREY YARMOLENKO</t>
  </si>
  <si>
    <t>Andrey Yarmolenko</t>
  </si>
  <si>
    <t>Zabarnyi</t>
  </si>
  <si>
    <t>[ UKR ] ILLIA ZABARNYI</t>
  </si>
  <si>
    <t>ILLIA ZABARNYI</t>
  </si>
  <si>
    <t>Illia Zabarnyi</t>
  </si>
  <si>
    <t>Zinchenko</t>
  </si>
  <si>
    <t>[ UKR ] OLEKSANDR ZINCHENKO</t>
  </si>
  <si>
    <t>OLEKSANDR ZINCHENKO</t>
  </si>
  <si>
    <t>Oleksandr Zinchenko</t>
  </si>
  <si>
    <t>Zubkov</t>
  </si>
  <si>
    <t>[ UKR ] OLEKSANDR ZUBKOV</t>
  </si>
  <si>
    <t>OLEKSANDR ZUBKOV</t>
  </si>
  <si>
    <t>Oleksandr Zubkov</t>
  </si>
  <si>
    <t>Ádám</t>
  </si>
  <si>
    <t>[ HUN ] MARTIN ÁDÁM</t>
  </si>
  <si>
    <t>MARTIN ÁDÁM</t>
  </si>
  <si>
    <t>Martin Ádám</t>
  </si>
  <si>
    <t>Balogh</t>
  </si>
  <si>
    <t>[ HUN ] BOTOND BALOGH</t>
  </si>
  <si>
    <t>BOTOND BALOGH</t>
  </si>
  <si>
    <t>Botond Balogh</t>
  </si>
  <si>
    <t>Bolla</t>
  </si>
  <si>
    <t>[ HUN ] BENDEGÚZ BOLLA</t>
  </si>
  <si>
    <t>BENDEGÚZ BOLLA</t>
  </si>
  <si>
    <t>Bendegúz Bolla</t>
  </si>
  <si>
    <t>Botka</t>
  </si>
  <si>
    <t>[ HUN ] ENDRE BOTKA</t>
  </si>
  <si>
    <t>ENDRE BOTKA</t>
  </si>
  <si>
    <t>Endre Botka</t>
  </si>
  <si>
    <t>Csoboth</t>
  </si>
  <si>
    <t>[ HUN ] KEVIN CSOBOTH</t>
  </si>
  <si>
    <t>KEVIN CSOBOTH</t>
  </si>
  <si>
    <t>Kevin Csoboth</t>
  </si>
  <si>
    <t>Dárdai</t>
  </si>
  <si>
    <t>[ HUN ] MÁRTON DÁRDAI</t>
  </si>
  <si>
    <t>MÁRTON DÁRDAI</t>
  </si>
  <si>
    <t>Márton Dárdai</t>
  </si>
  <si>
    <t>Dibusz</t>
  </si>
  <si>
    <t>[ HUN ] DÉNES DIBUSZ</t>
  </si>
  <si>
    <t>DÉNES DIBUSZ</t>
  </si>
  <si>
    <t>Dénes Dibusz</t>
  </si>
  <si>
    <t>Fiola</t>
  </si>
  <si>
    <t>[ HUN ] ATTILA FIOLA</t>
  </si>
  <si>
    <t>ATTILA FIOLA</t>
  </si>
  <si>
    <t>Attila Fiola</t>
  </si>
  <si>
    <t>Gazdag</t>
  </si>
  <si>
    <t>[ HUN ] DÁNIEL GAZDAG</t>
  </si>
  <si>
    <t>DÁNIEL GAZDAG</t>
  </si>
  <si>
    <t>Dániel Gazdag</t>
  </si>
  <si>
    <t>Gulácsi</t>
  </si>
  <si>
    <t>[ HUN ] PÉTER GULÁCSI</t>
  </si>
  <si>
    <t>PÉTER GULÁCSI</t>
  </si>
  <si>
    <t>Péter Gulácsi</t>
  </si>
  <si>
    <t>Horváth</t>
  </si>
  <si>
    <t>[ HUN ] KRISZTOFER HORVÁTH</t>
  </si>
  <si>
    <t>KRISZTOFER HORVÁTH</t>
  </si>
  <si>
    <t>Krisztofer Horváth</t>
  </si>
  <si>
    <t>Kata</t>
  </si>
  <si>
    <t>[ HUN ] MIHÁLY KATA</t>
  </si>
  <si>
    <t>MIHÁLY KATA</t>
  </si>
  <si>
    <t>Mihály Kata</t>
  </si>
  <si>
    <t>Kerkez</t>
  </si>
  <si>
    <t>[ HUN ] MILOS KERKEZ</t>
  </si>
  <si>
    <t>MILOS KERKEZ</t>
  </si>
  <si>
    <t>Milos Kerkez</t>
  </si>
  <si>
    <t>Kleinheisler</t>
  </si>
  <si>
    <t>[ HUN ] LÁSZLÓ KLEINHEISLER</t>
  </si>
  <si>
    <t>LÁSZLÓ KLEINHEISLER</t>
  </si>
  <si>
    <t>László Kleinheisler</t>
  </si>
  <si>
    <t>Lang</t>
  </si>
  <si>
    <t>[ HUN ] ÁDÁM LANG</t>
  </si>
  <si>
    <t>ÁDÁM LANG</t>
  </si>
  <si>
    <t>Ádám Lang</t>
  </si>
  <si>
    <t>Nagy</t>
  </si>
  <si>
    <t>[ HUN ] ZSOLT NAGY</t>
  </si>
  <si>
    <t>ZSOLT NAGY</t>
  </si>
  <si>
    <t>Zsolt Nagy</t>
  </si>
  <si>
    <t>[ HUN ] ÁDÁM NAGY</t>
  </si>
  <si>
    <t>ÁDÁM NAGY</t>
  </si>
  <si>
    <t>Ádám Nagy</t>
  </si>
  <si>
    <t>Négo</t>
  </si>
  <si>
    <t>[ HUN ] LOÏC NÉGO</t>
  </si>
  <si>
    <t>LOÏC NÉGO</t>
  </si>
  <si>
    <t>Loïc Négo</t>
  </si>
  <si>
    <t>Orbán</t>
  </si>
  <si>
    <t>[ HUN ] WILLI ORBÁN</t>
  </si>
  <si>
    <t>WILLI ORBÁN</t>
  </si>
  <si>
    <t>Willi Orbán</t>
  </si>
  <si>
    <t>Sallai</t>
  </si>
  <si>
    <t>[ HUN ] ROLAND SALLAI</t>
  </si>
  <si>
    <t>ROLAND SALLAI</t>
  </si>
  <si>
    <t>Roland Sallai</t>
  </si>
  <si>
    <t>Schäfer</t>
  </si>
  <si>
    <t>[ HUN ] ANDRÁS SCHÄFER</t>
  </si>
  <si>
    <t>ANDRÁS SCHÄFER</t>
  </si>
  <si>
    <t>András Schäfer</t>
  </si>
  <si>
    <t>Styles</t>
  </si>
  <si>
    <t>[ HUN ] CALLUM STYLES</t>
  </si>
  <si>
    <t>CALLUM STYLES</t>
  </si>
  <si>
    <t>Callum Styles</t>
  </si>
  <si>
    <t>Szalai</t>
  </si>
  <si>
    <t>[ HUN ] ATTILA SZALAI</t>
  </si>
  <si>
    <t>ATTILA SZALAI</t>
  </si>
  <si>
    <t>Attila Szalai</t>
  </si>
  <si>
    <t>Szappanos</t>
  </si>
  <si>
    <t>[ HUN ] PÉTER SZAPPANOS</t>
  </si>
  <si>
    <t>PÉTER SZAPPANOS</t>
  </si>
  <si>
    <t>Péter Szappanos</t>
  </si>
  <si>
    <t>Szoboszlai</t>
  </si>
  <si>
    <t>[ HUN ] DOMINIK SZOBOSZLAI</t>
  </si>
  <si>
    <t>DOMINIK SZOBOSZLAI</t>
  </si>
  <si>
    <t>Dominik Szoboszlai</t>
  </si>
  <si>
    <t>Varga</t>
  </si>
  <si>
    <t>[ HUN ] BARNABÁS VARGA</t>
  </si>
  <si>
    <t>BARNABÁS VARGA</t>
  </si>
  <si>
    <t>Barnabás Varga</t>
  </si>
  <si>
    <t>Spaltenbreiten Formular</t>
  </si>
  <si>
    <t>Joker oder E</t>
  </si>
  <si>
    <t>J E HCW</t>
  </si>
  <si>
    <t>Aktiviert</t>
  </si>
  <si>
    <t>ZP 3</t>
  </si>
  <si>
    <t>UEFA EM 2024 - Tippspiel XXL: Regeln &amp; Einstellungen</t>
  </si>
  <si>
    <t>Die Tipps können kurzfristig abgegeben werden. Ab der KO-Runde wird ein Tipp immer auf die REALE Paarung bezogen.
Die Tipps der vorhergehenden Runden und die daraus resultierenden KO-Paarungen werden für die Tippauswertung nicht berücksichtigt.</t>
  </si>
  <si>
    <t>Wertungsergebnis der KO-Runde</t>
  </si>
  <si>
    <t xml:space="preserve"> Für die Auswertung der KO-Spiele zählt der Stand nach der regulären Spielzeit (90 Minuten)</t>
  </si>
  <si>
    <t>Tipps mit korrekter Tordifferenz</t>
  </si>
  <si>
    <t>Wenn nicht das exakte Ergebnis getippt wurde, werden Tipps mit korrekte Tordifferenz in einer eigenen Kategorie gewertet.</t>
  </si>
  <si>
    <t>Remis-Tipps</t>
  </si>
  <si>
    <t>Tipps, die ein Remis beinhalten, sollen in der Kategorie TORDIFFERENZ gewertet werden wenn nicht das exakte Ergebnis getippt wurde.</t>
  </si>
  <si>
    <t>Joker und Einsatzwetten nicht aktivieren.</t>
  </si>
  <si>
    <t>Kategoriewertung für die Ergebnistipps</t>
  </si>
  <si>
    <t>Kurz</t>
  </si>
  <si>
    <t>Wertung</t>
  </si>
  <si>
    <t>GR Spt. 1</t>
  </si>
  <si>
    <t>GR Spt. 2</t>
  </si>
  <si>
    <t>GR Spt. 3</t>
  </si>
  <si>
    <t>Standard</t>
  </si>
  <si>
    <t>Exakt</t>
  </si>
  <si>
    <t>Tordiff.</t>
  </si>
  <si>
    <t>Tendenz</t>
  </si>
  <si>
    <t>Falsch</t>
  </si>
  <si>
    <t>-</t>
  </si>
  <si>
    <t>Tordiff</t>
  </si>
  <si>
    <t>Fehlender Tipp</t>
  </si>
  <si>
    <t>Bonuspunkte</t>
  </si>
  <si>
    <t>Die Sieger der vier Tippabschnitte können mit Bonuspunkten belohnt werden, die in der Gesamtrangliste berücksichtigt werden.</t>
  </si>
  <si>
    <t>Bonuspunkte sind nicht aktiviert.</t>
  </si>
  <si>
    <t xml:space="preserve">Gruppenrunde  </t>
  </si>
  <si>
    <t xml:space="preserve"> Spieltag 1</t>
  </si>
  <si>
    <t xml:space="preserve"> Spieltag 2</t>
  </si>
  <si>
    <t xml:space="preserve"> Spieltag 3</t>
  </si>
  <si>
    <t>AF bis Finalspiele</t>
  </si>
  <si>
    <t>Punkte für die Vorhersage der Sieger von KO-Spielen</t>
  </si>
  <si>
    <t>Korrekt</t>
  </si>
  <si>
    <t>Elfmeterwette [EMW]  (Festlegung auf ein Elfmeterschießen [EMS])</t>
  </si>
  <si>
    <t>Elfmeterwette nicht aktiviert</t>
  </si>
  <si>
    <t xml:space="preserve">Gewonnen </t>
  </si>
  <si>
    <t xml:space="preserve">Verloren </t>
  </si>
  <si>
    <t xml:space="preserve">Zusätzliche Kriterien bei Punktgleichheit in den Ranglisten der Abschnitte und der Gesamtrangliste: </t>
  </si>
  <si>
    <t>Bei Punktgleichheit werden keine zusätzlichen Kriterien angewendet.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</si>
</sst>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208" formatCode="ddd/\,\ dd/mm/yyyy"/>
    <numFmt numFmtId="209" formatCode="[Blue]\+\ ?0;[Red]\-\ ?0;[Black]\ 0"/>
    <numFmt numFmtId="212" formatCode="\+?0;\+\ ?0;0"/>
    <numFmt numFmtId="213" formatCode="\-\ ?0;\ \-\ ?0;0"/>
  </numFmts>
  <fonts count="68" x14ac:knownFonts="1">
    <font>
      <sz val="8"/>
      <name val="Verdana"/>
    </font>
    <font>
      <sz val="8"/>
      <name val="Verdana"/>
    </font>
    <font>
      <b/>
      <sz val="8"/>
      <color indexed="12"/>
      <name val="Verdana"/>
      <family val="2"/>
    </font>
    <font>
      <u/>
      <sz val="9"/>
      <color indexed="12"/>
      <name val="Tahoma"/>
      <family val="2"/>
    </font>
    <font>
      <sz val="9"/>
      <name val="Tahoma"/>
      <family val="2"/>
    </font>
    <font>
      <sz val="8"/>
      <name val="Tahoma"/>
      <family val="2"/>
    </font>
    <font>
      <b/>
      <sz val="9"/>
      <name val="Tahoma"/>
      <family val="2"/>
    </font>
    <font>
      <b/>
      <sz val="9"/>
      <color indexed="18"/>
      <name val="Tahoma"/>
      <family val="2"/>
    </font>
    <font>
      <b/>
      <sz val="8"/>
      <color indexed="63"/>
      <name val="Verdana"/>
      <family val="2"/>
    </font>
    <font>
      <sz val="9"/>
      <name val="Arial"/>
      <family val="2"/>
    </font>
    <font>
      <b/>
      <sz val="9"/>
      <color indexed="17"/>
      <name val="Arial"/>
      <family val="2"/>
    </font>
    <font>
      <sz val="9"/>
      <color indexed="17"/>
      <name val="Arial"/>
      <family val="2"/>
    </font>
    <font>
      <b/>
      <sz val="10"/>
      <color indexed="18"/>
      <name val="Arial"/>
      <family val="2"/>
    </font>
    <font>
      <b/>
      <sz val="9"/>
      <color indexed="63"/>
      <name val="Arial"/>
      <family val="2"/>
    </font>
    <font>
      <sz val="9"/>
      <color indexed="63"/>
      <name val="Arial"/>
      <family val="2"/>
    </font>
    <font>
      <b/>
      <sz val="9"/>
      <color indexed="18"/>
      <name val="Arial"/>
      <family val="2"/>
    </font>
    <font>
      <sz val="9"/>
      <color indexed="18"/>
      <name val="Arial"/>
      <family val="2"/>
    </font>
    <font>
      <b/>
      <sz val="9"/>
      <color indexed="12"/>
      <name val="Arial"/>
      <family val="2"/>
    </font>
    <font>
      <b/>
      <i/>
      <sz val="9"/>
      <color indexed="63"/>
      <name val="Arial"/>
      <family val="2"/>
    </font>
    <font>
      <b/>
      <i/>
      <sz val="9"/>
      <color indexed="62"/>
      <name val="Arial"/>
      <family val="2"/>
    </font>
    <font>
      <u/>
      <sz val="9"/>
      <color indexed="63"/>
      <name val="Arial"/>
      <family val="2"/>
    </font>
    <font>
      <sz val="9"/>
      <color indexed="18"/>
      <name val="Tahoma"/>
      <family val="2"/>
    </font>
    <font>
      <u/>
      <sz val="8"/>
      <color indexed="12"/>
      <name val="Verdana"/>
      <family val="2"/>
    </font>
    <font>
      <b/>
      <sz val="8"/>
      <name val="Tahoma"/>
      <family val="2"/>
    </font>
    <font>
      <sz val="8"/>
      <name val="Tahoma"/>
      <family val="2"/>
    </font>
    <font>
      <sz val="9"/>
      <name val="Tahoma"/>
      <family val="2"/>
    </font>
    <font>
      <sz val="8"/>
      <color indexed="10"/>
      <name val="Verdana"/>
      <family val="2"/>
    </font>
    <font>
      <b/>
      <sz val="8"/>
      <name val="Verdana"/>
      <family val="2"/>
    </font>
    <font>
      <b/>
      <i/>
      <sz val="8"/>
      <name val="Tahoma"/>
      <family val="2"/>
    </font>
    <font>
      <i/>
      <sz val="8"/>
      <name val="Verdana"/>
      <family val="2"/>
    </font>
    <font>
      <i/>
      <sz val="8"/>
      <color indexed="63"/>
      <name val="Arial"/>
      <family val="2"/>
    </font>
    <font>
      <i/>
      <sz val="8"/>
      <color indexed="14"/>
      <name val="Arial"/>
      <family val="2"/>
    </font>
    <font>
      <sz val="10"/>
      <name val="Tahoma"/>
      <family val="2"/>
    </font>
    <font>
      <i/>
      <sz val="8"/>
      <color indexed="16"/>
      <name val="Arial"/>
      <family val="2"/>
    </font>
    <font>
      <i/>
      <sz val="8"/>
      <color indexed="53"/>
      <name val="Arial"/>
      <family val="2"/>
    </font>
    <font>
      <b/>
      <sz val="8"/>
      <color indexed="10"/>
      <name val="Arial"/>
      <family val="2"/>
    </font>
    <font>
      <i/>
      <sz val="10"/>
      <color indexed="16"/>
      <name val="Tahoma"/>
      <family val="2"/>
    </font>
    <font>
      <b/>
      <sz val="9"/>
      <name val="Verdana"/>
      <family val="2"/>
    </font>
    <font>
      <b/>
      <sz val="8"/>
      <color indexed="9"/>
      <name val="Verdana"/>
      <family val="2"/>
    </font>
    <font>
      <sz val="8"/>
      <name val="Verdana"/>
      <family val="2"/>
    </font>
    <font>
      <b/>
      <sz val="8"/>
      <name val="Arial"/>
      <family val="2"/>
    </font>
    <font>
      <sz val="8"/>
      <name val="Arial"/>
      <family val="2"/>
    </font>
    <font>
      <b/>
      <sz val="9"/>
      <color indexed="16"/>
      <name val="Verdana"/>
      <family val="2"/>
    </font>
    <font>
      <sz val="8"/>
      <color indexed="18"/>
      <name val="Tahoma"/>
      <family val="2"/>
    </font>
    <font>
      <b/>
      <sz val="8"/>
      <color indexed="18"/>
      <name val="Tahoma"/>
      <family val="2"/>
    </font>
    <font>
      <i/>
      <sz val="8"/>
      <color indexed="54"/>
      <name val="Arial"/>
      <family val="2"/>
    </font>
    <font>
      <i/>
      <sz val="8"/>
      <name val="Arial"/>
      <family val="2"/>
    </font>
    <font>
      <sz val="8"/>
      <color indexed="56"/>
      <name val="Tahoma"/>
      <family val="2"/>
    </font>
    <font>
      <sz val="8"/>
      <color indexed="60"/>
      <name val="Tahoma"/>
      <family val="2"/>
    </font>
    <font>
      <sz val="8"/>
      <color indexed="10"/>
      <name val="Arial"/>
      <family val="2"/>
    </font>
    <font>
      <i/>
      <sz val="8"/>
      <name val="Tahoma"/>
      <family val="2"/>
    </font>
    <font>
      <i/>
      <sz val="8"/>
      <color indexed="63"/>
      <name val="Tahoma"/>
      <family val="2"/>
    </font>
    <font>
      <sz val="8"/>
      <color indexed="16"/>
      <name val="Verdana"/>
      <family val="2"/>
    </font>
    <font>
      <sz val="8"/>
      <color indexed="8"/>
      <name val="Verdana"/>
      <family val="2"/>
    </font>
    <font>
      <sz val="8"/>
      <color indexed="18"/>
      <name val="Arial"/>
      <family val="2"/>
    </font>
    <font>
      <sz val="8"/>
      <color indexed="8"/>
      <name val="Arial"/>
      <family val="2"/>
    </font>
    <font>
      <b/>
      <sz val="8"/>
      <color indexed="63"/>
      <name val="Tahoma"/>
      <family val="2"/>
    </font>
    <font>
      <b/>
      <sz val="9"/>
      <color indexed="60"/>
      <name val="Arial"/>
      <family val="2"/>
    </font>
    <font>
      <sz val="8"/>
      <color indexed="12"/>
      <name val="Verdana"/>
      <family val="2"/>
    </font>
    <font>
      <sz val="8"/>
      <color indexed="63"/>
      <name val="Arial"/>
      <family val="2"/>
    </font>
    <font>
      <sz val="8"/>
      <color indexed="12"/>
      <name val="Tahoma"/>
      <family val="2"/>
    </font>
    <font>
      <sz val="8"/>
      <color indexed="18"/>
      <name val="Verdana"/>
      <family val="2"/>
    </font>
    <font>
      <b/>
      <i/>
      <sz val="8"/>
      <color indexed="18"/>
      <name val="Verdana"/>
      <family val="2"/>
    </font>
    <font>
      <sz val="8"/>
      <color indexed="63"/>
      <name val="Verdana"/>
      <family val="2"/>
    </font>
    <font>
      <b/>
      <sz val="8"/>
      <color indexed="8"/>
      <name val="Verdana"/>
      <family val="2"/>
    </font>
    <font>
      <sz val="8"/>
      <color indexed="20"/>
      <name val="Verdana"/>
      <family val="2"/>
    </font>
    <font>
      <i/>
      <sz val="8"/>
      <color indexed="8"/>
      <name val="Verdana"/>
      <family val="2"/>
    </font>
    <font>
      <sz val="8"/>
      <color indexed="60"/>
      <name val="Verdana"/>
      <family val="2"/>
    </font>
  </fonts>
  <fills count="23">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31"/>
        <bgColor indexed="64"/>
      </patternFill>
    </fill>
    <fill>
      <patternFill patternType="solid">
        <fgColor indexed="15"/>
        <bgColor indexed="64"/>
      </patternFill>
    </fill>
    <fill>
      <patternFill patternType="solid">
        <fgColor indexed="13"/>
        <bgColor indexed="64"/>
      </patternFill>
    </fill>
    <fill>
      <patternFill patternType="solid">
        <fgColor indexed="57"/>
        <bgColor indexed="64"/>
      </patternFill>
    </fill>
    <fill>
      <patternFill patternType="solid">
        <fgColor indexed="25"/>
        <bgColor indexed="64"/>
      </patternFill>
    </fill>
    <fill>
      <patternFill patternType="solid">
        <fgColor indexed="51"/>
        <bgColor indexed="64"/>
      </patternFill>
    </fill>
    <fill>
      <patternFill patternType="solid">
        <fgColor indexed="34"/>
        <bgColor indexed="64"/>
      </patternFill>
    </fill>
    <fill>
      <patternFill patternType="solid">
        <fgColor indexed="21"/>
        <bgColor indexed="64"/>
      </patternFill>
    </fill>
    <fill>
      <patternFill patternType="solid">
        <fgColor indexed="26"/>
        <bgColor indexed="64"/>
      </patternFill>
    </fill>
    <fill>
      <patternFill patternType="solid">
        <fgColor indexed="40"/>
        <bgColor indexed="64"/>
      </patternFill>
    </fill>
    <fill>
      <patternFill patternType="solid">
        <fgColor indexed="38"/>
        <bgColor indexed="64"/>
      </patternFill>
    </fill>
    <fill>
      <patternFill patternType="solid">
        <fgColor indexed="41"/>
        <bgColor indexed="64"/>
      </patternFill>
    </fill>
    <fill>
      <patternFill patternType="solid">
        <fgColor indexed="33"/>
        <bgColor indexed="64"/>
      </patternFill>
    </fill>
    <fill>
      <patternFill patternType="solid">
        <fgColor indexed="43"/>
        <bgColor indexed="64"/>
      </patternFill>
    </fill>
    <fill>
      <patternFill patternType="solid">
        <fgColor indexed="45"/>
        <bgColor indexed="64"/>
      </patternFill>
    </fill>
    <fill>
      <patternFill patternType="solid">
        <fgColor indexed="47"/>
        <bgColor indexed="64"/>
      </patternFill>
    </fill>
    <fill>
      <patternFill patternType="solid">
        <fgColor indexed="30"/>
        <bgColor indexed="64"/>
      </patternFill>
    </fill>
    <fill>
      <patternFill patternType="solid">
        <fgColor indexed="39"/>
        <bgColor indexed="64"/>
      </patternFill>
    </fill>
    <fill>
      <patternFill patternType="solid">
        <fgColor indexed="10"/>
        <bgColor indexed="64"/>
      </patternFill>
    </fill>
  </fills>
  <borders count="96">
    <border>
      <left/>
      <right/>
      <top/>
      <bottom/>
      <diagonal/>
    </border>
    <border>
      <left style="medium">
        <color indexed="64"/>
      </left>
      <right/>
      <top/>
      <bottom/>
      <diagonal/>
    </border>
    <border>
      <left/>
      <right style="medium">
        <color indexed="64"/>
      </right>
      <top/>
      <bottom/>
      <diagonal/>
    </border>
    <border>
      <left/>
      <right/>
      <top style="dashed">
        <color indexed="23"/>
      </top>
      <bottom/>
      <diagonal/>
    </border>
    <border>
      <left/>
      <right/>
      <top/>
      <bottom style="dashed">
        <color indexed="23"/>
      </bottom>
      <diagonal/>
    </border>
    <border>
      <left/>
      <right/>
      <top/>
      <bottom style="dash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3"/>
      </bottom>
      <diagonal/>
    </border>
    <border>
      <left/>
      <right/>
      <top style="thin">
        <color indexed="63"/>
      </top>
      <bottom style="thin">
        <color indexed="63"/>
      </bottom>
      <diagonal/>
    </border>
    <border>
      <left style="thin">
        <color indexed="63"/>
      </left>
      <right/>
      <top style="thin">
        <color indexed="63"/>
      </top>
      <bottom style="thin">
        <color indexed="63"/>
      </bottom>
      <diagonal/>
    </border>
    <border>
      <left style="thin">
        <color indexed="63"/>
      </left>
      <right style="thin">
        <color indexed="63"/>
      </right>
      <top style="thin">
        <color indexed="63"/>
      </top>
      <bottom style="thin">
        <color indexed="63"/>
      </bottom>
      <diagonal/>
    </border>
    <border>
      <left style="thin">
        <color indexed="63"/>
      </left>
      <right style="medium">
        <color indexed="64"/>
      </right>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23"/>
      </bottom>
      <diagonal/>
    </border>
    <border>
      <left/>
      <right style="thin">
        <color indexed="63"/>
      </right>
      <top style="thin">
        <color indexed="63"/>
      </top>
      <bottom style="thin">
        <color indexed="63"/>
      </bottom>
      <diagonal/>
    </border>
    <border>
      <left style="thin">
        <color indexed="63"/>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55"/>
      </left>
      <right style="thin">
        <color indexed="63"/>
      </right>
      <top style="thin">
        <color indexed="63"/>
      </top>
      <bottom style="thin">
        <color indexed="55"/>
      </bottom>
      <diagonal/>
    </border>
    <border>
      <left style="thin">
        <color indexed="64"/>
      </left>
      <right style="thin">
        <color indexed="64"/>
      </right>
      <top style="thin">
        <color indexed="64"/>
      </top>
      <bottom/>
      <diagonal/>
    </border>
    <border>
      <left style="thin">
        <color indexed="55"/>
      </left>
      <right style="thin">
        <color indexed="63"/>
      </right>
      <top style="thin">
        <color indexed="55"/>
      </top>
      <bottom style="thin">
        <color indexed="55"/>
      </bottom>
      <diagonal/>
    </border>
    <border>
      <left style="thin">
        <color indexed="55"/>
      </left>
      <right style="thin">
        <color indexed="63"/>
      </right>
      <top/>
      <bottom style="thin">
        <color indexed="55"/>
      </bottom>
      <diagonal/>
    </border>
    <border>
      <left/>
      <right style="thin">
        <color indexed="55"/>
      </right>
      <top/>
      <bottom/>
      <diagonal/>
    </border>
    <border>
      <left style="thin">
        <color indexed="63"/>
      </left>
      <right/>
      <top/>
      <bottom style="thin">
        <color indexed="63"/>
      </bottom>
      <diagonal/>
    </border>
    <border>
      <left/>
      <right style="thin">
        <color indexed="55"/>
      </right>
      <top/>
      <bottom style="thin">
        <color indexed="63"/>
      </bottom>
      <diagonal/>
    </border>
    <border>
      <left style="thin">
        <color indexed="55"/>
      </left>
      <right style="thin">
        <color indexed="63"/>
      </right>
      <top style="thin">
        <color indexed="55"/>
      </top>
      <bottom style="thin">
        <color indexed="63"/>
      </bottom>
      <diagonal/>
    </border>
    <border>
      <left/>
      <right/>
      <top style="thick">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55"/>
      </top>
      <bottom style="medium">
        <color indexed="55"/>
      </bottom>
      <diagonal/>
    </border>
    <border>
      <left/>
      <right/>
      <top/>
      <bottom style="medium">
        <color indexed="55"/>
      </bottom>
      <diagonal/>
    </border>
    <border>
      <left/>
      <right/>
      <top style="medium">
        <color indexed="55"/>
      </top>
      <bottom/>
      <diagonal/>
    </border>
    <border>
      <left style="medium">
        <color indexed="64"/>
      </left>
      <right style="thin">
        <color indexed="64"/>
      </right>
      <top/>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style="thin">
        <color indexed="64"/>
      </top>
      <bottom style="thin">
        <color indexed="23"/>
      </bottom>
      <diagonal/>
    </border>
    <border>
      <left style="thin">
        <color indexed="63"/>
      </left>
      <right/>
      <top style="thin">
        <color indexed="64"/>
      </top>
      <bottom style="thin">
        <color indexed="63"/>
      </bottom>
      <diagonal/>
    </border>
    <border>
      <left/>
      <right/>
      <top style="thin">
        <color indexed="64"/>
      </top>
      <bottom style="thin">
        <color indexed="63"/>
      </bottom>
      <diagonal/>
    </border>
    <border>
      <left/>
      <right style="thin">
        <color indexed="63"/>
      </right>
      <top style="thin">
        <color indexed="64"/>
      </top>
      <bottom style="thin">
        <color indexed="63"/>
      </bottom>
      <diagonal/>
    </border>
    <border>
      <left style="thin">
        <color indexed="63"/>
      </left>
      <right/>
      <top style="thin">
        <color indexed="63"/>
      </top>
      <bottom/>
      <diagonal/>
    </border>
    <border>
      <left/>
      <right/>
      <top style="thin">
        <color indexed="63"/>
      </top>
      <bottom/>
      <diagonal/>
    </border>
    <border>
      <left/>
      <right style="thin">
        <color indexed="63"/>
      </right>
      <top style="thin">
        <color indexed="63"/>
      </top>
      <bottom/>
      <diagonal/>
    </border>
    <border>
      <left/>
      <right style="thin">
        <color indexed="63"/>
      </right>
      <top/>
      <bottom/>
      <diagonal/>
    </border>
    <border>
      <left style="thin">
        <color indexed="63"/>
      </left>
      <right/>
      <top style="thin">
        <color indexed="63"/>
      </top>
      <bottom style="thin">
        <color indexed="55"/>
      </bottom>
      <diagonal/>
    </border>
    <border>
      <left/>
      <right/>
      <top style="thin">
        <color indexed="63"/>
      </top>
      <bottom style="thin">
        <color indexed="55"/>
      </bottom>
      <diagonal/>
    </border>
    <border>
      <left/>
      <right style="thin">
        <color indexed="63"/>
      </right>
      <top style="thin">
        <color indexed="63"/>
      </top>
      <bottom style="thin">
        <color indexed="55"/>
      </bottom>
      <diagonal/>
    </border>
    <border>
      <left style="thin">
        <color indexed="63"/>
      </left>
      <right/>
      <top style="thin">
        <color indexed="55"/>
      </top>
      <bottom/>
      <diagonal/>
    </border>
    <border>
      <left/>
      <right/>
      <top style="thin">
        <color indexed="55"/>
      </top>
      <bottom/>
      <diagonal/>
    </border>
    <border>
      <left/>
      <right style="thin">
        <color indexed="63"/>
      </right>
      <top style="thin">
        <color indexed="55"/>
      </top>
      <bottom/>
      <diagonal/>
    </border>
    <border>
      <left style="thin">
        <color indexed="63"/>
      </left>
      <right/>
      <top style="thin">
        <color indexed="55"/>
      </top>
      <bottom style="thin">
        <color indexed="55"/>
      </bottom>
      <diagonal/>
    </border>
    <border>
      <left/>
      <right/>
      <top style="thin">
        <color indexed="55"/>
      </top>
      <bottom style="thin">
        <color indexed="55"/>
      </bottom>
      <diagonal/>
    </border>
    <border>
      <left/>
      <right style="thin">
        <color indexed="63"/>
      </right>
      <top style="thin">
        <color indexed="55"/>
      </top>
      <bottom style="thin">
        <color indexed="55"/>
      </bottom>
      <diagonal/>
    </border>
    <border>
      <left/>
      <right style="thin">
        <color indexed="55"/>
      </right>
      <top style="thin">
        <color indexed="63"/>
      </top>
      <bottom/>
      <diagonal/>
    </border>
    <border>
      <left/>
      <right/>
      <top style="medium">
        <color indexed="55"/>
      </top>
      <bottom style="medium">
        <color indexed="23"/>
      </bottom>
      <diagonal/>
    </border>
    <border>
      <left style="thin">
        <color indexed="63"/>
      </left>
      <right/>
      <top/>
      <bottom style="thin">
        <color indexed="55"/>
      </bottom>
      <diagonal/>
    </border>
    <border>
      <left/>
      <right/>
      <top/>
      <bottom style="thin">
        <color indexed="55"/>
      </bottom>
      <diagonal/>
    </border>
    <border>
      <left/>
      <right style="thin">
        <color indexed="63"/>
      </right>
      <top/>
      <bottom style="thin">
        <color indexed="55"/>
      </bottom>
      <diagonal/>
    </border>
    <border>
      <left/>
      <right style="thin">
        <color indexed="8"/>
      </right>
      <top/>
      <bottom/>
      <diagonal/>
    </border>
    <border>
      <left style="thin">
        <color indexed="63"/>
      </left>
      <right/>
      <top style="thin">
        <color indexed="55"/>
      </top>
      <bottom style="thin">
        <color indexed="63"/>
      </bottom>
      <diagonal/>
    </border>
    <border>
      <left/>
      <right/>
      <top style="thin">
        <color indexed="55"/>
      </top>
      <bottom style="thin">
        <color indexed="63"/>
      </bottom>
      <diagonal/>
    </border>
    <border>
      <left/>
      <right style="thin">
        <color indexed="63"/>
      </right>
      <top style="thin">
        <color indexed="55"/>
      </top>
      <bottom style="thin">
        <color indexed="63"/>
      </bottom>
      <diagonal/>
    </border>
    <border>
      <left style="thin">
        <color indexed="63"/>
      </left>
      <right/>
      <top style="thin">
        <color indexed="63"/>
      </top>
      <bottom style="thin">
        <color indexed="23"/>
      </bottom>
      <diagonal/>
    </border>
    <border>
      <left/>
      <right/>
      <top style="thin">
        <color indexed="63"/>
      </top>
      <bottom style="thin">
        <color indexed="23"/>
      </bottom>
      <diagonal/>
    </border>
    <border>
      <left/>
      <right style="thin">
        <color indexed="63"/>
      </right>
      <top style="thin">
        <color indexed="63"/>
      </top>
      <bottom style="thin">
        <color indexed="23"/>
      </bottom>
      <diagonal/>
    </border>
    <border>
      <left style="thin">
        <color indexed="63"/>
      </left>
      <right/>
      <top style="thin">
        <color indexed="23"/>
      </top>
      <bottom style="thin">
        <color indexed="23"/>
      </bottom>
      <diagonal/>
    </border>
    <border>
      <left/>
      <right/>
      <top style="thin">
        <color indexed="23"/>
      </top>
      <bottom style="thin">
        <color indexed="23"/>
      </bottom>
      <diagonal/>
    </border>
    <border>
      <left/>
      <right style="thin">
        <color indexed="63"/>
      </right>
      <top style="thin">
        <color indexed="23"/>
      </top>
      <bottom style="thin">
        <color indexed="23"/>
      </bottom>
      <diagonal/>
    </border>
    <border>
      <left style="thin">
        <color indexed="63"/>
      </left>
      <right/>
      <top style="thin">
        <color indexed="23"/>
      </top>
      <bottom style="thin">
        <color indexed="63"/>
      </bottom>
      <diagonal/>
    </border>
    <border>
      <left/>
      <right/>
      <top style="thin">
        <color indexed="23"/>
      </top>
      <bottom style="thin">
        <color indexed="63"/>
      </bottom>
      <diagonal/>
    </border>
    <border>
      <left/>
      <right style="thin">
        <color indexed="63"/>
      </right>
      <top style="thin">
        <color indexed="23"/>
      </top>
      <bottom style="thin">
        <color indexed="63"/>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 fillId="0" borderId="0"/>
    <xf numFmtId="0" fontId="4" fillId="0" borderId="0"/>
    <xf numFmtId="0" fontId="4" fillId="0" borderId="0"/>
  </cellStyleXfs>
  <cellXfs count="652">
    <xf numFmtId="0" fontId="0" fillId="0" borderId="0" xfId="0"/>
    <xf numFmtId="0" fontId="4" fillId="0" borderId="0" xfId="4"/>
    <xf numFmtId="0" fontId="6" fillId="0" borderId="0" xfId="4" applyFont="1" applyAlignment="1">
      <alignment vertical="center"/>
    </xf>
    <xf numFmtId="0" fontId="4" fillId="0" borderId="0" xfId="4" applyAlignment="1">
      <alignment horizontal="right" vertical="center"/>
    </xf>
    <xf numFmtId="0" fontId="4" fillId="0" borderId="0" xfId="4" applyAlignment="1">
      <alignment vertical="center"/>
    </xf>
    <xf numFmtId="0" fontId="4" fillId="0" borderId="0" xfId="4" applyFont="1"/>
    <xf numFmtId="0" fontId="6" fillId="0" borderId="0" xfId="4" applyFont="1"/>
    <xf numFmtId="0" fontId="4" fillId="2" borderId="1" xfId="4" applyFill="1" applyBorder="1"/>
    <xf numFmtId="0" fontId="6" fillId="2" borderId="0" xfId="4" applyFont="1" applyFill="1" applyBorder="1" applyAlignment="1">
      <alignment vertical="center"/>
    </xf>
    <xf numFmtId="0" fontId="4" fillId="2" borderId="0" xfId="4" applyFill="1" applyBorder="1"/>
    <xf numFmtId="0" fontId="4" fillId="2" borderId="2" xfId="4" applyFill="1" applyBorder="1"/>
    <xf numFmtId="0" fontId="4" fillId="2" borderId="1" xfId="2" applyFont="1" applyFill="1" applyBorder="1" applyAlignment="1" applyProtection="1"/>
    <xf numFmtId="0" fontId="8" fillId="2" borderId="0" xfId="4" applyFont="1" applyFill="1" applyBorder="1" applyAlignment="1">
      <alignment vertical="center"/>
    </xf>
    <xf numFmtId="0" fontId="9" fillId="2" borderId="0" xfId="4" applyFont="1" applyFill="1" applyBorder="1"/>
    <xf numFmtId="0" fontId="9" fillId="2" borderId="0" xfId="4" applyFont="1" applyFill="1" applyBorder="1" applyAlignment="1">
      <alignment vertical="center"/>
    </xf>
    <xf numFmtId="0" fontId="10" fillId="2" borderId="3" xfId="4" applyFont="1" applyFill="1" applyBorder="1" applyAlignment="1">
      <alignment horizontal="left" indent="1"/>
    </xf>
    <xf numFmtId="0" fontId="9" fillId="2" borderId="3" xfId="4" applyFont="1" applyFill="1" applyBorder="1"/>
    <xf numFmtId="0" fontId="11" fillId="2" borderId="0" xfId="4" applyFont="1" applyFill="1" applyBorder="1" applyAlignment="1">
      <alignment horizontal="left" indent="1"/>
    </xf>
    <xf numFmtId="0" fontId="11" fillId="2" borderId="4" xfId="4" applyFont="1" applyFill="1" applyBorder="1"/>
    <xf numFmtId="0" fontId="9" fillId="2" borderId="4" xfId="4" applyFont="1" applyFill="1" applyBorder="1"/>
    <xf numFmtId="0" fontId="14" fillId="2" borderId="0" xfId="4" applyFont="1" applyFill="1" applyBorder="1" applyAlignment="1"/>
    <xf numFmtId="0" fontId="16" fillId="2" borderId="0" xfId="4" applyFont="1" applyFill="1" applyBorder="1" applyAlignment="1"/>
    <xf numFmtId="0" fontId="16" fillId="2" borderId="0" xfId="4" applyFont="1" applyFill="1" applyBorder="1" applyAlignment="1">
      <alignment vertical="top"/>
    </xf>
    <xf numFmtId="0" fontId="17" fillId="2" borderId="0" xfId="4" applyFont="1" applyFill="1" applyBorder="1" applyAlignment="1">
      <alignment vertical="center"/>
    </xf>
    <xf numFmtId="0" fontId="18" fillId="2" borderId="0" xfId="4" applyFont="1" applyFill="1" applyBorder="1" applyAlignment="1"/>
    <xf numFmtId="0" fontId="19" fillId="2" borderId="0" xfId="4" applyFont="1" applyFill="1" applyBorder="1" applyAlignment="1">
      <alignment vertical="center"/>
    </xf>
    <xf numFmtId="0" fontId="11" fillId="2" borderId="0" xfId="4" applyFont="1" applyFill="1" applyBorder="1" applyAlignment="1">
      <alignment horizontal="left" vertical="center" indent="1"/>
    </xf>
    <xf numFmtId="0" fontId="9" fillId="2" borderId="0" xfId="4" applyFont="1" applyFill="1" applyBorder="1" applyAlignment="1">
      <alignment horizontal="left" indent="1"/>
    </xf>
    <xf numFmtId="0" fontId="9" fillId="2" borderId="4" xfId="4" applyFont="1" applyFill="1" applyBorder="1" applyAlignment="1">
      <alignment vertical="center"/>
    </xf>
    <xf numFmtId="0" fontId="14" fillId="2" borderId="0" xfId="4" applyFont="1" applyFill="1" applyBorder="1" applyAlignment="1">
      <alignment vertical="center"/>
    </xf>
    <xf numFmtId="0" fontId="15" fillId="2" borderId="0" xfId="4" applyFont="1" applyFill="1" applyBorder="1" applyAlignment="1">
      <alignment vertical="center"/>
    </xf>
    <xf numFmtId="0" fontId="18" fillId="2" borderId="0" xfId="4" applyFont="1" applyFill="1" applyBorder="1" applyAlignment="1">
      <alignment vertical="center"/>
    </xf>
    <xf numFmtId="0" fontId="18" fillId="2" borderId="0" xfId="4" quotePrefix="1" applyFont="1" applyFill="1" applyBorder="1" applyAlignment="1">
      <alignment vertical="center"/>
    </xf>
    <xf numFmtId="0" fontId="9" fillId="2" borderId="5" xfId="4" applyFont="1" applyFill="1" applyBorder="1" applyAlignment="1">
      <alignment vertical="center"/>
    </xf>
    <xf numFmtId="0" fontId="9" fillId="2" borderId="5" xfId="4" applyFont="1" applyFill="1" applyBorder="1"/>
    <xf numFmtId="0" fontId="4" fillId="2" borderId="6" xfId="4" applyFill="1" applyBorder="1"/>
    <xf numFmtId="0" fontId="4" fillId="2" borderId="7" xfId="4" applyFill="1" applyBorder="1"/>
    <xf numFmtId="0" fontId="4" fillId="2" borderId="8" xfId="4" applyFill="1" applyBorder="1"/>
    <xf numFmtId="0" fontId="6"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14" fontId="24" fillId="0" borderId="0" xfId="0" applyNumberFormat="1" applyFont="1" applyAlignment="1">
      <alignment horizontal="right" vertical="center"/>
    </xf>
    <xf numFmtId="0" fontId="0" fillId="0" borderId="0" xfId="0" applyAlignment="1">
      <alignment vertical="center"/>
    </xf>
    <xf numFmtId="0" fontId="23" fillId="3" borderId="9" xfId="0" applyFont="1" applyFill="1" applyBorder="1" applyAlignment="1">
      <alignment horizontal="center" vertical="center"/>
    </xf>
    <xf numFmtId="0" fontId="23" fillId="3" borderId="9" xfId="0" applyFont="1" applyFill="1" applyBorder="1" applyAlignment="1">
      <alignment horizontal="left" vertical="center" indent="1"/>
    </xf>
    <xf numFmtId="0" fontId="23" fillId="3" borderId="9" xfId="0" applyFont="1" applyFill="1" applyBorder="1" applyAlignment="1">
      <alignment horizontal="center" vertical="center" wrapText="1"/>
    </xf>
    <xf numFmtId="0" fontId="23" fillId="3" borderId="10" xfId="0" applyFont="1" applyFill="1" applyBorder="1" applyAlignment="1">
      <alignment horizontal="center" vertical="center"/>
    </xf>
    <xf numFmtId="0" fontId="23" fillId="3" borderId="10" xfId="0" applyFont="1" applyFill="1" applyBorder="1" applyAlignment="1">
      <alignment vertical="center"/>
    </xf>
    <xf numFmtId="0" fontId="0" fillId="3" borderId="10" xfId="0" applyFill="1" applyBorder="1"/>
    <xf numFmtId="0" fontId="0" fillId="3" borderId="11" xfId="0" applyFill="1" applyBorder="1"/>
    <xf numFmtId="0" fontId="5" fillId="4" borderId="9" xfId="0" applyFont="1" applyFill="1" applyBorder="1" applyAlignment="1">
      <alignment horizontal="center" vertical="center"/>
    </xf>
    <xf numFmtId="0" fontId="5" fillId="4" borderId="9" xfId="0" applyFont="1" applyFill="1" applyBorder="1" applyAlignment="1" applyProtection="1">
      <alignment horizontal="center" vertical="center"/>
      <protection locked="0"/>
    </xf>
    <xf numFmtId="0" fontId="25" fillId="0" borderId="0" xfId="0" applyFont="1" applyAlignment="1">
      <alignment vertical="center"/>
    </xf>
    <xf numFmtId="0" fontId="24" fillId="0" borderId="0" xfId="0" applyFont="1"/>
    <xf numFmtId="0" fontId="5" fillId="0" borderId="0" xfId="0" applyFont="1" applyAlignment="1">
      <alignment horizontal="right"/>
    </xf>
    <xf numFmtId="0" fontId="0" fillId="0" borderId="0" xfId="0" applyAlignment="1">
      <alignment horizontal="right"/>
    </xf>
    <xf numFmtId="0" fontId="0" fillId="0" borderId="0" xfId="0" applyAlignment="1" applyProtection="1">
      <alignment horizontal="center"/>
      <protection locked="0"/>
    </xf>
    <xf numFmtId="0" fontId="0" fillId="0" borderId="0" xfId="0" applyAlignment="1">
      <alignment horizontal="center"/>
    </xf>
    <xf numFmtId="0" fontId="26" fillId="0" borderId="0" xfId="0" applyFont="1" applyAlignment="1">
      <alignment horizontal="center"/>
    </xf>
    <xf numFmtId="0" fontId="0" fillId="5" borderId="0" xfId="0" applyFill="1"/>
    <xf numFmtId="0" fontId="0" fillId="6" borderId="0" xfId="0" applyFill="1" applyAlignment="1" applyProtection="1">
      <alignment horizontal="center"/>
      <protection locked="0"/>
    </xf>
    <xf numFmtId="0" fontId="0" fillId="6" borderId="0" xfId="0" applyFill="1" applyAlignment="1">
      <alignment horizontal="center"/>
    </xf>
    <xf numFmtId="0" fontId="0" fillId="0" borderId="0" xfId="0" applyProtection="1">
      <protection locked="0"/>
    </xf>
    <xf numFmtId="0" fontId="0" fillId="6" borderId="0" xfId="0" applyFill="1"/>
    <xf numFmtId="0" fontId="27" fillId="0" borderId="0" xfId="0" applyFont="1"/>
    <xf numFmtId="0" fontId="0" fillId="0" borderId="0" xfId="0" applyAlignment="1"/>
    <xf numFmtId="0" fontId="0" fillId="0" borderId="12" xfId="0" applyBorder="1" applyAlignment="1">
      <alignment horizontal="center"/>
    </xf>
    <xf numFmtId="0" fontId="0" fillId="0" borderId="13" xfId="0" applyBorder="1" applyAlignment="1">
      <alignment horizontal="center"/>
    </xf>
    <xf numFmtId="0" fontId="0" fillId="0" borderId="0" xfId="0" quotePrefix="1"/>
    <xf numFmtId="0" fontId="0" fillId="0" borderId="0" xfId="0" applyFill="1" applyBorder="1" applyAlignment="1">
      <alignment horizontal="center"/>
    </xf>
    <xf numFmtId="0" fontId="0" fillId="0" borderId="0" xfId="0" applyProtection="1">
      <protection hidden="1"/>
    </xf>
    <xf numFmtId="0" fontId="24" fillId="0" borderId="0" xfId="0" applyFont="1" applyProtection="1">
      <protection hidden="1"/>
    </xf>
    <xf numFmtId="0" fontId="28" fillId="0" borderId="0" xfId="0" applyFont="1" applyAlignment="1">
      <alignment horizontal="right" vertical="center"/>
    </xf>
    <xf numFmtId="0" fontId="23" fillId="7" borderId="14" xfId="0" applyFont="1" applyFill="1" applyBorder="1" applyAlignment="1" applyProtection="1">
      <alignment horizontal="center" vertical="center"/>
      <protection hidden="1"/>
    </xf>
    <xf numFmtId="0" fontId="27" fillId="0" borderId="0" xfId="0" applyFont="1" applyAlignment="1" applyProtection="1">
      <alignment horizontal="left" vertical="center"/>
      <protection hidden="1"/>
    </xf>
    <xf numFmtId="0" fontId="29" fillId="0" borderId="0" xfId="0" applyFont="1" applyAlignment="1" applyProtection="1">
      <alignment horizontal="left" vertical="center"/>
      <protection hidden="1"/>
    </xf>
    <xf numFmtId="0" fontId="1" fillId="0" borderId="0" xfId="0" applyFont="1" applyProtection="1">
      <protection hidden="1"/>
    </xf>
    <xf numFmtId="0" fontId="23" fillId="7" borderId="9" xfId="0" applyFont="1" applyFill="1" applyBorder="1" applyAlignment="1" applyProtection="1">
      <alignment horizontal="center" vertical="center"/>
      <protection hidden="1"/>
    </xf>
    <xf numFmtId="0" fontId="0" fillId="0" borderId="0" xfId="0" applyFill="1" applyProtection="1">
      <protection hidden="1"/>
    </xf>
    <xf numFmtId="0" fontId="24" fillId="0" borderId="0" xfId="0" applyFont="1" applyAlignment="1" applyProtection="1">
      <alignment vertical="center"/>
      <protection hidden="1"/>
    </xf>
    <xf numFmtId="0" fontId="30" fillId="0" borderId="0" xfId="0" applyFont="1" applyProtection="1">
      <protection hidden="1"/>
    </xf>
    <xf numFmtId="0" fontId="23" fillId="7" borderId="15" xfId="0" applyFont="1" applyFill="1" applyBorder="1" applyAlignment="1" applyProtection="1">
      <alignment horizontal="center" vertical="center"/>
      <protection hidden="1"/>
    </xf>
    <xf numFmtId="0" fontId="23" fillId="0" borderId="0" xfId="0" applyFont="1" applyAlignment="1" applyProtection="1">
      <alignment vertical="center"/>
      <protection hidden="1"/>
    </xf>
    <xf numFmtId="0" fontId="1" fillId="0" borderId="0" xfId="0" applyFont="1" applyAlignment="1" applyProtection="1">
      <protection hidden="1"/>
    </xf>
    <xf numFmtId="0" fontId="32" fillId="0" borderId="0" xfId="0" applyFont="1" applyAlignment="1" applyProtection="1">
      <alignment horizontal="right" vertical="center"/>
      <protection hidden="1"/>
    </xf>
    <xf numFmtId="0" fontId="36" fillId="0" borderId="0" xfId="0" applyFont="1" applyAlignment="1" applyProtection="1">
      <alignment horizontal="left" vertical="center"/>
      <protection hidden="1"/>
    </xf>
    <xf numFmtId="0" fontId="0" fillId="0" borderId="0" xfId="0" applyAlignment="1" applyProtection="1">
      <alignment vertical="center"/>
      <protection hidden="1"/>
    </xf>
    <xf numFmtId="0" fontId="27" fillId="0" borderId="0" xfId="0" applyFont="1" applyProtection="1">
      <protection hidden="1"/>
    </xf>
    <xf numFmtId="0" fontId="27" fillId="0" borderId="0" xfId="0" applyFont="1" applyAlignment="1" applyProtection="1">
      <alignment horizontal="center" vertical="center"/>
      <protection hidden="1"/>
    </xf>
    <xf numFmtId="0" fontId="0" fillId="0" borderId="0" xfId="0" applyBorder="1" applyProtection="1">
      <protection hidden="1"/>
    </xf>
    <xf numFmtId="0" fontId="0" fillId="0" borderId="16" xfId="0" applyBorder="1" applyProtection="1">
      <protection hidden="1"/>
    </xf>
    <xf numFmtId="0" fontId="0" fillId="0" borderId="0" xfId="0" applyFill="1"/>
    <xf numFmtId="0" fontId="27" fillId="0" borderId="0" xfId="0" applyFont="1" applyBorder="1" applyProtection="1">
      <protection hidden="1"/>
    </xf>
    <xf numFmtId="0" fontId="39" fillId="0" borderId="0" xfId="0" applyFont="1" applyProtection="1">
      <protection hidden="1"/>
    </xf>
    <xf numFmtId="0" fontId="0" fillId="6" borderId="9" xfId="0" applyFill="1" applyBorder="1"/>
    <xf numFmtId="0" fontId="0" fillId="3" borderId="17" xfId="0" applyFill="1" applyBorder="1" applyProtection="1">
      <protection hidden="1"/>
    </xf>
    <xf numFmtId="0" fontId="0" fillId="3" borderId="16" xfId="0" applyFill="1" applyBorder="1" applyProtection="1">
      <protection hidden="1"/>
    </xf>
    <xf numFmtId="0" fontId="0" fillId="3" borderId="18" xfId="0" applyFill="1" applyBorder="1" applyProtection="1">
      <protection hidden="1"/>
    </xf>
    <xf numFmtId="0" fontId="0" fillId="6" borderId="19" xfId="0" applyFill="1" applyBorder="1" applyProtection="1">
      <protection locked="0"/>
    </xf>
    <xf numFmtId="0" fontId="0" fillId="3" borderId="1" xfId="0" applyFill="1" applyBorder="1" applyProtection="1">
      <protection hidden="1"/>
    </xf>
    <xf numFmtId="0" fontId="23" fillId="3" borderId="0" xfId="0" applyFont="1" applyFill="1" applyBorder="1" applyAlignment="1" applyProtection="1">
      <alignment vertical="top"/>
      <protection hidden="1"/>
    </xf>
    <xf numFmtId="0" fontId="0" fillId="3" borderId="0" xfId="0" applyFill="1" applyBorder="1" applyProtection="1">
      <protection hidden="1"/>
    </xf>
    <xf numFmtId="0" fontId="24" fillId="3" borderId="0" xfId="0" applyFont="1" applyFill="1" applyBorder="1" applyAlignment="1" applyProtection="1">
      <alignment horizontal="center"/>
      <protection hidden="1"/>
    </xf>
    <xf numFmtId="0" fontId="24" fillId="3" borderId="2" xfId="0" applyFont="1" applyFill="1" applyBorder="1" applyAlignment="1" applyProtection="1">
      <alignment horizontal="center"/>
      <protection hidden="1"/>
    </xf>
    <xf numFmtId="0" fontId="23" fillId="8" borderId="20" xfId="0" applyFont="1" applyFill="1" applyBorder="1" applyAlignment="1" applyProtection="1">
      <alignment horizontal="center" vertical="center"/>
      <protection hidden="1"/>
    </xf>
    <xf numFmtId="0" fontId="23" fillId="8" borderId="21" xfId="0" applyFont="1" applyFill="1" applyBorder="1" applyAlignment="1" applyProtection="1">
      <alignment horizontal="center" vertical="center"/>
      <protection hidden="1"/>
    </xf>
    <xf numFmtId="0" fontId="24" fillId="3" borderId="0" xfId="0" applyFont="1" applyFill="1" applyBorder="1" applyAlignment="1" applyProtection="1">
      <alignment horizontal="right"/>
      <protection hidden="1"/>
    </xf>
    <xf numFmtId="0" fontId="23" fillId="9" borderId="20" xfId="0" applyFont="1" applyFill="1" applyBorder="1" applyAlignment="1" applyProtection="1">
      <alignment horizontal="center" vertical="center"/>
      <protection hidden="1"/>
    </xf>
    <xf numFmtId="0" fontId="0" fillId="3" borderId="2" xfId="0" applyFill="1" applyBorder="1" applyProtection="1">
      <protection hidden="1"/>
    </xf>
    <xf numFmtId="0" fontId="0" fillId="6" borderId="0" xfId="0" applyFill="1" applyProtection="1">
      <protection locked="0"/>
    </xf>
    <xf numFmtId="0" fontId="24" fillId="3" borderId="0" xfId="0" applyFont="1" applyFill="1" applyBorder="1" applyProtection="1">
      <protection hidden="1"/>
    </xf>
    <xf numFmtId="0" fontId="24" fillId="3" borderId="0" xfId="0" applyFont="1" applyFill="1" applyBorder="1" applyAlignment="1" applyProtection="1">
      <alignment vertical="center"/>
      <protection hidden="1"/>
    </xf>
    <xf numFmtId="0" fontId="27" fillId="0" borderId="0" xfId="0" applyFont="1" applyAlignment="1" applyProtection="1">
      <alignment horizontal="left"/>
      <protection hidden="1"/>
    </xf>
    <xf numFmtId="0" fontId="40" fillId="0" borderId="0" xfId="0" applyFont="1" applyFill="1" applyBorder="1" applyAlignment="1" applyProtection="1">
      <alignment horizontal="left"/>
      <protection hidden="1"/>
    </xf>
    <xf numFmtId="0" fontId="41" fillId="0" borderId="0" xfId="0" applyFont="1" applyProtection="1">
      <protection hidden="1"/>
    </xf>
    <xf numFmtId="0" fontId="40" fillId="0" borderId="0" xfId="0" applyFont="1" applyProtection="1">
      <protection hidden="1"/>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3" borderId="24" xfId="0" applyFill="1" applyBorder="1" applyProtection="1">
      <protection hidden="1"/>
    </xf>
    <xf numFmtId="0" fontId="42" fillId="3" borderId="1" xfId="0" applyFont="1" applyFill="1" applyBorder="1" applyProtection="1">
      <protection hidden="1"/>
    </xf>
    <xf numFmtId="14" fontId="44" fillId="10" borderId="25" xfId="0" applyNumberFormat="1" applyFont="1" applyFill="1" applyBorder="1" applyAlignment="1" applyProtection="1">
      <alignment horizontal="center" vertical="center"/>
      <protection hidden="1"/>
    </xf>
    <xf numFmtId="0" fontId="23" fillId="11" borderId="26" xfId="0" applyFont="1" applyFill="1" applyBorder="1" applyAlignment="1" applyProtection="1">
      <alignment horizontal="right" vertical="center"/>
      <protection locked="0" hidden="1"/>
    </xf>
    <xf numFmtId="0" fontId="23" fillId="11" borderId="25" xfId="0" applyFont="1" applyFill="1" applyBorder="1" applyAlignment="1" applyProtection="1">
      <alignment horizontal="center" vertical="center"/>
      <protection hidden="1"/>
    </xf>
    <xf numFmtId="0" fontId="23" fillId="11" borderId="25" xfId="0" applyFont="1" applyFill="1" applyBorder="1" applyAlignment="1" applyProtection="1">
      <alignment horizontal="left" vertical="center"/>
      <protection locked="0" hidden="1"/>
    </xf>
    <xf numFmtId="0" fontId="24" fillId="11" borderId="27" xfId="0" applyFont="1" applyFill="1" applyBorder="1" applyAlignment="1" applyProtection="1">
      <alignment horizontal="center" vertical="center"/>
      <protection locked="0" hidden="1"/>
    </xf>
    <xf numFmtId="0" fontId="24" fillId="3" borderId="28" xfId="0" applyFont="1" applyFill="1" applyBorder="1" applyProtection="1">
      <protection hidden="1"/>
    </xf>
    <xf numFmtId="0" fontId="40" fillId="12" borderId="29" xfId="0" applyFont="1" applyFill="1" applyBorder="1" applyAlignment="1" applyProtection="1">
      <alignment horizontal="right" vertical="center"/>
      <protection locked="0" hidden="1"/>
    </xf>
    <xf numFmtId="0" fontId="40" fillId="12" borderId="10" xfId="0" applyFont="1" applyFill="1" applyBorder="1" applyAlignment="1" applyProtection="1">
      <alignment horizontal="center" vertical="center"/>
      <protection hidden="1"/>
    </xf>
    <xf numFmtId="0" fontId="40" fillId="12" borderId="11" xfId="0" applyFont="1" applyFill="1" applyBorder="1" applyAlignment="1" applyProtection="1">
      <alignment horizontal="left" vertical="center"/>
      <protection locked="0" hidden="1"/>
    </xf>
    <xf numFmtId="0" fontId="45" fillId="0" borderId="30" xfId="0" applyFont="1" applyBorder="1" applyAlignment="1" applyProtection="1">
      <alignment horizontal="left" vertical="center"/>
      <protection hidden="1"/>
    </xf>
    <xf numFmtId="0" fontId="30" fillId="0" borderId="30" xfId="0" applyFont="1" applyBorder="1" applyAlignment="1" applyProtection="1">
      <alignment vertical="center"/>
      <protection hidden="1"/>
    </xf>
    <xf numFmtId="0" fontId="30" fillId="0" borderId="30" xfId="0" applyFont="1" applyBorder="1" applyAlignment="1" applyProtection="1">
      <alignment horizontal="centerContinuous" vertical="center"/>
      <protection hidden="1"/>
    </xf>
    <xf numFmtId="0" fontId="41" fillId="0" borderId="0" xfId="0" applyFont="1" applyAlignment="1" applyProtection="1">
      <alignment horizontal="center"/>
      <protection hidden="1"/>
    </xf>
    <xf numFmtId="0" fontId="27" fillId="0" borderId="0" xfId="0" applyFont="1" applyBorder="1" applyAlignment="1" applyProtection="1">
      <alignment horizontal="right" vertical="center"/>
      <protection hidden="1"/>
    </xf>
    <xf numFmtId="0" fontId="46" fillId="0" borderId="0" xfId="0" applyFont="1" applyProtection="1">
      <protection hidden="1"/>
    </xf>
    <xf numFmtId="0" fontId="46" fillId="0" borderId="0" xfId="0" applyFont="1" applyAlignment="1" applyProtection="1">
      <alignment horizontal="center"/>
      <protection hidden="1"/>
    </xf>
    <xf numFmtId="0" fontId="0" fillId="13" borderId="0" xfId="0" applyFill="1"/>
    <xf numFmtId="0" fontId="0" fillId="0" borderId="9" xfId="0" applyBorder="1"/>
    <xf numFmtId="0" fontId="41" fillId="0" borderId="0" xfId="0" applyFont="1" applyFill="1" applyBorder="1" applyAlignment="1" applyProtection="1">
      <alignment horizontal="centerContinuous" vertical="top"/>
      <protection hidden="1"/>
    </xf>
    <xf numFmtId="0" fontId="41" fillId="6" borderId="0" xfId="0" applyFont="1" applyFill="1" applyAlignment="1" applyProtection="1">
      <alignment horizontal="centerContinuous" vertical="top"/>
      <protection hidden="1"/>
    </xf>
    <xf numFmtId="0" fontId="40" fillId="6" borderId="0" xfId="0" applyFont="1" applyFill="1" applyAlignment="1" applyProtection="1">
      <alignment horizontal="centerContinuous" vertical="top"/>
      <protection hidden="1"/>
    </xf>
    <xf numFmtId="0" fontId="41" fillId="6" borderId="0" xfId="0" applyFont="1" applyFill="1" applyAlignment="1" applyProtection="1">
      <alignment horizontal="center" vertical="top"/>
      <protection hidden="1"/>
    </xf>
    <xf numFmtId="0" fontId="41" fillId="6" borderId="0" xfId="0" applyFont="1" applyFill="1" applyAlignment="1" applyProtection="1">
      <alignment vertical="top"/>
      <protection hidden="1"/>
    </xf>
    <xf numFmtId="209" fontId="41" fillId="6" borderId="0" xfId="0" applyNumberFormat="1" applyFont="1" applyFill="1" applyAlignment="1" applyProtection="1">
      <alignment horizontal="centerContinuous" vertical="top"/>
      <protection hidden="1"/>
    </xf>
    <xf numFmtId="0" fontId="41" fillId="14" borderId="9" xfId="0" applyFont="1" applyFill="1" applyBorder="1" applyAlignment="1" applyProtection="1">
      <alignment horizontal="center" vertical="center"/>
      <protection locked="0" hidden="1"/>
    </xf>
    <xf numFmtId="0" fontId="41" fillId="0" borderId="0" xfId="0" applyFont="1" applyAlignment="1" applyProtection="1">
      <alignment horizontal="right"/>
      <protection hidden="1"/>
    </xf>
    <xf numFmtId="0" fontId="41" fillId="6" borderId="31" xfId="0" applyFont="1" applyFill="1" applyBorder="1" applyAlignment="1" applyProtection="1">
      <alignment horizontal="center"/>
      <protection hidden="1"/>
    </xf>
    <xf numFmtId="0" fontId="41" fillId="6" borderId="31" xfId="0" applyFont="1" applyFill="1" applyBorder="1" applyProtection="1">
      <protection hidden="1"/>
    </xf>
    <xf numFmtId="0" fontId="41" fillId="6" borderId="31" xfId="0" applyFont="1" applyFill="1" applyBorder="1" applyAlignment="1" applyProtection="1">
      <alignment horizontal="left"/>
      <protection hidden="1"/>
    </xf>
    <xf numFmtId="209" fontId="41" fillId="6" borderId="31" xfId="0" applyNumberFormat="1" applyFont="1" applyFill="1" applyBorder="1" applyAlignment="1" applyProtection="1">
      <alignment horizontal="center"/>
      <protection hidden="1"/>
    </xf>
    <xf numFmtId="0" fontId="41" fillId="14" borderId="9" xfId="0" applyFont="1" applyFill="1" applyBorder="1" applyAlignment="1" applyProtection="1">
      <alignment horizontal="center"/>
      <protection locked="0" hidden="1"/>
    </xf>
    <xf numFmtId="0" fontId="0" fillId="0" borderId="0" xfId="0" applyAlignment="1" applyProtection="1">
      <alignment horizontal="center"/>
      <protection hidden="1"/>
    </xf>
    <xf numFmtId="0" fontId="0" fillId="0" borderId="0" xfId="0" applyAlignment="1">
      <alignment horizontal="left"/>
    </xf>
    <xf numFmtId="0" fontId="0" fillId="15" borderId="9" xfId="0" applyFill="1" applyBorder="1"/>
    <xf numFmtId="0" fontId="0" fillId="11" borderId="9" xfId="0" applyFill="1" applyBorder="1"/>
    <xf numFmtId="0" fontId="41" fillId="0" borderId="0" xfId="0" applyFont="1" applyFill="1" applyBorder="1" applyAlignment="1" applyProtection="1">
      <alignment horizontal="center" vertical="top"/>
      <protection hidden="1"/>
    </xf>
    <xf numFmtId="0" fontId="41" fillId="6" borderId="0" xfId="0" applyFont="1" applyFill="1" applyBorder="1" applyAlignment="1" applyProtection="1">
      <alignment horizontal="center"/>
      <protection hidden="1"/>
    </xf>
    <xf numFmtId="0" fontId="41" fillId="6" borderId="7" xfId="0" applyFont="1" applyFill="1" applyBorder="1" applyProtection="1">
      <protection hidden="1"/>
    </xf>
    <xf numFmtId="0" fontId="41" fillId="6" borderId="7" xfId="0" applyFont="1" applyFill="1" applyBorder="1" applyAlignment="1" applyProtection="1">
      <alignment horizontal="center"/>
      <protection hidden="1"/>
    </xf>
    <xf numFmtId="0" fontId="41" fillId="6" borderId="7" xfId="0" applyFont="1" applyFill="1" applyBorder="1" applyAlignment="1" applyProtection="1">
      <alignment horizontal="left"/>
      <protection hidden="1"/>
    </xf>
    <xf numFmtId="209" fontId="41" fillId="6" borderId="0" xfId="0" applyNumberFormat="1" applyFont="1" applyFill="1" applyBorder="1" applyAlignment="1" applyProtection="1">
      <alignment horizontal="center"/>
      <protection hidden="1"/>
    </xf>
    <xf numFmtId="0" fontId="41" fillId="14" borderId="22" xfId="0" applyFont="1" applyFill="1" applyBorder="1" applyAlignment="1" applyProtection="1">
      <alignment horizontal="centerContinuous" vertical="top"/>
      <protection hidden="1"/>
    </xf>
    <xf numFmtId="0" fontId="41" fillId="14" borderId="22" xfId="0" applyFont="1" applyFill="1" applyBorder="1" applyAlignment="1" applyProtection="1">
      <alignment horizontal="center" vertical="top"/>
      <protection hidden="1"/>
    </xf>
    <xf numFmtId="0" fontId="41" fillId="14" borderId="22" xfId="0" applyFont="1" applyFill="1" applyBorder="1" applyAlignment="1" applyProtection="1">
      <alignment vertical="top"/>
      <protection hidden="1"/>
    </xf>
    <xf numFmtId="209" fontId="41" fillId="14" borderId="22" xfId="0" applyNumberFormat="1" applyFont="1" applyFill="1" applyBorder="1" applyAlignment="1" applyProtection="1">
      <alignment horizontal="centerContinuous" vertical="top"/>
      <protection hidden="1"/>
    </xf>
    <xf numFmtId="0" fontId="41" fillId="3" borderId="22" xfId="0" applyFont="1" applyFill="1" applyBorder="1" applyAlignment="1" applyProtection="1">
      <alignment horizontal="center"/>
      <protection hidden="1"/>
    </xf>
    <xf numFmtId="0" fontId="41" fillId="3" borderId="22" xfId="0" applyFont="1" applyFill="1" applyBorder="1" applyProtection="1">
      <protection hidden="1"/>
    </xf>
    <xf numFmtId="0" fontId="41" fillId="3" borderId="22" xfId="0" applyFont="1" applyFill="1" applyBorder="1" applyAlignment="1" applyProtection="1">
      <alignment horizontal="left"/>
      <protection hidden="1"/>
    </xf>
    <xf numFmtId="209" fontId="41" fillId="3" borderId="22" xfId="0" applyNumberFormat="1" applyFont="1" applyFill="1" applyBorder="1" applyAlignment="1" applyProtection="1">
      <alignment horizontal="center"/>
      <protection hidden="1"/>
    </xf>
    <xf numFmtId="0" fontId="41" fillId="14" borderId="32" xfId="0" applyFont="1" applyFill="1" applyBorder="1" applyAlignment="1" applyProtection="1">
      <alignment horizontal="centerContinuous" vertical="top"/>
      <protection hidden="1"/>
    </xf>
    <xf numFmtId="0" fontId="41" fillId="14" borderId="32" xfId="0" applyFont="1" applyFill="1" applyBorder="1" applyAlignment="1" applyProtection="1">
      <alignment horizontal="center" vertical="top"/>
      <protection hidden="1"/>
    </xf>
    <xf numFmtId="0" fontId="41" fillId="14" borderId="32" xfId="0" applyFont="1" applyFill="1" applyBorder="1" applyAlignment="1" applyProtection="1">
      <alignment vertical="top"/>
      <protection hidden="1"/>
    </xf>
    <xf numFmtId="209" fontId="41" fillId="14" borderId="32" xfId="0" applyNumberFormat="1" applyFont="1" applyFill="1" applyBorder="1" applyAlignment="1" applyProtection="1">
      <alignment horizontal="centerContinuous" vertical="top"/>
      <protection hidden="1"/>
    </xf>
    <xf numFmtId="0" fontId="41" fillId="3" borderId="30" xfId="0" applyFont="1" applyFill="1" applyBorder="1" applyAlignment="1" applyProtection="1">
      <alignment horizontal="center"/>
      <protection hidden="1"/>
    </xf>
    <xf numFmtId="0" fontId="41" fillId="3" borderId="30" xfId="0" applyFont="1" applyFill="1" applyBorder="1" applyProtection="1">
      <protection hidden="1"/>
    </xf>
    <xf numFmtId="0" fontId="41" fillId="3" borderId="30" xfId="0" applyFont="1" applyFill="1" applyBorder="1" applyAlignment="1" applyProtection="1">
      <alignment horizontal="left"/>
      <protection hidden="1"/>
    </xf>
    <xf numFmtId="209" fontId="41" fillId="3" borderId="30" xfId="0" applyNumberFormat="1" applyFont="1" applyFill="1" applyBorder="1" applyAlignment="1" applyProtection="1">
      <alignment horizontal="center"/>
      <protection hidden="1"/>
    </xf>
    <xf numFmtId="0" fontId="0" fillId="3" borderId="6" xfId="0" applyFill="1" applyBorder="1" applyProtection="1">
      <protection hidden="1"/>
    </xf>
    <xf numFmtId="14" fontId="24" fillId="3" borderId="0" xfId="0" applyNumberFormat="1" applyFont="1" applyFill="1" applyBorder="1" applyAlignment="1" applyProtection="1">
      <alignment horizontal="center"/>
      <protection hidden="1"/>
    </xf>
    <xf numFmtId="14" fontId="24" fillId="3" borderId="0" xfId="0" applyNumberFormat="1" applyFont="1" applyFill="1" applyBorder="1" applyAlignment="1" applyProtection="1">
      <alignment horizontal="right"/>
      <protection hidden="1"/>
    </xf>
    <xf numFmtId="14" fontId="24" fillId="3" borderId="0" xfId="0" applyNumberFormat="1" applyFont="1" applyFill="1" applyBorder="1" applyAlignment="1" applyProtection="1">
      <alignment horizontal="left"/>
      <protection hidden="1"/>
    </xf>
    <xf numFmtId="0" fontId="24" fillId="3" borderId="0" xfId="0" applyFont="1" applyFill="1" applyBorder="1" applyAlignment="1" applyProtection="1">
      <alignment horizontal="left"/>
      <protection hidden="1"/>
    </xf>
    <xf numFmtId="0" fontId="24" fillId="3" borderId="8" xfId="0" applyFont="1" applyFill="1" applyBorder="1" applyProtection="1">
      <protection hidden="1"/>
    </xf>
    <xf numFmtId="0" fontId="24" fillId="3" borderId="16" xfId="0" applyFont="1" applyFill="1" applyBorder="1" applyProtection="1">
      <protection hidden="1"/>
    </xf>
    <xf numFmtId="14" fontId="24" fillId="3" borderId="16" xfId="0" applyNumberFormat="1" applyFont="1" applyFill="1" applyBorder="1" applyAlignment="1" applyProtection="1">
      <alignment horizontal="center"/>
      <protection hidden="1"/>
    </xf>
    <xf numFmtId="14" fontId="24" fillId="3" borderId="16" xfId="0" applyNumberFormat="1" applyFont="1" applyFill="1" applyBorder="1" applyAlignment="1" applyProtection="1">
      <alignment horizontal="right"/>
      <protection hidden="1"/>
    </xf>
    <xf numFmtId="14" fontId="24" fillId="3" borderId="16" xfId="0" applyNumberFormat="1" applyFont="1" applyFill="1" applyBorder="1" applyAlignment="1" applyProtection="1">
      <alignment horizontal="left"/>
      <protection hidden="1"/>
    </xf>
    <xf numFmtId="0" fontId="24" fillId="3" borderId="16" xfId="0" applyFont="1" applyFill="1" applyBorder="1" applyAlignment="1" applyProtection="1">
      <alignment horizontal="right"/>
      <protection hidden="1"/>
    </xf>
    <xf numFmtId="0" fontId="24" fillId="3" borderId="16" xfId="0" applyFont="1" applyFill="1" applyBorder="1" applyAlignment="1" applyProtection="1">
      <alignment horizontal="center"/>
      <protection hidden="1"/>
    </xf>
    <xf numFmtId="0" fontId="24" fillId="3" borderId="16" xfId="0" applyFont="1" applyFill="1" applyBorder="1" applyAlignment="1" applyProtection="1">
      <alignment horizontal="left"/>
      <protection hidden="1"/>
    </xf>
    <xf numFmtId="0" fontId="24" fillId="3" borderId="2" xfId="0" applyFont="1" applyFill="1" applyBorder="1" applyProtection="1">
      <protection hidden="1"/>
    </xf>
    <xf numFmtId="0" fontId="24" fillId="3" borderId="7" xfId="0" applyFont="1" applyFill="1" applyBorder="1" applyProtection="1">
      <protection hidden="1"/>
    </xf>
    <xf numFmtId="14" fontId="24" fillId="3" borderId="7" xfId="0" applyNumberFormat="1" applyFont="1" applyFill="1" applyBorder="1" applyAlignment="1" applyProtection="1">
      <alignment horizontal="center"/>
      <protection hidden="1"/>
    </xf>
    <xf numFmtId="14" fontId="24" fillId="3" borderId="7" xfId="0" applyNumberFormat="1" applyFont="1" applyFill="1" applyBorder="1" applyAlignment="1" applyProtection="1">
      <alignment horizontal="right"/>
      <protection hidden="1"/>
    </xf>
    <xf numFmtId="14" fontId="24" fillId="3" borderId="7" xfId="0" applyNumberFormat="1" applyFont="1" applyFill="1" applyBorder="1" applyAlignment="1" applyProtection="1">
      <alignment horizontal="left"/>
      <protection hidden="1"/>
    </xf>
    <xf numFmtId="0" fontId="24" fillId="3" borderId="7" xfId="0" applyFont="1" applyFill="1" applyBorder="1" applyAlignment="1" applyProtection="1">
      <alignment horizontal="right"/>
      <protection hidden="1"/>
    </xf>
    <xf numFmtId="0" fontId="24" fillId="3" borderId="7" xfId="0" applyFont="1" applyFill="1" applyBorder="1" applyAlignment="1" applyProtection="1">
      <alignment horizontal="center"/>
      <protection hidden="1"/>
    </xf>
    <xf numFmtId="0" fontId="24" fillId="3" borderId="7" xfId="0" applyFont="1" applyFill="1" applyBorder="1" applyAlignment="1" applyProtection="1">
      <alignment horizontal="left"/>
      <protection hidden="1"/>
    </xf>
    <xf numFmtId="0" fontId="41" fillId="0" borderId="0" xfId="0" applyFont="1" applyFill="1" applyBorder="1" applyProtection="1">
      <protection hidden="1"/>
    </xf>
    <xf numFmtId="0" fontId="0" fillId="6" borderId="0" xfId="0" applyFill="1" applyAlignment="1">
      <alignment horizontal="left"/>
    </xf>
    <xf numFmtId="0" fontId="47" fillId="0" borderId="0" xfId="0" applyFont="1" applyAlignment="1" applyProtection="1">
      <alignment vertical="center"/>
      <protection hidden="1"/>
    </xf>
    <xf numFmtId="14" fontId="24" fillId="0" borderId="0" xfId="0" applyNumberFormat="1" applyFont="1" applyBorder="1" applyAlignment="1" applyProtection="1">
      <alignment horizontal="center"/>
      <protection hidden="1"/>
    </xf>
    <xf numFmtId="0" fontId="24" fillId="0" borderId="0" xfId="0" applyFont="1" applyBorder="1" applyAlignment="1" applyProtection="1">
      <alignment horizontal="center"/>
      <protection hidden="1"/>
    </xf>
    <xf numFmtId="0" fontId="23" fillId="3" borderId="16" xfId="0" applyFont="1" applyFill="1" applyBorder="1" applyProtection="1">
      <protection hidden="1"/>
    </xf>
    <xf numFmtId="14" fontId="0" fillId="3" borderId="16" xfId="0" applyNumberFormat="1" applyFill="1" applyBorder="1" applyAlignment="1" applyProtection="1">
      <alignment horizontal="center"/>
      <protection hidden="1"/>
    </xf>
    <xf numFmtId="0" fontId="0" fillId="3" borderId="16" xfId="0" applyFill="1" applyBorder="1" applyAlignment="1" applyProtection="1">
      <alignment horizontal="center"/>
      <protection hidden="1"/>
    </xf>
    <xf numFmtId="14" fontId="0" fillId="3" borderId="0" xfId="0" applyNumberFormat="1" applyFill="1" applyBorder="1" applyAlignment="1" applyProtection="1">
      <alignment horizontal="center"/>
      <protection hidden="1"/>
    </xf>
    <xf numFmtId="14" fontId="48" fillId="3" borderId="0" xfId="0" applyNumberFormat="1" applyFont="1" applyFill="1" applyBorder="1" applyAlignment="1" applyProtection="1">
      <alignment horizontal="left" vertical="top"/>
      <protection hidden="1"/>
    </xf>
    <xf numFmtId="0" fontId="0" fillId="3" borderId="0" xfId="0" applyFill="1" applyBorder="1" applyAlignment="1" applyProtection="1">
      <alignment horizontal="center"/>
      <protection hidden="1"/>
    </xf>
    <xf numFmtId="0" fontId="49" fillId="3" borderId="0" xfId="0" applyFont="1" applyFill="1" applyBorder="1" applyAlignment="1" applyProtection="1">
      <alignment horizontal="center"/>
      <protection hidden="1"/>
    </xf>
    <xf numFmtId="0" fontId="0" fillId="0" borderId="33" xfId="0" applyBorder="1" applyAlignment="1">
      <alignment horizontal="center"/>
    </xf>
    <xf numFmtId="0" fontId="0" fillId="0" borderId="33" xfId="0" applyBorder="1"/>
    <xf numFmtId="0" fontId="24" fillId="0" borderId="0" xfId="0" applyFont="1" applyFill="1" applyBorder="1" applyAlignment="1" applyProtection="1">
      <alignment horizontal="center"/>
      <protection hidden="1"/>
    </xf>
    <xf numFmtId="0" fontId="0" fillId="0" borderId="0" xfId="0" applyFill="1" applyBorder="1" applyAlignment="1" applyProtection="1">
      <protection hidden="1"/>
    </xf>
    <xf numFmtId="0" fontId="24" fillId="0" borderId="0" xfId="0" applyFont="1" applyAlignment="1" applyProtection="1">
      <alignment horizontal="center"/>
      <protection hidden="1"/>
    </xf>
    <xf numFmtId="0" fontId="0" fillId="0" borderId="9" xfId="0" applyBorder="1" applyAlignment="1">
      <alignment horizontal="center"/>
    </xf>
    <xf numFmtId="0" fontId="0" fillId="3" borderId="0" xfId="0" applyFill="1" applyBorder="1" applyAlignment="1" applyProtection="1">
      <protection hidden="1"/>
    </xf>
    <xf numFmtId="0" fontId="0" fillId="15" borderId="0" xfId="0" applyFill="1" applyAlignment="1">
      <alignment horizontal="center"/>
    </xf>
    <xf numFmtId="0" fontId="50" fillId="16" borderId="34" xfId="0" applyFont="1" applyFill="1" applyBorder="1" applyAlignment="1" applyProtection="1">
      <alignment horizontal="center" vertical="center"/>
      <protection hidden="1"/>
    </xf>
    <xf numFmtId="0" fontId="51" fillId="0" borderId="0" xfId="0" applyFont="1" applyProtection="1">
      <protection hidden="1"/>
    </xf>
    <xf numFmtId="0" fontId="24" fillId="0" borderId="0" xfId="0" applyFont="1" applyAlignment="1" applyProtection="1">
      <alignment horizontal="left" vertical="center" indent="1"/>
      <protection hidden="1"/>
    </xf>
    <xf numFmtId="0" fontId="0" fillId="0" borderId="0" xfId="0" applyNumberFormat="1"/>
    <xf numFmtId="0" fontId="0" fillId="3" borderId="12" xfId="0" applyFill="1" applyBorder="1" applyAlignment="1" applyProtection="1">
      <alignment horizontal="center" vertical="center"/>
      <protection locked="0" hidden="1"/>
    </xf>
    <xf numFmtId="0" fontId="0" fillId="3" borderId="0" xfId="0" applyFill="1" applyBorder="1" applyAlignment="1" applyProtection="1">
      <alignment horizontal="center" vertical="center"/>
      <protection locked="0" hidden="1"/>
    </xf>
    <xf numFmtId="0" fontId="0" fillId="3" borderId="13" xfId="0" applyFill="1" applyBorder="1" applyAlignment="1" applyProtection="1">
      <alignment horizontal="center" vertical="center"/>
      <protection locked="0" hidden="1"/>
    </xf>
    <xf numFmtId="14" fontId="23" fillId="10" borderId="30" xfId="0" applyNumberFormat="1" applyFont="1" applyFill="1" applyBorder="1" applyAlignment="1" applyProtection="1">
      <alignment horizontal="center" vertical="center"/>
      <protection hidden="1"/>
    </xf>
    <xf numFmtId="0" fontId="0" fillId="0" borderId="30" xfId="0" applyBorder="1"/>
    <xf numFmtId="0" fontId="52" fillId="3" borderId="1" xfId="0" applyFont="1" applyFill="1" applyBorder="1" applyProtection="1">
      <protection hidden="1"/>
    </xf>
    <xf numFmtId="0" fontId="24" fillId="3" borderId="0" xfId="0" applyFont="1" applyFill="1" applyBorder="1" applyAlignment="1" applyProtection="1">
      <alignment horizontal="center" vertical="center"/>
      <protection hidden="1"/>
    </xf>
    <xf numFmtId="0" fontId="0" fillId="3" borderId="0" xfId="0" applyFill="1" applyBorder="1" applyAlignment="1" applyProtection="1">
      <alignment vertical="center"/>
      <protection locked="0" hidden="1"/>
    </xf>
    <xf numFmtId="0" fontId="0" fillId="3" borderId="0" xfId="0" applyFill="1" applyBorder="1" applyAlignment="1" applyProtection="1">
      <alignment vertical="center"/>
      <protection hidden="1"/>
    </xf>
    <xf numFmtId="0" fontId="24" fillId="0" borderId="0" xfId="0" applyFont="1" applyBorder="1" applyProtection="1">
      <protection hidden="1"/>
    </xf>
    <xf numFmtId="0" fontId="0" fillId="3" borderId="7" xfId="0" applyFill="1" applyBorder="1" applyAlignment="1" applyProtection="1">
      <alignment horizontal="center"/>
      <protection hidden="1"/>
    </xf>
    <xf numFmtId="0" fontId="0" fillId="3" borderId="7" xfId="0" applyFill="1" applyBorder="1" applyProtection="1">
      <protection hidden="1"/>
    </xf>
    <xf numFmtId="0" fontId="0" fillId="3" borderId="8" xfId="0" applyFill="1" applyBorder="1" applyProtection="1">
      <protection hidden="1"/>
    </xf>
    <xf numFmtId="0" fontId="0" fillId="3" borderId="7" xfId="0" applyFill="1" applyBorder="1" applyAlignment="1" applyProtection="1">
      <protection hidden="1"/>
    </xf>
    <xf numFmtId="0" fontId="0" fillId="0" borderId="0" xfId="0" applyAlignment="1" applyProtection="1">
      <protection hidden="1"/>
    </xf>
    <xf numFmtId="0" fontId="0" fillId="3" borderId="16" xfId="0" applyFill="1" applyBorder="1" applyAlignment="1" applyProtection="1">
      <protection hidden="1"/>
    </xf>
    <xf numFmtId="0" fontId="53" fillId="0" borderId="0" xfId="0" applyFont="1"/>
    <xf numFmtId="0" fontId="53" fillId="15" borderId="0" xfId="0" applyFont="1" applyFill="1"/>
    <xf numFmtId="0" fontId="51" fillId="16" borderId="34" xfId="0" applyFont="1" applyFill="1" applyBorder="1" applyAlignment="1" applyProtection="1">
      <alignment horizontal="center" vertical="center"/>
      <protection hidden="1"/>
    </xf>
    <xf numFmtId="0" fontId="24" fillId="3" borderId="0" xfId="0" applyFont="1" applyFill="1" applyBorder="1" applyAlignment="1" applyProtection="1">
      <alignment vertical="center"/>
      <protection locked="0" hidden="1"/>
    </xf>
    <xf numFmtId="0" fontId="24" fillId="3" borderId="0" xfId="0" applyFont="1" applyFill="1" applyBorder="1" applyAlignment="1" applyProtection="1">
      <alignment horizontal="center" vertical="center"/>
      <protection locked="0" hidden="1"/>
    </xf>
    <xf numFmtId="0" fontId="0" fillId="0" borderId="12" xfId="0" applyBorder="1"/>
    <xf numFmtId="0" fontId="0" fillId="0" borderId="13" xfId="0" applyBorder="1"/>
    <xf numFmtId="0" fontId="24" fillId="3" borderId="7" xfId="0" applyFont="1" applyFill="1" applyBorder="1" applyAlignment="1" applyProtection="1">
      <alignment vertical="center"/>
      <protection hidden="1"/>
    </xf>
    <xf numFmtId="0" fontId="0" fillId="3" borderId="7" xfId="0" applyFill="1" applyBorder="1" applyAlignment="1" applyProtection="1">
      <alignment horizontal="center" vertical="center"/>
      <protection hidden="1"/>
    </xf>
    <xf numFmtId="0" fontId="0" fillId="3" borderId="7" xfId="0" applyFill="1" applyBorder="1" applyAlignment="1" applyProtection="1">
      <alignment vertical="center"/>
      <protection hidden="1"/>
    </xf>
    <xf numFmtId="0" fontId="0" fillId="15" borderId="0" xfId="0" applyFill="1"/>
    <xf numFmtId="0" fontId="52" fillId="3" borderId="6" xfId="0" applyFont="1" applyFill="1" applyBorder="1" applyProtection="1">
      <protection hidden="1"/>
    </xf>
    <xf numFmtId="0" fontId="24" fillId="3" borderId="7" xfId="0" applyFont="1" applyFill="1" applyBorder="1" applyAlignment="1" applyProtection="1">
      <alignment horizontal="center" vertical="center"/>
      <protection hidden="1"/>
    </xf>
    <xf numFmtId="0" fontId="24" fillId="3" borderId="7" xfId="0" applyFont="1" applyFill="1" applyBorder="1" applyAlignment="1" applyProtection="1">
      <alignment vertical="center"/>
      <protection locked="0" hidden="1"/>
    </xf>
    <xf numFmtId="0" fontId="24" fillId="3" borderId="7" xfId="0" applyFont="1" applyFill="1" applyBorder="1" applyAlignment="1" applyProtection="1">
      <alignment horizontal="center" vertical="center"/>
      <protection locked="0" hidden="1"/>
    </xf>
    <xf numFmtId="0" fontId="0" fillId="3" borderId="7" xfId="0" applyFill="1" applyBorder="1" applyAlignment="1" applyProtection="1">
      <alignment horizontal="center" vertical="center"/>
      <protection locked="0" hidden="1"/>
    </xf>
    <xf numFmtId="0" fontId="49" fillId="0" borderId="0" xfId="0" applyFont="1" applyFill="1" applyBorder="1" applyAlignment="1" applyProtection="1">
      <alignment horizontal="center"/>
      <protection hidden="1"/>
    </xf>
    <xf numFmtId="0" fontId="0" fillId="0" borderId="0" xfId="0" applyFill="1" applyBorder="1" applyAlignment="1" applyProtection="1">
      <alignment horizontal="center" vertical="center"/>
      <protection locked="0" hidden="1"/>
    </xf>
    <xf numFmtId="0" fontId="0" fillId="0" borderId="0" xfId="0" applyFill="1" applyBorder="1" applyAlignment="1" applyProtection="1">
      <alignment vertical="center"/>
      <protection hidden="1"/>
    </xf>
    <xf numFmtId="0" fontId="0" fillId="0" borderId="0" xfId="0" applyFill="1" applyBorder="1" applyProtection="1">
      <protection hidden="1"/>
    </xf>
    <xf numFmtId="0" fontId="0" fillId="0" borderId="0" xfId="0" applyFill="1" applyBorder="1"/>
    <xf numFmtId="0" fontId="43" fillId="0" borderId="0" xfId="0" applyFont="1" applyProtection="1">
      <protection hidden="1"/>
    </xf>
    <xf numFmtId="0" fontId="26" fillId="0" borderId="0" xfId="0" applyFont="1" applyAlignment="1">
      <alignment horizontal="right"/>
    </xf>
    <xf numFmtId="0" fontId="26" fillId="0" borderId="0" xfId="0" applyFont="1" applyProtection="1">
      <protection locked="0"/>
    </xf>
    <xf numFmtId="0" fontId="43" fillId="0" borderId="0" xfId="0" applyFont="1" applyAlignment="1" applyProtection="1">
      <alignment vertical="center"/>
      <protection hidden="1"/>
    </xf>
    <xf numFmtId="0" fontId="0" fillId="17" borderId="0" xfId="0" applyFill="1"/>
    <xf numFmtId="0" fontId="54" fillId="0" borderId="0" xfId="0" applyFont="1" applyBorder="1" applyAlignment="1" applyProtection="1">
      <alignment horizontal="left" vertical="top"/>
      <protection hidden="1"/>
    </xf>
    <xf numFmtId="0" fontId="55" fillId="0" borderId="0" xfId="0" applyFont="1" applyBorder="1" applyAlignment="1" applyProtection="1">
      <alignment horizontal="center" vertical="top"/>
      <protection hidden="1"/>
    </xf>
    <xf numFmtId="0" fontId="55" fillId="0" borderId="30" xfId="0" applyFont="1" applyBorder="1" applyAlignment="1" applyProtection="1">
      <alignment horizontal="left" vertical="top"/>
      <protection hidden="1"/>
    </xf>
    <xf numFmtId="0" fontId="55" fillId="0" borderId="30" xfId="0" applyFont="1" applyBorder="1" applyAlignment="1" applyProtection="1">
      <alignment vertical="top"/>
      <protection hidden="1"/>
    </xf>
    <xf numFmtId="0" fontId="55" fillId="0" borderId="30" xfId="0" applyFont="1" applyBorder="1" applyProtection="1">
      <protection hidden="1"/>
    </xf>
    <xf numFmtId="0" fontId="55" fillId="0" borderId="30" xfId="0" applyFont="1" applyBorder="1" applyAlignment="1" applyProtection="1">
      <alignment horizontal="center" vertical="top"/>
      <protection hidden="1"/>
    </xf>
    <xf numFmtId="0" fontId="55" fillId="0" borderId="0" xfId="0" applyFont="1" applyBorder="1" applyAlignment="1" applyProtection="1">
      <alignment horizontal="left" vertical="top"/>
      <protection hidden="1"/>
    </xf>
    <xf numFmtId="0" fontId="55" fillId="0" borderId="0" xfId="0" applyFont="1" applyBorder="1" applyAlignment="1" applyProtection="1">
      <alignment vertical="top"/>
      <protection hidden="1"/>
    </xf>
    <xf numFmtId="0" fontId="55" fillId="0" borderId="0" xfId="0" applyFont="1" applyProtection="1">
      <protection hidden="1"/>
    </xf>
    <xf numFmtId="0" fontId="55" fillId="0" borderId="0" xfId="0" applyFont="1" applyBorder="1" applyProtection="1">
      <protection hidden="1"/>
    </xf>
    <xf numFmtId="0" fontId="53" fillId="0" borderId="0" xfId="0" applyFont="1" applyProtection="1">
      <protection hidden="1"/>
    </xf>
    <xf numFmtId="0" fontId="55" fillId="0" borderId="0" xfId="0" applyFont="1" applyBorder="1" applyAlignment="1" applyProtection="1">
      <alignment horizontal="right"/>
      <protection hidden="1"/>
    </xf>
    <xf numFmtId="0" fontId="40" fillId="0" borderId="0" xfId="0" applyFont="1"/>
    <xf numFmtId="0" fontId="56" fillId="0" borderId="0" xfId="0" applyFont="1" applyAlignment="1">
      <alignment horizontal="center" vertical="top"/>
    </xf>
    <xf numFmtId="0" fontId="56" fillId="0" borderId="0" xfId="0" applyFont="1" applyAlignment="1">
      <alignment horizontal="left" vertical="top"/>
    </xf>
    <xf numFmtId="0" fontId="54" fillId="4" borderId="26" xfId="0" applyFont="1" applyFill="1" applyBorder="1" applyAlignment="1" applyProtection="1">
      <alignment horizontal="centerContinuous" vertical="center"/>
      <protection hidden="1"/>
    </xf>
    <xf numFmtId="0" fontId="54" fillId="4" borderId="25" xfId="0" applyFont="1" applyFill="1" applyBorder="1" applyAlignment="1" applyProtection="1">
      <alignment horizontal="centerContinuous" vertical="center"/>
      <protection hidden="1"/>
    </xf>
    <xf numFmtId="0" fontId="54" fillId="4" borderId="35" xfId="0" applyFont="1" applyFill="1" applyBorder="1" applyAlignment="1" applyProtection="1">
      <alignment horizontal="centerContinuous" vertical="center"/>
      <protection hidden="1"/>
    </xf>
    <xf numFmtId="0" fontId="57" fillId="0" borderId="36" xfId="0" applyFont="1" applyFill="1" applyBorder="1" applyAlignment="1" applyProtection="1">
      <alignment horizontal="left" vertical="center" indent="1"/>
      <protection hidden="1"/>
    </xf>
    <xf numFmtId="0" fontId="0" fillId="6" borderId="9" xfId="0" applyFill="1" applyBorder="1" applyProtection="1">
      <protection locked="0"/>
    </xf>
    <xf numFmtId="0" fontId="0" fillId="0" borderId="9" xfId="0" applyFill="1" applyBorder="1"/>
    <xf numFmtId="0" fontId="0" fillId="15" borderId="0" xfId="0" applyFill="1" applyAlignment="1"/>
    <xf numFmtId="0" fontId="0" fillId="17" borderId="9" xfId="0" applyFill="1" applyBorder="1"/>
    <xf numFmtId="0" fontId="0" fillId="9" borderId="9" xfId="0" applyFill="1" applyBorder="1"/>
    <xf numFmtId="0" fontId="0" fillId="0" borderId="37" xfId="0" applyBorder="1"/>
    <xf numFmtId="0" fontId="0" fillId="0" borderId="38" xfId="0" applyBorder="1"/>
    <xf numFmtId="0" fontId="0" fillId="0" borderId="39" xfId="0" applyBorder="1"/>
    <xf numFmtId="0" fontId="41" fillId="4" borderId="40" xfId="0" applyFont="1" applyFill="1" applyBorder="1" applyAlignment="1" applyProtection="1">
      <alignment horizontal="centerContinuous" vertical="center"/>
      <protection hidden="1"/>
    </xf>
    <xf numFmtId="0" fontId="0" fillId="0" borderId="41" xfId="0" applyBorder="1"/>
    <xf numFmtId="0" fontId="0" fillId="4" borderId="42" xfId="0" applyFill="1" applyBorder="1" applyAlignment="1" applyProtection="1">
      <alignment horizontal="center"/>
      <protection hidden="1"/>
    </xf>
    <xf numFmtId="0" fontId="0" fillId="4" borderId="36" xfId="0" applyFill="1" applyBorder="1" applyProtection="1">
      <protection hidden="1"/>
    </xf>
    <xf numFmtId="0" fontId="0" fillId="4" borderId="0" xfId="0" applyFill="1" applyBorder="1" applyProtection="1">
      <protection hidden="1"/>
    </xf>
    <xf numFmtId="0" fontId="0" fillId="4" borderId="43" xfId="0" applyFill="1" applyBorder="1" applyAlignment="1" applyProtection="1">
      <alignment horizontal="center"/>
      <protection hidden="1"/>
    </xf>
    <xf numFmtId="0" fontId="59" fillId="4" borderId="0" xfId="0" applyFont="1" applyFill="1" applyBorder="1" applyAlignment="1" applyProtection="1">
      <alignment horizontal="center"/>
      <protection hidden="1"/>
    </xf>
    <xf numFmtId="0" fontId="59" fillId="4" borderId="36" xfId="0" applyFont="1" applyFill="1" applyBorder="1" applyProtection="1">
      <protection hidden="1"/>
    </xf>
    <xf numFmtId="0" fontId="59" fillId="4" borderId="0" xfId="0" applyFont="1" applyFill="1" applyBorder="1" applyProtection="1">
      <protection hidden="1"/>
    </xf>
    <xf numFmtId="0" fontId="59" fillId="4" borderId="44" xfId="0" applyFont="1" applyFill="1" applyBorder="1" applyProtection="1">
      <protection hidden="1"/>
    </xf>
    <xf numFmtId="0" fontId="59" fillId="4" borderId="14" xfId="0" applyFont="1" applyFill="1" applyBorder="1" applyAlignment="1" applyProtection="1">
      <alignment horizontal="center"/>
      <protection hidden="1"/>
    </xf>
    <xf numFmtId="0" fontId="0" fillId="0" borderId="19" xfId="0" applyBorder="1"/>
    <xf numFmtId="0" fontId="41" fillId="4" borderId="45" xfId="0" applyFont="1" applyFill="1" applyBorder="1" applyProtection="1">
      <protection hidden="1"/>
    </xf>
    <xf numFmtId="0" fontId="41" fillId="4" borderId="24" xfId="0" applyFont="1" applyFill="1" applyBorder="1" applyProtection="1">
      <protection hidden="1"/>
    </xf>
    <xf numFmtId="0" fontId="41" fillId="4" borderId="46" xfId="0" applyFont="1" applyFill="1" applyBorder="1" applyProtection="1">
      <protection hidden="1"/>
    </xf>
    <xf numFmtId="0" fontId="0" fillId="4" borderId="47" xfId="0" applyFill="1" applyBorder="1" applyAlignment="1" applyProtection="1">
      <alignment horizontal="center"/>
      <protection hidden="1"/>
    </xf>
    <xf numFmtId="0" fontId="41" fillId="4" borderId="25" xfId="0" applyFont="1" applyFill="1" applyBorder="1" applyAlignment="1" applyProtection="1">
      <alignment horizontal="centerContinuous" vertical="center"/>
      <protection hidden="1"/>
    </xf>
    <xf numFmtId="0" fontId="41" fillId="4" borderId="35" xfId="0" applyFont="1" applyFill="1" applyBorder="1" applyAlignment="1" applyProtection="1">
      <alignment horizontal="centerContinuous" vertical="center"/>
      <protection hidden="1"/>
    </xf>
    <xf numFmtId="0" fontId="0" fillId="0" borderId="31" xfId="0" applyBorder="1"/>
    <xf numFmtId="0" fontId="0" fillId="18" borderId="9" xfId="0" applyFill="1" applyBorder="1"/>
    <xf numFmtId="0" fontId="54" fillId="3" borderId="26" xfId="0" applyFont="1" applyFill="1" applyBorder="1" applyAlignment="1" applyProtection="1">
      <alignment horizontal="centerContinuous" vertical="center"/>
      <protection hidden="1"/>
    </xf>
    <xf numFmtId="0" fontId="41" fillId="3" borderId="25" xfId="0" applyFont="1" applyFill="1" applyBorder="1" applyAlignment="1" applyProtection="1">
      <alignment horizontal="centerContinuous" vertical="center"/>
      <protection hidden="1"/>
    </xf>
    <xf numFmtId="0" fontId="41" fillId="3" borderId="35" xfId="0" applyFont="1" applyFill="1" applyBorder="1" applyAlignment="1" applyProtection="1">
      <alignment horizontal="centerContinuous" vertical="center"/>
      <protection hidden="1"/>
    </xf>
    <xf numFmtId="0" fontId="0" fillId="19" borderId="9" xfId="0" applyFill="1" applyBorder="1"/>
    <xf numFmtId="0" fontId="4" fillId="0" borderId="0" xfId="5" applyFont="1" applyFill="1" applyBorder="1" applyAlignment="1"/>
    <xf numFmtId="0" fontId="0" fillId="20" borderId="0" xfId="0" applyFill="1"/>
    <xf numFmtId="0" fontId="0" fillId="0" borderId="48" xfId="0" applyBorder="1"/>
    <xf numFmtId="0" fontId="0" fillId="5" borderId="48" xfId="0" applyFill="1" applyBorder="1"/>
    <xf numFmtId="0" fontId="0" fillId="13" borderId="48" xfId="0" applyFill="1" applyBorder="1"/>
    <xf numFmtId="0" fontId="4" fillId="0" borderId="0" xfId="3" applyFont="1" applyFill="1" applyBorder="1" applyAlignment="1"/>
    <xf numFmtId="0" fontId="39" fillId="0" borderId="0" xfId="3" applyNumberFormat="1" applyFont="1" applyFill="1" applyBorder="1" applyAlignment="1"/>
    <xf numFmtId="0" fontId="4" fillId="6" borderId="0" xfId="3" applyFont="1" applyFill="1" applyBorder="1" applyAlignment="1"/>
    <xf numFmtId="0" fontId="39" fillId="6" borderId="0" xfId="3" applyNumberFormat="1" applyFont="1" applyFill="1" applyBorder="1" applyAlignment="1"/>
    <xf numFmtId="0" fontId="4" fillId="0" borderId="0" xfId="3" applyFont="1" applyFill="1" applyBorder="1" applyAlignment="1">
      <alignment horizontal="center"/>
    </xf>
    <xf numFmtId="0" fontId="4" fillId="0" borderId="0" xfId="3" applyNumberFormat="1" applyFont="1" applyFill="1" applyBorder="1" applyAlignment="1">
      <alignment horizontal="center"/>
    </xf>
    <xf numFmtId="0" fontId="4" fillId="0" borderId="0" xfId="3" applyNumberFormat="1" applyFont="1" applyFill="1" applyBorder="1" applyAlignment="1"/>
    <xf numFmtId="0" fontId="4" fillId="0" borderId="0" xfId="3" applyFont="1" applyFill="1" applyBorder="1" applyAlignment="1">
      <alignment horizontal="right"/>
    </xf>
    <xf numFmtId="0" fontId="39" fillId="0" borderId="0" xfId="3" applyNumberFormat="1" applyFont="1" applyFill="1" applyBorder="1" applyAlignment="1">
      <alignment horizontal="center"/>
    </xf>
    <xf numFmtId="0" fontId="39" fillId="5" borderId="0" xfId="3" applyNumberFormat="1" applyFont="1" applyFill="1" applyBorder="1" applyAlignment="1"/>
    <xf numFmtId="0" fontId="39" fillId="0" borderId="1" xfId="0" applyNumberFormat="1" applyFont="1" applyBorder="1"/>
    <xf numFmtId="0" fontId="39" fillId="0" borderId="2" xfId="3" applyNumberFormat="1" applyFont="1" applyFill="1" applyBorder="1" applyAlignment="1"/>
    <xf numFmtId="0" fontId="39" fillId="6" borderId="0" xfId="3" applyNumberFormat="1" applyFont="1" applyFill="1" applyBorder="1" applyAlignment="1">
      <alignment horizontal="center"/>
    </xf>
    <xf numFmtId="0" fontId="39" fillId="5" borderId="9" xfId="3" applyNumberFormat="1" applyFont="1" applyFill="1" applyBorder="1" applyAlignment="1"/>
    <xf numFmtId="0" fontId="39" fillId="0" borderId="0" xfId="3" applyNumberFormat="1" applyFont="1" applyFill="1" applyBorder="1" applyAlignment="1">
      <alignment horizontal="center" vertical="center"/>
    </xf>
    <xf numFmtId="0" fontId="39" fillId="0" borderId="0" xfId="0" applyNumberFormat="1" applyFont="1" applyAlignment="1">
      <alignment horizontal="center" vertical="center"/>
    </xf>
    <xf numFmtId="0" fontId="39" fillId="6" borderId="0" xfId="0" applyNumberFormat="1" applyFont="1" applyFill="1" applyAlignment="1">
      <alignment horizontal="center" vertical="center"/>
    </xf>
    <xf numFmtId="0" fontId="39" fillId="5" borderId="0" xfId="3" applyNumberFormat="1" applyFont="1" applyFill="1" applyBorder="1" applyAlignment="1">
      <alignment horizontal="center" vertical="center"/>
    </xf>
    <xf numFmtId="0" fontId="39" fillId="0" borderId="1" xfId="3" applyNumberFormat="1" applyFont="1" applyFill="1" applyBorder="1" applyAlignment="1"/>
    <xf numFmtId="0" fontId="4" fillId="0" borderId="31" xfId="3" applyFont="1" applyFill="1" applyBorder="1" applyAlignment="1"/>
    <xf numFmtId="0" fontId="4" fillId="6" borderId="31" xfId="3" applyFont="1" applyFill="1" applyBorder="1" applyAlignment="1"/>
    <xf numFmtId="0" fontId="4" fillId="0" borderId="30" xfId="3" applyFont="1" applyFill="1" applyBorder="1" applyAlignment="1"/>
    <xf numFmtId="0" fontId="39" fillId="0" borderId="6" xfId="3" applyNumberFormat="1" applyFont="1" applyFill="1" applyBorder="1" applyAlignment="1"/>
    <xf numFmtId="0" fontId="39" fillId="0" borderId="7" xfId="3" applyNumberFormat="1" applyFont="1" applyFill="1" applyBorder="1" applyAlignment="1">
      <alignment horizontal="center"/>
    </xf>
    <xf numFmtId="0" fontId="39" fillId="0" borderId="8" xfId="3" applyNumberFormat="1" applyFont="1" applyFill="1" applyBorder="1" applyAlignment="1"/>
    <xf numFmtId="0" fontId="39" fillId="0" borderId="9" xfId="3" applyNumberFormat="1" applyFont="1" applyFill="1" applyBorder="1" applyAlignment="1"/>
    <xf numFmtId="0" fontId="39" fillId="0" borderId="31" xfId="3" applyNumberFormat="1" applyFont="1" applyFill="1" applyBorder="1" applyAlignment="1"/>
    <xf numFmtId="0" fontId="39" fillId="0" borderId="30" xfId="3" applyNumberFormat="1" applyFont="1" applyFill="1" applyBorder="1" applyAlignment="1"/>
    <xf numFmtId="0" fontId="39" fillId="0" borderId="0" xfId="0" applyNumberFormat="1" applyFont="1"/>
    <xf numFmtId="0" fontId="39" fillId="0" borderId="0" xfId="3" applyNumberFormat="1" applyFont="1" applyFill="1" applyBorder="1" applyAlignment="1">
      <alignment horizontal="right"/>
    </xf>
    <xf numFmtId="0" fontId="39" fillId="0" borderId="17" xfId="3" applyNumberFormat="1" applyFont="1" applyFill="1" applyBorder="1" applyAlignment="1"/>
    <xf numFmtId="0" fontId="39" fillId="0" borderId="16" xfId="3" applyNumberFormat="1" applyFont="1" applyFill="1" applyBorder="1" applyAlignment="1"/>
    <xf numFmtId="0" fontId="39" fillId="0" borderId="18" xfId="3" applyNumberFormat="1" applyFont="1" applyFill="1" applyBorder="1" applyAlignment="1"/>
    <xf numFmtId="0" fontId="29" fillId="0" borderId="0" xfId="0" applyFont="1" applyProtection="1">
      <protection hidden="1"/>
    </xf>
    <xf numFmtId="0" fontId="58" fillId="0" borderId="0" xfId="0" applyFont="1"/>
    <xf numFmtId="0" fontId="58" fillId="0" borderId="0" xfId="0" applyNumberFormat="1" applyFont="1"/>
    <xf numFmtId="0" fontId="41" fillId="4" borderId="31" xfId="0" applyFont="1" applyFill="1" applyBorder="1" applyAlignment="1" applyProtection="1">
      <alignment horizontal="center" vertical="center"/>
      <protection hidden="1"/>
    </xf>
    <xf numFmtId="20" fontId="41" fillId="4" borderId="31" xfId="0" applyNumberFormat="1" applyFont="1" applyFill="1" applyBorder="1" applyAlignment="1" applyProtection="1">
      <alignment horizontal="center" vertical="center"/>
      <protection hidden="1"/>
    </xf>
    <xf numFmtId="0" fontId="41" fillId="3" borderId="0" xfId="0" applyFont="1" applyFill="1" applyBorder="1" applyAlignment="1" applyProtection="1">
      <alignment vertical="center"/>
      <protection hidden="1"/>
    </xf>
    <xf numFmtId="0" fontId="41" fillId="3" borderId="0" xfId="0" applyFont="1" applyFill="1" applyBorder="1" applyAlignment="1" applyProtection="1">
      <alignment horizontal="center" vertical="center"/>
      <protection hidden="1"/>
    </xf>
    <xf numFmtId="0" fontId="41" fillId="3" borderId="0" xfId="0" applyFont="1" applyFill="1" applyBorder="1" applyAlignment="1" applyProtection="1">
      <alignment horizontal="center" vertical="top"/>
      <protection hidden="1"/>
    </xf>
    <xf numFmtId="0" fontId="41" fillId="3" borderId="0" xfId="0" applyFont="1" applyFill="1" applyBorder="1" applyAlignment="1" applyProtection="1">
      <alignment vertical="top"/>
      <protection hidden="1"/>
    </xf>
    <xf numFmtId="0" fontId="0" fillId="0" borderId="0" xfId="0" applyBorder="1"/>
    <xf numFmtId="0" fontId="24" fillId="0" borderId="0" xfId="0" applyFont="1" applyAlignment="1" applyProtection="1">
      <alignment vertical="top"/>
      <protection hidden="1"/>
    </xf>
    <xf numFmtId="0" fontId="5" fillId="4" borderId="9" xfId="0" applyFont="1" applyFill="1" applyBorder="1" applyAlignment="1">
      <alignment horizontal="left" vertical="center" indent="1"/>
    </xf>
    <xf numFmtId="0" fontId="2" fillId="0" borderId="0" xfId="1" applyAlignment="1" applyProtection="1"/>
    <xf numFmtId="0" fontId="25" fillId="4" borderId="29" xfId="0" applyFont="1" applyFill="1" applyBorder="1" applyAlignment="1" applyProtection="1">
      <alignment horizontal="center" vertical="center"/>
      <protection locked="0"/>
    </xf>
    <xf numFmtId="0" fontId="24" fillId="4" borderId="10" xfId="0" applyFont="1" applyFill="1" applyBorder="1" applyAlignment="1" applyProtection="1">
      <alignment vertical="center"/>
      <protection locked="0"/>
    </xf>
    <xf numFmtId="0" fontId="0" fillId="4" borderId="10" xfId="0" applyFill="1" applyBorder="1" applyAlignment="1" applyProtection="1">
      <alignment vertical="center"/>
      <protection locked="0"/>
    </xf>
    <xf numFmtId="0" fontId="0" fillId="4" borderId="11" xfId="0" applyFill="1" applyBorder="1" applyAlignment="1" applyProtection="1">
      <alignment vertical="center"/>
      <protection locked="0"/>
    </xf>
    <xf numFmtId="0" fontId="25" fillId="4" borderId="12" xfId="0" applyFont="1" applyFill="1" applyBorder="1" applyAlignment="1" applyProtection="1">
      <alignment horizontal="center" vertical="center"/>
      <protection locked="0"/>
    </xf>
    <xf numFmtId="0" fontId="23" fillId="4" borderId="0" xfId="0" applyFont="1" applyFill="1" applyBorder="1" applyAlignment="1" applyProtection="1">
      <alignment vertical="center"/>
      <protection locked="0"/>
    </xf>
    <xf numFmtId="0" fontId="0" fillId="4" borderId="0" xfId="0" applyFill="1" applyBorder="1" applyAlignment="1" applyProtection="1">
      <alignment vertical="center"/>
      <protection locked="0"/>
    </xf>
    <xf numFmtId="0" fontId="0" fillId="4" borderId="13" xfId="0" applyFill="1" applyBorder="1" applyAlignment="1" applyProtection="1">
      <alignment vertical="center"/>
      <protection locked="0"/>
    </xf>
    <xf numFmtId="0" fontId="24" fillId="4" borderId="0" xfId="0" applyFont="1" applyFill="1" applyBorder="1" applyAlignment="1" applyProtection="1">
      <alignment vertical="center"/>
      <protection locked="0"/>
    </xf>
    <xf numFmtId="0" fontId="25" fillId="4" borderId="49" xfId="0" applyFont="1" applyFill="1" applyBorder="1" applyAlignment="1" applyProtection="1">
      <alignment horizontal="center" vertical="center"/>
      <protection locked="0"/>
    </xf>
    <xf numFmtId="0" fontId="24" fillId="4" borderId="30" xfId="0" applyFont="1" applyFill="1" applyBorder="1" applyAlignment="1" applyProtection="1">
      <alignment vertical="center"/>
      <protection locked="0"/>
    </xf>
    <xf numFmtId="0" fontId="0" fillId="4" borderId="30" xfId="0" applyFill="1" applyBorder="1" applyAlignment="1" applyProtection="1">
      <alignment vertical="center"/>
      <protection locked="0"/>
    </xf>
    <xf numFmtId="0" fontId="0" fillId="4" borderId="50" xfId="0" applyFill="1" applyBorder="1" applyAlignment="1" applyProtection="1">
      <alignment vertical="center"/>
      <protection locked="0"/>
    </xf>
    <xf numFmtId="0" fontId="0" fillId="3" borderId="26" xfId="0" applyFill="1" applyBorder="1" applyProtection="1">
      <protection hidden="1"/>
    </xf>
    <xf numFmtId="0" fontId="41" fillId="3" borderId="25" xfId="0" applyFont="1" applyFill="1" applyBorder="1" applyProtection="1">
      <protection hidden="1"/>
    </xf>
    <xf numFmtId="0" fontId="0" fillId="3" borderId="25" xfId="0" applyFill="1" applyBorder="1" applyProtection="1">
      <protection hidden="1"/>
    </xf>
    <xf numFmtId="0" fontId="0" fillId="3" borderId="35" xfId="0" applyFill="1" applyBorder="1" applyProtection="1">
      <protection hidden="1"/>
    </xf>
    <xf numFmtId="49" fontId="24" fillId="11" borderId="35" xfId="0" applyNumberFormat="1" applyFont="1" applyFill="1" applyBorder="1" applyAlignment="1" applyProtection="1">
      <alignment horizontal="center" vertical="center"/>
      <protection locked="0" hidden="1"/>
    </xf>
    <xf numFmtId="0" fontId="0" fillId="0" borderId="0" xfId="0" applyProtection="1"/>
    <xf numFmtId="0" fontId="0" fillId="3" borderId="7" xfId="0" applyFill="1" applyBorder="1" applyAlignment="1" applyProtection="1">
      <alignment vertical="center"/>
      <protection locked="0" hidden="1"/>
    </xf>
    <xf numFmtId="0" fontId="0" fillId="3" borderId="7" xfId="0" applyFill="1" applyBorder="1" applyProtection="1">
      <protection locked="0" hidden="1"/>
    </xf>
    <xf numFmtId="0" fontId="60" fillId="0" borderId="0" xfId="0" applyFont="1" applyFill="1" applyBorder="1" applyAlignment="1" applyProtection="1">
      <alignment horizontal="left" vertical="center"/>
      <protection hidden="1"/>
    </xf>
    <xf numFmtId="0" fontId="60" fillId="0" borderId="0" xfId="0" applyFont="1" applyFill="1" applyBorder="1" applyProtection="1">
      <protection hidden="1"/>
    </xf>
    <xf numFmtId="0" fontId="60" fillId="0" borderId="0" xfId="0" applyFont="1" applyProtection="1">
      <protection hidden="1"/>
    </xf>
    <xf numFmtId="0" fontId="60" fillId="0" borderId="0" xfId="0" applyFont="1" applyBorder="1" applyProtection="1">
      <protection hidden="1"/>
    </xf>
    <xf numFmtId="0" fontId="60" fillId="0" borderId="0" xfId="0" applyFont="1" applyBorder="1" applyAlignment="1" applyProtection="1">
      <alignment horizontal="right" vertical="center"/>
      <protection hidden="1"/>
    </xf>
    <xf numFmtId="0" fontId="60" fillId="0" borderId="51" xfId="0" applyFont="1" applyFill="1" applyBorder="1" applyAlignment="1" applyProtection="1">
      <alignment horizontal="left" vertical="center"/>
      <protection hidden="1"/>
    </xf>
    <xf numFmtId="0" fontId="60" fillId="0" borderId="51" xfId="0" applyFont="1" applyBorder="1" applyProtection="1">
      <protection hidden="1"/>
    </xf>
    <xf numFmtId="0" fontId="60" fillId="0" borderId="51" xfId="0" applyFont="1" applyBorder="1" applyAlignment="1" applyProtection="1">
      <alignment horizontal="right" vertical="center"/>
      <protection hidden="1"/>
    </xf>
    <xf numFmtId="0" fontId="60" fillId="0" borderId="52" xfId="0" applyFont="1" applyBorder="1" applyProtection="1">
      <protection hidden="1"/>
    </xf>
    <xf numFmtId="0" fontId="60" fillId="0" borderId="52" xfId="0" applyFont="1" applyBorder="1" applyAlignment="1" applyProtection="1">
      <alignment horizontal="right" vertical="center"/>
      <protection hidden="1"/>
    </xf>
    <xf numFmtId="0" fontId="60" fillId="0" borderId="53" xfId="0" applyFont="1" applyFill="1" applyBorder="1" applyAlignment="1" applyProtection="1">
      <alignment horizontal="left" vertical="center"/>
      <protection hidden="1"/>
    </xf>
    <xf numFmtId="0" fontId="60" fillId="0" borderId="53" xfId="0" applyFont="1" applyBorder="1" applyProtection="1">
      <protection hidden="1"/>
    </xf>
    <xf numFmtId="0" fontId="60" fillId="0" borderId="52" xfId="0" applyFont="1" applyFill="1" applyBorder="1" applyAlignment="1" applyProtection="1">
      <alignment horizontal="left" vertical="center"/>
      <protection hidden="1"/>
    </xf>
    <xf numFmtId="0" fontId="60" fillId="0" borderId="0" xfId="0" applyFont="1" applyBorder="1" applyAlignment="1" applyProtection="1">
      <alignment horizontal="right" vertical="top" wrapText="1"/>
      <protection hidden="1"/>
    </xf>
    <xf numFmtId="0" fontId="60" fillId="0" borderId="52" xfId="0" applyFont="1" applyBorder="1" applyAlignment="1" applyProtection="1">
      <alignment horizontal="right" vertical="top" wrapText="1"/>
      <protection hidden="1"/>
    </xf>
    <xf numFmtId="0" fontId="4" fillId="0" borderId="0" xfId="4" applyAlignment="1">
      <alignment horizontal="right" vertical="center"/>
    </xf>
    <xf numFmtId="0" fontId="22" fillId="2" borderId="0" xfId="1" applyFont="1" applyFill="1" applyAlignment="1" applyProtection="1">
      <alignment horizontal="left"/>
    </xf>
    <xf numFmtId="0" fontId="7" fillId="2" borderId="17" xfId="4" applyFont="1" applyFill="1" applyBorder="1" applyAlignment="1">
      <alignment horizontal="left" vertical="center" indent="2"/>
    </xf>
    <xf numFmtId="0" fontId="7" fillId="2" borderId="16" xfId="4" applyFont="1" applyFill="1" applyBorder="1" applyAlignment="1">
      <alignment horizontal="left" vertical="center" indent="2"/>
    </xf>
    <xf numFmtId="0" fontId="7" fillId="2" borderId="18" xfId="4" applyFont="1" applyFill="1" applyBorder="1" applyAlignment="1">
      <alignment horizontal="left" vertical="center" indent="2"/>
    </xf>
    <xf numFmtId="0" fontId="7" fillId="2" borderId="1" xfId="4" applyFont="1" applyFill="1" applyBorder="1" applyAlignment="1">
      <alignment horizontal="left" vertical="center" indent="2"/>
    </xf>
    <xf numFmtId="0" fontId="7" fillId="2" borderId="0" xfId="4" applyFont="1" applyFill="1" applyBorder="1" applyAlignment="1">
      <alignment horizontal="left" vertical="center" indent="2"/>
    </xf>
    <xf numFmtId="0" fontId="7" fillId="2" borderId="2" xfId="4" applyFont="1" applyFill="1" applyBorder="1" applyAlignment="1">
      <alignment horizontal="left" vertical="center" indent="2"/>
    </xf>
    <xf numFmtId="0" fontId="12" fillId="2" borderId="0" xfId="4" applyFont="1" applyFill="1" applyBorder="1" applyAlignment="1">
      <alignment vertical="top"/>
    </xf>
    <xf numFmtId="0" fontId="21" fillId="2" borderId="0" xfId="4" applyFont="1" applyFill="1" applyBorder="1" applyAlignment="1">
      <alignment horizontal="right" vertical="center"/>
    </xf>
    <xf numFmtId="0" fontId="22" fillId="2" borderId="0" xfId="1" applyFont="1" applyFill="1" applyBorder="1" applyAlignment="1" applyProtection="1">
      <alignment horizontal="center" vertical="center"/>
    </xf>
    <xf numFmtId="0" fontId="2" fillId="0" borderId="0" xfId="1" applyAlignment="1" applyProtection="1"/>
    <xf numFmtId="0" fontId="2" fillId="0" borderId="0" xfId="1" applyAlignment="1" applyProtection="1">
      <alignment horizontal="center"/>
    </xf>
    <xf numFmtId="0" fontId="2" fillId="0" borderId="0" xfId="1" applyFont="1" applyAlignment="1" applyProtection="1">
      <alignment horizontal="left"/>
    </xf>
    <xf numFmtId="0" fontId="2" fillId="0" borderId="0" xfId="1" applyAlignment="1" applyProtection="1">
      <alignment horizontal="left"/>
    </xf>
    <xf numFmtId="0" fontId="0" fillId="11" borderId="31" xfId="0" applyFill="1" applyBorder="1" applyAlignment="1" applyProtection="1">
      <alignment horizontal="center" vertical="center"/>
      <protection locked="0" hidden="1"/>
    </xf>
    <xf numFmtId="0" fontId="0" fillId="11" borderId="55" xfId="0" applyFill="1" applyBorder="1" applyAlignment="1" applyProtection="1">
      <alignment horizontal="center" vertical="center"/>
      <protection locked="0" hidden="1"/>
    </xf>
    <xf numFmtId="0" fontId="0" fillId="11" borderId="30" xfId="0" applyFill="1" applyBorder="1" applyAlignment="1" applyProtection="1">
      <alignment horizontal="center" vertical="center"/>
      <protection locked="0" hidden="1"/>
    </xf>
    <xf numFmtId="0" fontId="0" fillId="11" borderId="50" xfId="0" applyFill="1" applyBorder="1" applyAlignment="1" applyProtection="1">
      <alignment horizontal="center" vertical="center"/>
      <protection locked="0" hidden="1"/>
    </xf>
    <xf numFmtId="0" fontId="24" fillId="3" borderId="0" xfId="0" applyFont="1" applyFill="1" applyBorder="1" applyAlignment="1" applyProtection="1">
      <alignment horizontal="center"/>
      <protection hidden="1"/>
    </xf>
    <xf numFmtId="0" fontId="8" fillId="0" borderId="0" xfId="0" applyFont="1" applyAlignment="1">
      <alignment horizontal="right" vertical="top"/>
    </xf>
    <xf numFmtId="0" fontId="0" fillId="0" borderId="0" xfId="0" applyAlignment="1">
      <alignment horizontal="right" vertical="top"/>
    </xf>
    <xf numFmtId="0" fontId="2" fillId="0" borderId="0" xfId="1" applyAlignment="1" applyProtection="1">
      <alignment horizontal="right" vertical="top"/>
    </xf>
    <xf numFmtId="0" fontId="2" fillId="0" borderId="0" xfId="1" applyAlignment="1" applyProtection="1">
      <alignment horizontal="center" vertical="top"/>
    </xf>
    <xf numFmtId="0" fontId="2" fillId="0" borderId="0" xfId="1" applyAlignment="1" applyProtection="1">
      <alignment vertical="top"/>
    </xf>
    <xf numFmtId="0" fontId="60" fillId="0" borderId="53" xfId="0" applyFont="1" applyBorder="1" applyAlignment="1" applyProtection="1">
      <alignment horizontal="right" vertical="top" wrapText="1"/>
      <protection hidden="1"/>
    </xf>
    <xf numFmtId="0" fontId="46" fillId="0" borderId="30" xfId="0" applyFont="1" applyBorder="1" applyAlignment="1" applyProtection="1">
      <alignment horizontal="center"/>
      <protection hidden="1"/>
    </xf>
    <xf numFmtId="0" fontId="60" fillId="0" borderId="53" xfId="0" applyFont="1" applyBorder="1" applyAlignment="1" applyProtection="1">
      <alignment horizontal="right" vertical="center"/>
      <protection hidden="1"/>
    </xf>
    <xf numFmtId="0" fontId="60" fillId="0" borderId="52" xfId="0" applyFont="1" applyBorder="1" applyAlignment="1" applyProtection="1">
      <alignment horizontal="right" vertical="center"/>
      <protection hidden="1"/>
    </xf>
    <xf numFmtId="0" fontId="0" fillId="12" borderId="55" xfId="0" applyFill="1" applyBorder="1" applyAlignment="1" applyProtection="1">
      <alignment horizontal="center" vertical="center"/>
      <protection locked="0" hidden="1"/>
    </xf>
    <xf numFmtId="0" fontId="0" fillId="12" borderId="50" xfId="0" applyFill="1" applyBorder="1" applyAlignment="1" applyProtection="1">
      <alignment horizontal="center" vertical="center"/>
      <protection locked="0" hidden="1"/>
    </xf>
    <xf numFmtId="0" fontId="23" fillId="0" borderId="0" xfId="0" applyFont="1" applyAlignment="1" applyProtection="1">
      <alignment horizontal="right" vertical="center"/>
      <protection hidden="1"/>
    </xf>
    <xf numFmtId="0" fontId="23" fillId="0" borderId="0" xfId="0" applyFont="1" applyBorder="1" applyAlignment="1" applyProtection="1">
      <alignment horizontal="right" vertical="center"/>
      <protection hidden="1"/>
    </xf>
    <xf numFmtId="0" fontId="23" fillId="0" borderId="83" xfId="0" applyFont="1" applyBorder="1" applyAlignment="1" applyProtection="1">
      <alignment horizontal="right" vertical="center"/>
      <protection hidden="1"/>
    </xf>
    <xf numFmtId="0" fontId="0" fillId="12" borderId="57" xfId="0" applyFill="1" applyBorder="1" applyAlignment="1" applyProtection="1">
      <alignment horizontal="center" vertical="center"/>
      <protection locked="0" hidden="1"/>
    </xf>
    <xf numFmtId="0" fontId="0" fillId="12" borderId="49" xfId="0" applyFill="1" applyBorder="1" applyAlignment="1" applyProtection="1">
      <alignment horizontal="center" vertical="center"/>
      <protection locked="0" hidden="1"/>
    </xf>
    <xf numFmtId="0" fontId="0" fillId="12" borderId="31" xfId="0" applyFill="1" applyBorder="1" applyAlignment="1" applyProtection="1">
      <alignment horizontal="center" vertical="center"/>
      <protection hidden="1"/>
    </xf>
    <xf numFmtId="0" fontId="0" fillId="12" borderId="30" xfId="0" applyFill="1" applyBorder="1" applyAlignment="1" applyProtection="1">
      <alignment horizontal="center" vertical="center"/>
      <protection hidden="1"/>
    </xf>
    <xf numFmtId="0" fontId="23" fillId="0" borderId="13" xfId="0" applyFont="1" applyBorder="1" applyAlignment="1" applyProtection="1">
      <alignment horizontal="right" vertical="center"/>
      <protection hidden="1"/>
    </xf>
    <xf numFmtId="0" fontId="60" fillId="0" borderId="51" xfId="0" applyFont="1" applyFill="1" applyBorder="1" applyAlignment="1" applyProtection="1">
      <alignment horizontal="left" vertical="center" indent="1"/>
      <protection hidden="1"/>
    </xf>
    <xf numFmtId="0" fontId="59" fillId="4" borderId="36" xfId="0" applyFont="1" applyFill="1" applyBorder="1" applyAlignment="1" applyProtection="1">
      <alignment horizontal="center"/>
      <protection hidden="1"/>
    </xf>
    <xf numFmtId="0" fontId="59" fillId="4" borderId="0" xfId="0" applyFont="1" applyFill="1" applyBorder="1" applyAlignment="1" applyProtection="1">
      <alignment horizontal="center"/>
      <protection hidden="1"/>
    </xf>
    <xf numFmtId="0" fontId="59" fillId="4" borderId="44" xfId="0" applyFont="1" applyFill="1" applyBorder="1" applyAlignment="1" applyProtection="1">
      <alignment horizontal="center"/>
      <protection hidden="1"/>
    </xf>
    <xf numFmtId="0" fontId="54" fillId="4" borderId="65" xfId="0" applyFont="1" applyFill="1" applyBorder="1" applyAlignment="1" applyProtection="1">
      <alignment horizontal="center" vertical="center"/>
      <protection hidden="1"/>
    </xf>
    <xf numFmtId="0" fontId="54" fillId="4" borderId="66" xfId="0" applyFont="1" applyFill="1" applyBorder="1" applyAlignment="1" applyProtection="1">
      <alignment horizontal="center" vertical="center"/>
      <protection hidden="1"/>
    </xf>
    <xf numFmtId="0" fontId="54" fillId="4" borderId="78" xfId="0" applyFont="1" applyFill="1" applyBorder="1" applyAlignment="1" applyProtection="1">
      <alignment horizontal="center" vertical="center"/>
      <protection hidden="1"/>
    </xf>
    <xf numFmtId="0" fontId="54" fillId="4" borderId="36" xfId="0" applyFont="1" applyFill="1" applyBorder="1" applyAlignment="1" applyProtection="1">
      <alignment horizontal="center" vertical="center"/>
      <protection hidden="1"/>
    </xf>
    <xf numFmtId="0" fontId="54" fillId="4" borderId="0" xfId="0" applyFont="1" applyFill="1" applyBorder="1" applyAlignment="1" applyProtection="1">
      <alignment horizontal="center" vertical="center"/>
      <protection hidden="1"/>
    </xf>
    <xf numFmtId="0" fontId="54" fillId="4" borderId="44" xfId="0" applyFont="1" applyFill="1" applyBorder="1" applyAlignment="1" applyProtection="1">
      <alignment horizontal="center" vertical="center"/>
      <protection hidden="1"/>
    </xf>
    <xf numFmtId="0" fontId="60" fillId="0" borderId="52" xfId="0" applyFont="1" applyFill="1" applyBorder="1" applyAlignment="1" applyProtection="1">
      <alignment horizontal="left" vertical="center" indent="1"/>
      <protection hidden="1"/>
    </xf>
    <xf numFmtId="0" fontId="54" fillId="4" borderId="67" xfId="0" applyFont="1" applyFill="1" applyBorder="1" applyAlignment="1" applyProtection="1">
      <alignment horizontal="center" vertical="center"/>
      <protection hidden="1"/>
    </xf>
    <xf numFmtId="0" fontId="54" fillId="4" borderId="68" xfId="0" applyFont="1" applyFill="1" applyBorder="1" applyAlignment="1" applyProtection="1">
      <alignment horizontal="center" vertical="center"/>
      <protection hidden="1"/>
    </xf>
    <xf numFmtId="0" fontId="60" fillId="0" borderId="51" xfId="0" applyFont="1" applyFill="1" applyBorder="1" applyAlignment="1" applyProtection="1">
      <alignment horizontal="left" vertical="top" wrapText="1" indent="1"/>
      <protection hidden="1"/>
    </xf>
    <xf numFmtId="0" fontId="60" fillId="0" borderId="79" xfId="0" applyFont="1" applyFill="1" applyBorder="1" applyAlignment="1" applyProtection="1">
      <alignment horizontal="left" vertical="top" wrapText="1" indent="1"/>
      <protection hidden="1"/>
    </xf>
    <xf numFmtId="0" fontId="40" fillId="4" borderId="65" xfId="0" applyFont="1" applyFill="1" applyBorder="1" applyAlignment="1" applyProtection="1">
      <alignment horizontal="center"/>
      <protection locked="0" hidden="1"/>
    </xf>
    <xf numFmtId="0" fontId="40" fillId="4" borderId="66" xfId="0" applyFont="1" applyFill="1" applyBorder="1" applyAlignment="1" applyProtection="1">
      <alignment horizontal="center"/>
      <protection locked="0" hidden="1"/>
    </xf>
    <xf numFmtId="0" fontId="40" fillId="4" borderId="67" xfId="0" applyFont="1" applyFill="1" applyBorder="1" applyAlignment="1" applyProtection="1">
      <alignment horizontal="center"/>
      <protection locked="0" hidden="1"/>
    </xf>
    <xf numFmtId="0" fontId="23" fillId="0" borderId="0" xfId="0" applyFont="1" applyAlignment="1" applyProtection="1">
      <alignment vertical="center"/>
      <protection hidden="1"/>
    </xf>
    <xf numFmtId="0" fontId="55" fillId="0" borderId="0" xfId="0" applyFont="1" applyBorder="1" applyAlignment="1" applyProtection="1">
      <alignment horizontal="left" vertical="top" indent="1"/>
      <protection hidden="1"/>
    </xf>
    <xf numFmtId="0" fontId="0" fillId="11" borderId="41" xfId="0" applyFill="1" applyBorder="1" applyAlignment="1" applyProtection="1">
      <alignment horizontal="center" vertical="center"/>
      <protection locked="0" hidden="1"/>
    </xf>
    <xf numFmtId="0" fontId="0" fillId="11" borderId="19" xfId="0" applyFill="1" applyBorder="1" applyAlignment="1" applyProtection="1">
      <alignment horizontal="center" vertical="center"/>
      <protection locked="0" hidden="1"/>
    </xf>
    <xf numFmtId="49" fontId="0" fillId="11" borderId="41" xfId="0" applyNumberFormat="1" applyFill="1" applyBorder="1" applyAlignment="1" applyProtection="1">
      <alignment horizontal="center" vertical="center"/>
      <protection locked="0" hidden="1"/>
    </xf>
    <xf numFmtId="49" fontId="0" fillId="11" borderId="19" xfId="0" applyNumberFormat="1" applyFill="1" applyBorder="1" applyAlignment="1" applyProtection="1">
      <alignment horizontal="center" vertical="center"/>
      <protection locked="0" hidden="1"/>
    </xf>
    <xf numFmtId="0" fontId="27" fillId="11" borderId="57" xfId="0" applyFont="1" applyFill="1" applyBorder="1" applyAlignment="1" applyProtection="1">
      <alignment horizontal="center" vertical="center"/>
      <protection locked="0" hidden="1"/>
    </xf>
    <xf numFmtId="0" fontId="27" fillId="11" borderId="49" xfId="0" applyFont="1" applyFill="1" applyBorder="1" applyAlignment="1" applyProtection="1">
      <alignment horizontal="center" vertical="center"/>
      <protection locked="0" hidden="1"/>
    </xf>
    <xf numFmtId="0" fontId="27" fillId="11" borderId="31" xfId="0" applyFont="1" applyFill="1" applyBorder="1" applyAlignment="1" applyProtection="1">
      <alignment horizontal="center" vertical="center"/>
      <protection hidden="1"/>
    </xf>
    <xf numFmtId="0" fontId="27" fillId="11" borderId="30" xfId="0" applyFont="1" applyFill="1" applyBorder="1" applyAlignment="1" applyProtection="1">
      <alignment horizontal="center" vertical="center"/>
      <protection hidden="1"/>
    </xf>
    <xf numFmtId="0" fontId="27" fillId="11" borderId="55" xfId="0" applyFont="1" applyFill="1" applyBorder="1" applyAlignment="1" applyProtection="1">
      <alignment horizontal="center" vertical="center"/>
      <protection locked="0" hidden="1"/>
    </xf>
    <xf numFmtId="0" fontId="27" fillId="11" borderId="50" xfId="0" applyFont="1" applyFill="1" applyBorder="1" applyAlignment="1" applyProtection="1">
      <alignment horizontal="center" vertical="center"/>
      <protection locked="0" hidden="1"/>
    </xf>
    <xf numFmtId="0" fontId="41" fillId="4" borderId="57" xfId="0" applyFont="1" applyFill="1" applyBorder="1" applyAlignment="1" applyProtection="1">
      <alignment horizontal="center" vertical="center"/>
      <protection hidden="1"/>
    </xf>
    <xf numFmtId="0" fontId="41" fillId="4" borderId="49" xfId="0" applyFont="1" applyFill="1" applyBorder="1" applyAlignment="1" applyProtection="1">
      <alignment horizontal="center" vertical="center"/>
      <protection hidden="1"/>
    </xf>
    <xf numFmtId="0" fontId="41" fillId="4" borderId="30" xfId="0" applyFont="1" applyFill="1" applyBorder="1" applyAlignment="1" applyProtection="1">
      <alignment horizontal="center" vertical="center"/>
      <protection hidden="1"/>
    </xf>
    <xf numFmtId="14" fontId="43" fillId="10" borderId="56" xfId="0" applyNumberFormat="1" applyFont="1" applyFill="1" applyBorder="1" applyAlignment="1" applyProtection="1">
      <alignment horizontal="right" vertical="center"/>
      <protection locked="0" hidden="1"/>
    </xf>
    <xf numFmtId="14" fontId="24" fillId="10" borderId="30" xfId="0" applyNumberFormat="1" applyFont="1" applyFill="1" applyBorder="1" applyAlignment="1" applyProtection="1">
      <alignment horizontal="right" vertical="center"/>
      <protection locked="0" hidden="1"/>
    </xf>
    <xf numFmtId="14" fontId="43" fillId="10" borderId="30" xfId="0" applyNumberFormat="1" applyFont="1" applyFill="1" applyBorder="1" applyAlignment="1" applyProtection="1">
      <alignment horizontal="left" vertical="center"/>
      <protection locked="0" hidden="1"/>
    </xf>
    <xf numFmtId="14" fontId="24" fillId="10" borderId="30" xfId="0" applyNumberFormat="1" applyFont="1" applyFill="1" applyBorder="1" applyAlignment="1" applyProtection="1">
      <alignment horizontal="left" vertical="center"/>
      <protection locked="0" hidden="1"/>
    </xf>
    <xf numFmtId="0" fontId="50" fillId="16" borderId="34" xfId="0" applyFont="1" applyFill="1" applyBorder="1" applyAlignment="1" applyProtection="1">
      <alignment horizontal="center" vertical="center"/>
      <protection hidden="1"/>
    </xf>
    <xf numFmtId="0" fontId="51" fillId="16" borderId="34" xfId="0" applyFont="1" applyFill="1" applyBorder="1" applyAlignment="1" applyProtection="1">
      <alignment horizontal="center" vertical="center"/>
      <protection hidden="1"/>
    </xf>
    <xf numFmtId="0" fontId="24" fillId="3" borderId="0" xfId="0" applyFont="1" applyFill="1" applyBorder="1" applyAlignment="1" applyProtection="1">
      <alignment horizontal="right" vertical="center"/>
      <protection hidden="1"/>
    </xf>
    <xf numFmtId="0" fontId="24" fillId="3" borderId="2" xfId="0" applyFont="1" applyFill="1" applyBorder="1" applyAlignment="1" applyProtection="1">
      <alignment horizontal="right" vertical="center"/>
      <protection hidden="1"/>
    </xf>
    <xf numFmtId="0" fontId="24" fillId="3" borderId="1" xfId="0" applyFont="1" applyFill="1" applyBorder="1" applyAlignment="1" applyProtection="1">
      <alignment horizontal="right"/>
      <protection hidden="1"/>
    </xf>
    <xf numFmtId="0" fontId="24" fillId="3" borderId="0" xfId="0" applyFont="1" applyFill="1" applyBorder="1" applyAlignment="1" applyProtection="1">
      <alignment horizontal="right"/>
      <protection hidden="1"/>
    </xf>
    <xf numFmtId="0" fontId="23" fillId="3" borderId="0" xfId="0" applyFont="1" applyFill="1" applyBorder="1" applyAlignment="1" applyProtection="1">
      <alignment horizontal="center"/>
      <protection hidden="1"/>
    </xf>
    <xf numFmtId="0" fontId="41" fillId="21" borderId="58" xfId="0" applyFont="1" applyFill="1" applyBorder="1" applyAlignment="1" applyProtection="1">
      <alignment horizontal="center" vertical="top" wrapText="1"/>
      <protection hidden="1"/>
    </xf>
    <xf numFmtId="0" fontId="41" fillId="21" borderId="31" xfId="0" applyFont="1" applyFill="1" applyBorder="1" applyAlignment="1" applyProtection="1">
      <alignment horizontal="center" vertical="top"/>
      <protection hidden="1"/>
    </xf>
    <xf numFmtId="0" fontId="41" fillId="21" borderId="59" xfId="0" applyFont="1" applyFill="1" applyBorder="1" applyAlignment="1" applyProtection="1">
      <alignment horizontal="center" vertical="top"/>
      <protection hidden="1"/>
    </xf>
    <xf numFmtId="0" fontId="41" fillId="21" borderId="56" xfId="0" applyFont="1" applyFill="1" applyBorder="1" applyAlignment="1" applyProtection="1">
      <alignment horizontal="center" vertical="top"/>
      <protection hidden="1"/>
    </xf>
    <xf numFmtId="0" fontId="41" fillId="21" borderId="30" xfId="0" applyFont="1" applyFill="1" applyBorder="1" applyAlignment="1" applyProtection="1">
      <alignment horizontal="center" vertical="top"/>
      <protection hidden="1"/>
    </xf>
    <xf numFmtId="0" fontId="41" fillId="21" borderId="60" xfId="0" applyFont="1" applyFill="1" applyBorder="1" applyAlignment="1" applyProtection="1">
      <alignment horizontal="center" vertical="top"/>
      <protection hidden="1"/>
    </xf>
    <xf numFmtId="0" fontId="50" fillId="16" borderId="61" xfId="0" applyFont="1" applyFill="1" applyBorder="1" applyAlignment="1" applyProtection="1">
      <alignment horizontal="center" vertical="center"/>
      <protection hidden="1"/>
    </xf>
    <xf numFmtId="14" fontId="43" fillId="10" borderId="25" xfId="0" applyNumberFormat="1" applyFont="1" applyFill="1" applyBorder="1" applyAlignment="1" applyProtection="1">
      <alignment horizontal="right" vertical="center"/>
      <protection hidden="1"/>
    </xf>
    <xf numFmtId="14" fontId="43" fillId="10" borderId="25" xfId="0" applyNumberFormat="1" applyFont="1" applyFill="1" applyBorder="1" applyAlignment="1" applyProtection="1">
      <alignment horizontal="left" vertical="center"/>
      <protection hidden="1"/>
    </xf>
    <xf numFmtId="0" fontId="38" fillId="22" borderId="17" xfId="0" applyFont="1" applyFill="1" applyBorder="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18" xfId="0" applyFont="1" applyFill="1" applyBorder="1" applyAlignment="1" applyProtection="1">
      <alignment horizontal="center" vertical="center"/>
      <protection hidden="1"/>
    </xf>
    <xf numFmtId="0" fontId="38" fillId="22" borderId="6" xfId="0" applyFont="1" applyFill="1" applyBorder="1" applyAlignment="1" applyProtection="1">
      <alignment horizontal="center" vertical="center"/>
      <protection hidden="1"/>
    </xf>
    <xf numFmtId="0" fontId="38" fillId="22" borderId="7"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37" fillId="15" borderId="17" xfId="0" applyFont="1" applyFill="1" applyBorder="1" applyAlignment="1" applyProtection="1">
      <alignment horizontal="left" vertical="center" indent="1"/>
      <protection locked="0" hidden="1"/>
    </xf>
    <xf numFmtId="0" fontId="37" fillId="15" borderId="16" xfId="0" applyFont="1" applyFill="1" applyBorder="1" applyAlignment="1" applyProtection="1">
      <alignment horizontal="left" vertical="center" indent="1"/>
      <protection locked="0" hidden="1"/>
    </xf>
    <xf numFmtId="0" fontId="37" fillId="15" borderId="18" xfId="0" applyFont="1" applyFill="1" applyBorder="1" applyAlignment="1" applyProtection="1">
      <alignment horizontal="left" vertical="center" indent="1"/>
      <protection locked="0" hidden="1"/>
    </xf>
    <xf numFmtId="0" fontId="37" fillId="15" borderId="6" xfId="0" applyFont="1" applyFill="1" applyBorder="1" applyAlignment="1" applyProtection="1">
      <alignment horizontal="left" vertical="center" indent="1"/>
      <protection locked="0" hidden="1"/>
    </xf>
    <xf numFmtId="0" fontId="37" fillId="15" borderId="7" xfId="0" applyFont="1" applyFill="1" applyBorder="1" applyAlignment="1" applyProtection="1">
      <alignment horizontal="left" vertical="center" indent="1"/>
      <protection locked="0" hidden="1"/>
    </xf>
    <xf numFmtId="0" fontId="37" fillId="15" borderId="8" xfId="0" applyFont="1" applyFill="1" applyBorder="1" applyAlignment="1" applyProtection="1">
      <alignment horizontal="left" vertical="center" indent="1"/>
      <protection locked="0" hidden="1"/>
    </xf>
    <xf numFmtId="0" fontId="23" fillId="0" borderId="16" xfId="0" applyFont="1" applyBorder="1" applyAlignment="1" applyProtection="1">
      <protection hidden="1"/>
    </xf>
    <xf numFmtId="0" fontId="23" fillId="0" borderId="0" xfId="0" applyFont="1" applyBorder="1" applyAlignment="1" applyProtection="1">
      <protection hidden="1"/>
    </xf>
    <xf numFmtId="14" fontId="47" fillId="0" borderId="0" xfId="0" applyNumberFormat="1" applyFont="1" applyBorder="1" applyAlignment="1" applyProtection="1">
      <alignment horizontal="left"/>
      <protection hidden="1"/>
    </xf>
    <xf numFmtId="0" fontId="41" fillId="21" borderId="58" xfId="0" applyFont="1" applyFill="1" applyBorder="1" applyAlignment="1" applyProtection="1">
      <alignment horizontal="center" vertical="center" wrapText="1"/>
      <protection hidden="1"/>
    </xf>
    <xf numFmtId="0" fontId="41" fillId="21" borderId="31" xfId="0" applyFont="1" applyFill="1" applyBorder="1" applyAlignment="1" applyProtection="1">
      <alignment horizontal="center" vertical="center"/>
      <protection hidden="1"/>
    </xf>
    <xf numFmtId="0" fontId="41" fillId="21" borderId="59" xfId="0" applyFont="1" applyFill="1" applyBorder="1" applyAlignment="1" applyProtection="1">
      <alignment horizontal="center" vertical="center"/>
      <protection hidden="1"/>
    </xf>
    <xf numFmtId="0" fontId="41" fillId="21" borderId="56" xfId="0" applyFont="1" applyFill="1" applyBorder="1" applyAlignment="1" applyProtection="1">
      <alignment horizontal="center" vertical="center"/>
      <protection hidden="1"/>
    </xf>
    <xf numFmtId="0" fontId="41" fillId="21" borderId="30" xfId="0" applyFont="1" applyFill="1" applyBorder="1" applyAlignment="1" applyProtection="1">
      <alignment horizontal="center" vertical="center"/>
      <protection hidden="1"/>
    </xf>
    <xf numFmtId="0" fontId="41" fillId="21" borderId="60" xfId="0" applyFont="1" applyFill="1" applyBorder="1" applyAlignment="1" applyProtection="1">
      <alignment horizontal="center" vertical="center"/>
      <protection hidden="1"/>
    </xf>
    <xf numFmtId="0" fontId="42" fillId="3" borderId="54" xfId="0" applyFont="1" applyFill="1" applyBorder="1" applyAlignment="1" applyProtection="1">
      <alignment horizontal="center" vertical="center"/>
      <protection hidden="1"/>
    </xf>
    <xf numFmtId="0" fontId="24" fillId="0" borderId="12" xfId="0" applyFont="1" applyBorder="1" applyAlignment="1" applyProtection="1">
      <alignment horizontal="left" vertical="center" indent="1"/>
      <protection locked="0" hidden="1"/>
    </xf>
    <xf numFmtId="0" fontId="24" fillId="0" borderId="0" xfId="0" applyFont="1" applyAlignment="1" applyProtection="1">
      <alignment horizontal="left" vertical="center" indent="1"/>
      <protection locked="0" hidden="1"/>
    </xf>
    <xf numFmtId="0" fontId="27" fillId="0" borderId="0" xfId="0" applyFont="1" applyBorder="1" applyAlignment="1" applyProtection="1">
      <alignment horizontal="center" vertical="center"/>
      <protection hidden="1"/>
    </xf>
    <xf numFmtId="0" fontId="27" fillId="0" borderId="0" xfId="0" applyFont="1" applyFill="1" applyBorder="1" applyAlignment="1" applyProtection="1">
      <alignment horizontal="center" vertical="center"/>
      <protection hidden="1"/>
    </xf>
    <xf numFmtId="0" fontId="24" fillId="0" borderId="0" xfId="0" applyFont="1" applyAlignment="1" applyProtection="1">
      <alignment horizontal="left"/>
      <protection hidden="1"/>
    </xf>
    <xf numFmtId="0" fontId="4" fillId="0" borderId="0" xfId="3" applyFont="1" applyFill="1" applyBorder="1" applyAlignment="1"/>
    <xf numFmtId="0" fontId="39" fillId="0" borderId="0" xfId="3" applyNumberFormat="1" applyFont="1" applyFill="1" applyBorder="1" applyAlignment="1"/>
    <xf numFmtId="208" fontId="5" fillId="4" borderId="69" xfId="0" applyNumberFormat="1" applyFont="1" applyFill="1" applyBorder="1" applyAlignment="1">
      <alignment horizontal="centerContinuous" vertical="center"/>
    </xf>
    <xf numFmtId="0" fontId="5" fillId="4" borderId="70" xfId="0" applyFont="1" applyFill="1" applyBorder="1" applyAlignment="1">
      <alignment horizontal="centerContinuous" vertical="center"/>
    </xf>
    <xf numFmtId="20" fontId="5" fillId="4" borderId="70" xfId="0" applyNumberFormat="1" applyFont="1" applyFill="1" applyBorder="1" applyAlignment="1">
      <alignment horizontal="center" vertical="center"/>
    </xf>
    <xf numFmtId="14" fontId="5" fillId="4" borderId="70" xfId="0" applyNumberFormat="1" applyFont="1" applyFill="1" applyBorder="1" applyAlignment="1">
      <alignment horizontal="center" vertical="center"/>
    </xf>
    <xf numFmtId="14" fontId="5" fillId="4" borderId="71" xfId="0" applyNumberFormat="1" applyFont="1" applyFill="1" applyBorder="1" applyAlignment="1">
      <alignment horizontal="center" vertical="center"/>
    </xf>
    <xf numFmtId="208" fontId="5" fillId="4" borderId="75" xfId="0" applyNumberFormat="1" applyFont="1" applyFill="1" applyBorder="1" applyAlignment="1">
      <alignment horizontal="centerContinuous" vertical="center"/>
    </xf>
    <xf numFmtId="0" fontId="5" fillId="4" borderId="76" xfId="0" applyFont="1" applyFill="1" applyBorder="1" applyAlignment="1">
      <alignment horizontal="centerContinuous" vertical="center"/>
    </xf>
    <xf numFmtId="20" fontId="5" fillId="4" borderId="76" xfId="0" applyNumberFormat="1" applyFont="1" applyFill="1" applyBorder="1" applyAlignment="1">
      <alignment horizontal="center" vertical="center"/>
    </xf>
    <xf numFmtId="14" fontId="5" fillId="4" borderId="76" xfId="0" applyNumberFormat="1" applyFont="1" applyFill="1" applyBorder="1" applyAlignment="1">
      <alignment horizontal="center" vertical="center"/>
    </xf>
    <xf numFmtId="14" fontId="5" fillId="4" borderId="77" xfId="0" applyNumberFormat="1" applyFont="1" applyFill="1" applyBorder="1" applyAlignment="1">
      <alignment horizontal="center" vertical="center"/>
    </xf>
    <xf numFmtId="208" fontId="5" fillId="4" borderId="84" xfId="0" applyNumberFormat="1" applyFont="1" applyFill="1" applyBorder="1" applyAlignment="1">
      <alignment horizontal="centerContinuous" vertical="center"/>
    </xf>
    <xf numFmtId="0" fontId="5" fillId="4" borderId="85" xfId="0" applyFont="1" applyFill="1" applyBorder="1" applyAlignment="1">
      <alignment horizontal="centerContinuous" vertical="center"/>
    </xf>
    <xf numFmtId="20" fontId="5" fillId="4" borderId="85" xfId="0" applyNumberFormat="1" applyFont="1" applyFill="1" applyBorder="1" applyAlignment="1">
      <alignment horizontal="center" vertical="center"/>
    </xf>
    <xf numFmtId="14" fontId="5" fillId="4" borderId="85" xfId="0" applyNumberFormat="1" applyFont="1" applyFill="1" applyBorder="1" applyAlignment="1">
      <alignment horizontal="center" vertical="center"/>
    </xf>
    <xf numFmtId="14" fontId="5" fillId="4" borderId="86" xfId="0" applyNumberFormat="1" applyFont="1" applyFill="1" applyBorder="1" applyAlignment="1">
      <alignment horizontal="center" vertical="center"/>
    </xf>
    <xf numFmtId="0" fontId="27" fillId="3" borderId="26" xfId="0" applyFont="1" applyFill="1" applyBorder="1" applyAlignment="1">
      <alignment horizontal="center" vertical="center"/>
    </xf>
    <xf numFmtId="0" fontId="27" fillId="3" borderId="25" xfId="0" applyFont="1" applyFill="1" applyBorder="1" applyAlignment="1">
      <alignment horizontal="center" vertical="center"/>
    </xf>
    <xf numFmtId="0" fontId="27" fillId="3" borderId="35" xfId="0" applyFont="1" applyFill="1" applyBorder="1" applyAlignment="1">
      <alignment horizontal="center" vertical="center"/>
    </xf>
    <xf numFmtId="0" fontId="27" fillId="4" borderId="87" xfId="0" applyFont="1" applyFill="1" applyBorder="1" applyAlignment="1">
      <alignment horizontal="center" vertical="center"/>
    </xf>
    <xf numFmtId="0" fontId="39" fillId="4" borderId="88" xfId="0" applyFont="1" applyFill="1" applyBorder="1" applyAlignment="1">
      <alignment horizontal="center" vertical="center"/>
    </xf>
    <xf numFmtId="0" fontId="27" fillId="4" borderId="88" xfId="0" applyFont="1" applyFill="1" applyBorder="1" applyAlignment="1">
      <alignment horizontal="center" vertical="center"/>
    </xf>
    <xf numFmtId="0" fontId="27" fillId="4" borderId="89" xfId="0" applyFont="1" applyFill="1" applyBorder="1" applyAlignment="1">
      <alignment horizontal="center" vertical="center"/>
    </xf>
    <xf numFmtId="0" fontId="39" fillId="4" borderId="90" xfId="0" applyFont="1" applyFill="1" applyBorder="1" applyAlignment="1">
      <alignment horizontal="center" vertical="center"/>
    </xf>
    <xf numFmtId="0" fontId="39" fillId="4" borderId="91" xfId="0" applyFont="1" applyFill="1" applyBorder="1" applyAlignment="1">
      <alignment horizontal="center" vertical="center"/>
    </xf>
    <xf numFmtId="0" fontId="27" fillId="4" borderId="90" xfId="0" applyFont="1" applyFill="1" applyBorder="1" applyAlignment="1">
      <alignment horizontal="center" vertical="center"/>
    </xf>
    <xf numFmtId="0" fontId="27" fillId="4" borderId="91" xfId="0" applyFont="1" applyFill="1" applyBorder="1" applyAlignment="1">
      <alignment horizontal="center" vertical="center"/>
    </xf>
    <xf numFmtId="0" fontId="27" fillId="4" borderId="92" xfId="0" applyFont="1" applyFill="1" applyBorder="1" applyAlignment="1">
      <alignment horizontal="center" vertical="center"/>
    </xf>
    <xf numFmtId="0" fontId="26" fillId="4" borderId="93" xfId="0" applyFont="1" applyFill="1" applyBorder="1" applyAlignment="1">
      <alignment horizontal="center" vertical="center"/>
    </xf>
    <xf numFmtId="0" fontId="26" fillId="4" borderId="94" xfId="0" quotePrefix="1" applyFont="1" applyFill="1" applyBorder="1" applyAlignment="1">
      <alignment horizontal="center" vertical="center"/>
    </xf>
    <xf numFmtId="0" fontId="26" fillId="4" borderId="94" xfId="0" applyFont="1" applyFill="1" applyBorder="1" applyAlignment="1">
      <alignment horizontal="center" vertical="center"/>
    </xf>
    <xf numFmtId="0" fontId="27" fillId="4" borderId="93" xfId="0" applyFont="1" applyFill="1" applyBorder="1" applyAlignment="1">
      <alignment horizontal="center" vertical="center"/>
    </xf>
    <xf numFmtId="0" fontId="27" fillId="4" borderId="94" xfId="0" applyFont="1" applyFill="1" applyBorder="1" applyAlignment="1">
      <alignment horizontal="center" vertical="center"/>
    </xf>
    <xf numFmtId="0" fontId="27" fillId="4" borderId="95" xfId="0" applyFont="1" applyFill="1" applyBorder="1" applyAlignment="1">
      <alignment horizontal="center" vertical="center"/>
    </xf>
    <xf numFmtId="0" fontId="64" fillId="4" borderId="87" xfId="0" applyFont="1" applyFill="1" applyBorder="1" applyAlignment="1">
      <alignment horizontal="center" vertical="center"/>
    </xf>
    <xf numFmtId="0" fontId="39" fillId="4" borderId="93" xfId="0" applyFont="1" applyFill="1" applyBorder="1" applyAlignment="1">
      <alignment horizontal="center" vertical="center"/>
    </xf>
    <xf numFmtId="0" fontId="65" fillId="14" borderId="26" xfId="0" applyFont="1" applyFill="1" applyBorder="1" applyAlignment="1">
      <alignment horizontal="center"/>
    </xf>
    <xf numFmtId="0" fontId="65" fillId="14" borderId="25" xfId="0" applyFont="1" applyFill="1" applyBorder="1" applyAlignment="1">
      <alignment horizontal="center"/>
    </xf>
    <xf numFmtId="0" fontId="65" fillId="14" borderId="25" xfId="0" applyFont="1" applyFill="1" applyBorder="1" applyAlignment="1">
      <alignment horizontal="center"/>
    </xf>
    <xf numFmtId="0" fontId="27" fillId="14" borderId="26" xfId="0" applyFont="1" applyFill="1" applyBorder="1" applyAlignment="1">
      <alignment horizontal="center"/>
    </xf>
    <xf numFmtId="0" fontId="27" fillId="14" borderId="25" xfId="0" applyFont="1" applyFill="1" applyBorder="1" applyAlignment="1">
      <alignment horizontal="center"/>
    </xf>
    <xf numFmtId="0" fontId="27" fillId="14" borderId="35" xfId="0" applyFont="1" applyFill="1" applyBorder="1" applyAlignment="1">
      <alignment horizontal="center"/>
    </xf>
    <xf numFmtId="0" fontId="4" fillId="2" borderId="0" xfId="0" applyFont="1" applyFill="1" applyBorder="1" applyAlignment="1">
      <alignment horizontal="left" vertical="center"/>
    </xf>
    <xf numFmtId="0" fontId="0" fillId="2" borderId="0" xfId="0" applyFill="1" applyBorder="1"/>
    <xf numFmtId="0" fontId="4" fillId="2" borderId="12" xfId="0" applyFont="1" applyFill="1" applyBorder="1" applyAlignment="1">
      <alignment horizontal="left" vertical="center"/>
    </xf>
    <xf numFmtId="0" fontId="61" fillId="2" borderId="12" xfId="0" applyFont="1" applyFill="1" applyBorder="1" applyAlignment="1">
      <alignment horizontal="left" vertical="center" wrapText="1" indent="1"/>
    </xf>
    <xf numFmtId="0" fontId="61" fillId="2" borderId="0" xfId="0" applyFont="1"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12" xfId="0" applyFill="1" applyBorder="1" applyAlignment="1">
      <alignment horizontal="left" vertical="center" wrapText="1" indent="1"/>
    </xf>
    <xf numFmtId="0" fontId="62" fillId="2" borderId="12" xfId="0" applyFont="1" applyFill="1" applyBorder="1" applyAlignment="1">
      <alignment horizontal="left" indent="1"/>
    </xf>
    <xf numFmtId="0" fontId="62" fillId="2" borderId="0" xfId="0" applyFont="1" applyFill="1" applyBorder="1" applyAlignment="1">
      <alignment horizontal="left" indent="1"/>
    </xf>
    <xf numFmtId="0" fontId="0" fillId="2" borderId="0" xfId="0" applyFill="1" applyBorder="1" applyAlignment="1">
      <alignment horizontal="left" indent="1"/>
    </xf>
    <xf numFmtId="0" fontId="39" fillId="2" borderId="0" xfId="0" applyFont="1" applyFill="1" applyBorder="1" applyAlignment="1">
      <alignment horizontal="left" indent="1"/>
    </xf>
    <xf numFmtId="0" fontId="63" fillId="2" borderId="12" xfId="0" applyFont="1" applyFill="1" applyBorder="1" applyAlignment="1">
      <alignment horizontal="left" indent="1"/>
    </xf>
    <xf numFmtId="0" fontId="63" fillId="2" borderId="0" xfId="0" applyFont="1" applyFill="1" applyBorder="1" applyAlignment="1">
      <alignment horizontal="left" indent="1"/>
    </xf>
    <xf numFmtId="0" fontId="39" fillId="2" borderId="12" xfId="0" applyFont="1" applyFill="1" applyBorder="1" applyAlignment="1">
      <alignment horizontal="left" indent="1"/>
    </xf>
    <xf numFmtId="0" fontId="0" fillId="2" borderId="12" xfId="0" applyFill="1" applyBorder="1" applyAlignment="1">
      <alignment horizontal="left" indent="1"/>
    </xf>
    <xf numFmtId="0" fontId="0" fillId="2" borderId="0" xfId="0" applyFill="1" applyBorder="1" applyAlignment="1">
      <alignment horizontal="left" indent="1"/>
    </xf>
    <xf numFmtId="0" fontId="62" fillId="2" borderId="12" xfId="0" applyFont="1" applyFill="1" applyBorder="1" applyAlignment="1">
      <alignment horizontal="left" vertical="center" indent="1"/>
    </xf>
    <xf numFmtId="0" fontId="27" fillId="2" borderId="0" xfId="0" applyFont="1" applyFill="1" applyBorder="1" applyAlignment="1">
      <alignment horizontal="left" vertical="center" indent="1"/>
    </xf>
    <xf numFmtId="0" fontId="39" fillId="2" borderId="0" xfId="0" applyFont="1" applyFill="1" applyBorder="1" applyAlignment="1">
      <alignment horizontal="left" vertical="center"/>
    </xf>
    <xf numFmtId="0" fontId="0" fillId="0" borderId="0" xfId="0" applyBorder="1" applyAlignment="1">
      <alignment horizontal="left"/>
    </xf>
    <xf numFmtId="0" fontId="27" fillId="2" borderId="12" xfId="0" applyFont="1" applyFill="1" applyBorder="1" applyAlignment="1">
      <alignment horizontal="left" vertical="center" indent="1"/>
    </xf>
    <xf numFmtId="0" fontId="27" fillId="2" borderId="0" xfId="0" applyFont="1" applyFill="1" applyBorder="1" applyAlignment="1">
      <alignment horizontal="left" vertical="center" indent="1"/>
    </xf>
    <xf numFmtId="0" fontId="39" fillId="2" borderId="12" xfId="0" applyFont="1" applyFill="1" applyBorder="1"/>
    <xf numFmtId="0" fontId="39" fillId="2" borderId="0" xfId="0" applyFont="1" applyFill="1" applyBorder="1"/>
    <xf numFmtId="0" fontId="27" fillId="2" borderId="0" xfId="0" applyFont="1" applyFill="1" applyBorder="1" applyAlignment="1">
      <alignment horizontal="center"/>
    </xf>
    <xf numFmtId="0" fontId="39" fillId="2" borderId="0" xfId="0" applyFont="1" applyFill="1" applyBorder="1" applyAlignment="1">
      <alignment horizontal="center"/>
    </xf>
    <xf numFmtId="0" fontId="53" fillId="2" borderId="12" xfId="0" applyFont="1" applyFill="1" applyBorder="1" applyAlignment="1">
      <alignment horizontal="left" indent="1"/>
    </xf>
    <xf numFmtId="0" fontId="53" fillId="2" borderId="0" xfId="0" applyFont="1" applyFill="1" applyBorder="1" applyAlignment="1">
      <alignment horizontal="left" indent="1"/>
    </xf>
    <xf numFmtId="0" fontId="63" fillId="2" borderId="12" xfId="0" applyFont="1" applyFill="1" applyBorder="1" applyAlignment="1">
      <alignment horizontal="left" indent="1"/>
    </xf>
    <xf numFmtId="0" fontId="27" fillId="2" borderId="12" xfId="0" applyFont="1" applyFill="1" applyBorder="1" applyAlignment="1">
      <alignment horizontal="right"/>
    </xf>
    <xf numFmtId="0" fontId="27" fillId="2" borderId="0" xfId="0" applyFont="1" applyFill="1" applyBorder="1" applyAlignment="1">
      <alignment horizontal="right"/>
    </xf>
    <xf numFmtId="0" fontId="39" fillId="2" borderId="0" xfId="0" applyFont="1" applyFill="1" applyBorder="1" applyAlignment="1">
      <alignment horizontal="center"/>
    </xf>
    <xf numFmtId="0" fontId="0" fillId="0" borderId="0" xfId="0" applyBorder="1"/>
    <xf numFmtId="0" fontId="27" fillId="2" borderId="0" xfId="0" applyFont="1" applyFill="1" applyBorder="1" applyAlignment="1">
      <alignment horizontal="center" vertical="top"/>
    </xf>
    <xf numFmtId="0" fontId="58" fillId="2" borderId="0" xfId="0" applyFont="1" applyFill="1" applyBorder="1" applyAlignment="1">
      <alignment horizontal="center"/>
    </xf>
    <xf numFmtId="0" fontId="27" fillId="2" borderId="0" xfId="0" applyFont="1" applyFill="1" applyBorder="1" applyAlignment="1">
      <alignment horizontal="left"/>
    </xf>
    <xf numFmtId="0" fontId="26" fillId="2" borderId="0" xfId="0" quotePrefix="1" applyFont="1" applyFill="1" applyBorder="1" applyAlignment="1">
      <alignment horizontal="center"/>
    </xf>
    <xf numFmtId="0" fontId="27" fillId="2" borderId="0" xfId="0" applyFont="1" applyFill="1" applyBorder="1"/>
    <xf numFmtId="0" fontId="0" fillId="2" borderId="12" xfId="0" applyFill="1" applyBorder="1"/>
    <xf numFmtId="0" fontId="29" fillId="2" borderId="12" xfId="0" applyFont="1" applyFill="1" applyBorder="1" applyAlignment="1">
      <alignment horizontal="left" vertical="center" indent="1"/>
    </xf>
    <xf numFmtId="0" fontId="0" fillId="2" borderId="0" xfId="0" applyFill="1" applyBorder="1" applyAlignment="1">
      <alignment horizontal="left" vertical="center" indent="1"/>
    </xf>
    <xf numFmtId="0" fontId="0" fillId="2" borderId="12" xfId="0" applyFill="1" applyBorder="1" applyAlignment="1">
      <alignment horizontal="left" vertical="center" indent="1"/>
    </xf>
    <xf numFmtId="0" fontId="66" fillId="2" borderId="12" xfId="0" applyFont="1" applyFill="1" applyBorder="1" applyAlignment="1">
      <alignment horizontal="left" indent="1"/>
    </xf>
    <xf numFmtId="0" fontId="66" fillId="2" borderId="0" xfId="0" applyFont="1" applyFill="1" applyBorder="1" applyAlignment="1">
      <alignment horizontal="center"/>
    </xf>
    <xf numFmtId="0" fontId="67" fillId="2" borderId="0" xfId="0" applyFont="1" applyFill="1" applyBorder="1" applyAlignment="1">
      <alignment horizontal="left" indent="3"/>
    </xf>
    <xf numFmtId="0" fontId="63" fillId="2" borderId="12" xfId="0" applyFont="1" applyFill="1" applyBorder="1" applyAlignment="1">
      <alignment horizontal="right"/>
    </xf>
    <xf numFmtId="212" fontId="63" fillId="2" borderId="0" xfId="0" applyNumberFormat="1" applyFont="1" applyFill="1" applyBorder="1" applyAlignment="1">
      <alignment horizontal="center"/>
    </xf>
    <xf numFmtId="0" fontId="29" fillId="2" borderId="0" xfId="0" applyFont="1" applyFill="1" applyBorder="1" applyAlignment="1">
      <alignment horizontal="left" vertical="center" wrapText="1" indent="3"/>
    </xf>
    <xf numFmtId="0" fontId="0" fillId="2" borderId="0" xfId="0" applyFill="1" applyBorder="1" applyAlignment="1">
      <alignment horizontal="left" vertical="center" wrapText="1" indent="3"/>
    </xf>
    <xf numFmtId="213" fontId="63" fillId="2" borderId="0" xfId="0" applyNumberFormat="1" applyFont="1" applyFill="1" applyBorder="1" applyAlignment="1">
      <alignment horizontal="center"/>
    </xf>
    <xf numFmtId="0" fontId="0" fillId="2" borderId="0" xfId="0" applyFill="1" applyBorder="1" applyAlignment="1">
      <alignment horizontal="left" vertical="center" indent="3"/>
    </xf>
    <xf numFmtId="0" fontId="62" fillId="2" borderId="12" xfId="0" applyFont="1" applyFill="1" applyBorder="1" applyAlignment="1">
      <alignment horizontal="left" indent="1"/>
    </xf>
    <xf numFmtId="0" fontId="62" fillId="2" borderId="0" xfId="0" applyFont="1" applyFill="1" applyBorder="1" applyAlignment="1">
      <alignment horizontal="left" indent="1"/>
    </xf>
    <xf numFmtId="0" fontId="39" fillId="2" borderId="12" xfId="0" applyFont="1" applyFill="1" applyBorder="1" applyAlignment="1">
      <alignment horizontal="left" indent="1"/>
    </xf>
    <xf numFmtId="0" fontId="39" fillId="2" borderId="0" xfId="0" applyFont="1" applyFill="1" applyBorder="1" applyAlignment="1">
      <alignment horizontal="left" indent="1"/>
    </xf>
    <xf numFmtId="0" fontId="37" fillId="2" borderId="57" xfId="0" applyFont="1" applyFill="1" applyBorder="1" applyAlignment="1">
      <alignment horizontal="left" vertical="center" indent="1"/>
    </xf>
    <xf numFmtId="0" fontId="4" fillId="2" borderId="31" xfId="0" applyFont="1" applyFill="1" applyBorder="1" applyAlignment="1">
      <alignment horizontal="left" vertical="center"/>
    </xf>
    <xf numFmtId="0" fontId="0" fillId="2" borderId="31" xfId="0" applyFill="1" applyBorder="1"/>
    <xf numFmtId="0" fontId="0" fillId="2" borderId="49" xfId="0" applyFill="1" applyBorder="1"/>
    <xf numFmtId="0" fontId="0" fillId="2" borderId="30" xfId="0" applyFill="1" applyBorder="1"/>
    <xf numFmtId="0" fontId="0" fillId="2" borderId="55" xfId="0" applyFill="1" applyBorder="1"/>
    <xf numFmtId="0" fontId="0" fillId="2" borderId="13" xfId="0" applyFill="1" applyBorder="1"/>
    <xf numFmtId="0" fontId="0" fillId="2" borderId="50" xfId="0" applyFill="1" applyBorder="1"/>
    <xf numFmtId="0" fontId="0" fillId="3" borderId="0" xfId="0" applyFill="1" applyBorder="1" applyAlignment="1" applyProtection="1">
      <alignment horizontal="center" vertical="center"/>
      <protection hidden="1"/>
    </xf>
    <xf numFmtId="0" fontId="0" fillId="3" borderId="13" xfId="0" applyFill="1" applyBorder="1" applyAlignment="1" applyProtection="1">
      <alignment horizontal="center" vertical="center"/>
      <protection hidden="1"/>
    </xf>
    <xf numFmtId="0" fontId="41" fillId="4" borderId="62" xfId="0" applyFont="1" applyFill="1" applyBorder="1" applyAlignment="1" applyProtection="1">
      <alignment horizontal="left" vertical="center"/>
      <protection locked="0" hidden="1"/>
    </xf>
    <xf numFmtId="0" fontId="0" fillId="0" borderId="63" xfId="0" applyBorder="1" applyAlignment="1" applyProtection="1">
      <alignment horizontal="left" vertical="center"/>
      <protection locked="0" hidden="1"/>
    </xf>
    <xf numFmtId="0" fontId="0" fillId="0" borderId="64" xfId="0" applyBorder="1" applyAlignment="1" applyProtection="1">
      <alignment horizontal="left" vertical="center"/>
      <protection locked="0" hidden="1"/>
    </xf>
    <xf numFmtId="0" fontId="40" fillId="4" borderId="65" xfId="0" applyFont="1" applyFill="1" applyBorder="1" applyAlignment="1" applyProtection="1">
      <alignment horizontal="center"/>
      <protection hidden="1"/>
    </xf>
    <xf numFmtId="0" fontId="40" fillId="4" borderId="66" xfId="0" applyFont="1" applyFill="1" applyBorder="1" applyAlignment="1" applyProtection="1">
      <alignment horizontal="center"/>
      <protection hidden="1"/>
    </xf>
    <xf numFmtId="0" fontId="40" fillId="4" borderId="67" xfId="0" applyFont="1" applyFill="1" applyBorder="1" applyAlignment="1" applyProtection="1">
      <alignment horizontal="center"/>
      <protection hidden="1"/>
    </xf>
    <xf numFmtId="0" fontId="40" fillId="4" borderId="69" xfId="0" applyFont="1" applyFill="1" applyBorder="1" applyAlignment="1" applyProtection="1">
      <alignment horizontal="center"/>
      <protection hidden="1"/>
    </xf>
    <xf numFmtId="0" fontId="40" fillId="4" borderId="70" xfId="0" applyFont="1" applyFill="1" applyBorder="1" applyAlignment="1" applyProtection="1">
      <alignment horizontal="center"/>
      <protection hidden="1"/>
    </xf>
    <xf numFmtId="0" fontId="40" fillId="4" borderId="71" xfId="0" applyFont="1" applyFill="1" applyBorder="1" applyAlignment="1" applyProtection="1">
      <alignment horizontal="center"/>
      <protection hidden="1"/>
    </xf>
    <xf numFmtId="0" fontId="40" fillId="4" borderId="72" xfId="0" applyFont="1" applyFill="1" applyBorder="1" applyAlignment="1" applyProtection="1">
      <alignment horizontal="center"/>
      <protection hidden="1"/>
    </xf>
    <xf numFmtId="0" fontId="40" fillId="4" borderId="73" xfId="0" applyFont="1" applyFill="1" applyBorder="1" applyAlignment="1" applyProtection="1">
      <alignment horizontal="center"/>
      <protection hidden="1"/>
    </xf>
    <xf numFmtId="0" fontId="40" fillId="4" borderId="74" xfId="0" applyFont="1" applyFill="1" applyBorder="1" applyAlignment="1" applyProtection="1">
      <alignment horizontal="center"/>
      <protection hidden="1"/>
    </xf>
    <xf numFmtId="0" fontId="40" fillId="4" borderId="75" xfId="0" applyFont="1" applyFill="1" applyBorder="1" applyAlignment="1" applyProtection="1">
      <alignment horizontal="center"/>
      <protection hidden="1"/>
    </xf>
    <xf numFmtId="0" fontId="40" fillId="4" borderId="76" xfId="0" applyFont="1" applyFill="1" applyBorder="1" applyAlignment="1" applyProtection="1">
      <alignment horizontal="center"/>
      <protection hidden="1"/>
    </xf>
    <xf numFmtId="0" fontId="40" fillId="4" borderId="77" xfId="0" applyFont="1" applyFill="1" applyBorder="1" applyAlignment="1" applyProtection="1">
      <alignment horizontal="center"/>
      <protection hidden="1"/>
    </xf>
    <xf numFmtId="0" fontId="40" fillId="4" borderId="80" xfId="0" applyFont="1" applyFill="1" applyBorder="1" applyAlignment="1" applyProtection="1">
      <alignment horizontal="center"/>
      <protection hidden="1"/>
    </xf>
    <xf numFmtId="0" fontId="40" fillId="4" borderId="81" xfId="0" applyFont="1" applyFill="1" applyBorder="1" applyAlignment="1" applyProtection="1">
      <alignment horizontal="center"/>
      <protection hidden="1"/>
    </xf>
    <xf numFmtId="0" fontId="40" fillId="4" borderId="82" xfId="0" applyFont="1" applyFill="1" applyBorder="1" applyAlignment="1" applyProtection="1">
      <alignment horizontal="center"/>
      <protection hidden="1"/>
    </xf>
    <xf numFmtId="0" fontId="40" fillId="4" borderId="26" xfId="0" applyFont="1" applyFill="1" applyBorder="1" applyAlignment="1" applyProtection="1">
      <alignment horizontal="center"/>
      <protection hidden="1"/>
    </xf>
    <xf numFmtId="0" fontId="40" fillId="4" borderId="25" xfId="0" applyFont="1" applyFill="1" applyBorder="1" applyAlignment="1" applyProtection="1">
      <alignment horizontal="center"/>
      <protection hidden="1"/>
    </xf>
    <xf numFmtId="0" fontId="40" fillId="4" borderId="35" xfId="0" applyFont="1" applyFill="1" applyBorder="1" applyAlignment="1" applyProtection="1">
      <alignment horizontal="center"/>
      <protection hidden="1"/>
    </xf>
    <xf numFmtId="0" fontId="40" fillId="3" borderId="27" xfId="0" applyFont="1" applyFill="1" applyBorder="1" applyAlignment="1" applyProtection="1">
      <alignment horizontal="center"/>
      <protection hidden="1"/>
    </xf>
  </cellXfs>
  <cellStyles count="6">
    <cellStyle name="Hyperlink_emtf_m1" xfId="2" xr:uid="{211CA4CE-573F-4DAA-9929-63BC50906D8E}"/>
    <cellStyle name="Link" xfId="1" builtinId="8"/>
    <cellStyle name="Standard" xfId="0" builtinId="0"/>
    <cellStyle name="Standard_offen_wm2014xxl_140714b" xfId="3" xr:uid="{8A6C413E-77D5-4A13-8AD3-02B642547306}"/>
    <cellStyle name="Standard_tfwm14_m1" xfId="4" xr:uid="{E2C1DCA6-2BD0-4554-9E3D-DDDBAC73B43A}"/>
    <cellStyle name="Standard_wm2014xxl_140714b" xfId="5" xr:uid="{EDAC3C10-3656-4F11-8796-883CE6C4F7AE}"/>
  </cellStyles>
  <dxfs count="52">
    <dxf>
      <font>
        <b/>
        <i val="0"/>
        <condense val="0"/>
        <extend val="0"/>
        <color indexed="9"/>
      </font>
      <fill>
        <patternFill>
          <bgColor indexed="10"/>
        </patternFill>
      </fill>
    </dxf>
    <dxf>
      <font>
        <b/>
        <i val="0"/>
        <strike/>
        <condense val="0"/>
        <extend val="0"/>
        <color indexed="60"/>
      </font>
    </dxf>
    <dxf>
      <font>
        <b/>
        <i/>
        <strike val="0"/>
        <condense val="0"/>
        <extend val="0"/>
        <color indexed="10"/>
      </font>
    </dxf>
    <dxf>
      <font>
        <b val="0"/>
        <i/>
        <strike val="0"/>
        <condense val="0"/>
        <extend val="0"/>
        <color indexed="63"/>
      </font>
    </dxf>
    <dxf>
      <font>
        <b val="0"/>
        <i/>
        <condense val="0"/>
        <extend val="0"/>
        <color indexed="10"/>
      </font>
    </dxf>
    <dxf>
      <font>
        <b val="0"/>
        <i/>
        <strike val="0"/>
        <condense val="0"/>
        <extend val="0"/>
        <color indexed="63"/>
      </font>
    </dxf>
    <dxf>
      <font>
        <b val="0"/>
        <i/>
        <condense val="0"/>
        <extend val="0"/>
        <color indexed="10"/>
      </font>
    </dxf>
    <dxf>
      <font>
        <b val="0"/>
        <i/>
        <condense val="0"/>
        <extend val="0"/>
        <color indexed="16"/>
      </font>
    </dxf>
    <dxf>
      <font>
        <condense val="0"/>
        <extend val="0"/>
        <color indexed="8"/>
      </font>
      <fill>
        <patternFill patternType="none">
          <bgColor indexed="65"/>
        </patternFill>
      </fill>
      <border>
        <left/>
        <right/>
        <top/>
        <bottom/>
      </border>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29"/>
        </patternFill>
      </fill>
    </dxf>
    <dxf>
      <fill>
        <patternFill>
          <bgColor indexed="50"/>
        </patternFill>
      </fill>
    </dxf>
    <dxf>
      <fill>
        <patternFill>
          <bgColor indexed="51"/>
        </patternFill>
      </fill>
    </dxf>
    <dxf>
      <fill>
        <patternFill>
          <bgColor indexed="51"/>
        </patternFill>
      </fill>
    </dxf>
    <dxf>
      <fill>
        <patternFill>
          <bgColor indexed="29"/>
        </patternFill>
      </fill>
    </dxf>
    <dxf>
      <fill>
        <patternFill>
          <bgColor indexed="50"/>
        </patternFill>
      </fill>
    </dxf>
    <dxf>
      <font>
        <b/>
        <i/>
        <condense val="0"/>
        <extend val="0"/>
        <color indexed="10"/>
      </font>
    </dxf>
    <dxf>
      <fill>
        <patternFill>
          <bgColor indexed="29"/>
        </patternFill>
      </fill>
    </dxf>
    <dxf>
      <fill>
        <patternFill>
          <bgColor indexed="50"/>
        </patternFill>
      </fill>
    </dxf>
    <dxf>
      <font>
        <b/>
        <i val="0"/>
        <condense val="0"/>
        <extend val="0"/>
        <color indexed="9"/>
      </font>
      <fill>
        <patternFill>
          <bgColor indexed="10"/>
        </patternFill>
      </fill>
    </dxf>
    <dxf>
      <fill>
        <patternFill>
          <bgColor indexed="14"/>
        </patternFill>
      </fill>
    </dxf>
    <dxf>
      <font>
        <condense val="0"/>
        <extend val="0"/>
        <color indexed="9"/>
      </font>
      <fill>
        <patternFill>
          <bgColor indexed="10"/>
        </patternFill>
      </fill>
    </dxf>
    <dxf>
      <font>
        <b val="0"/>
        <i/>
        <condense val="0"/>
        <extend val="0"/>
        <color indexed="10"/>
      </font>
    </dxf>
    <dxf>
      <font>
        <b val="0"/>
        <i/>
        <condense val="0"/>
        <extend val="0"/>
        <color indexed="10"/>
      </font>
    </dxf>
    <dxf>
      <font>
        <condense val="0"/>
        <extend val="0"/>
        <color indexed="9"/>
      </font>
      <fill>
        <patternFill>
          <bgColor indexed="10"/>
        </patternFill>
      </fill>
    </dxf>
    <dxf>
      <font>
        <b val="0"/>
        <i/>
        <condense val="0"/>
        <extend val="0"/>
        <color indexed="10"/>
      </font>
    </dxf>
    <dxf>
      <font>
        <condense val="0"/>
        <extend val="0"/>
        <color indexed="16"/>
      </font>
    </dxf>
    <dxf>
      <font>
        <b/>
        <i/>
        <strike val="0"/>
        <condense val="0"/>
        <extend val="0"/>
        <color indexed="10"/>
      </font>
    </dxf>
    <dxf>
      <fill>
        <patternFill patternType="none">
          <bgColor indexed="65"/>
        </patternFill>
      </fill>
      <border>
        <left/>
        <right/>
        <top/>
        <bottom/>
      </border>
    </dxf>
    <dxf>
      <font>
        <b val="0"/>
        <i/>
        <condense val="0"/>
        <extend val="0"/>
        <color indexed="16"/>
      </font>
    </dxf>
    <dxf>
      <font>
        <b val="0"/>
        <i/>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AFAFA"/>
      <rgbColor rgb="00FF0000"/>
      <rgbColor rgb="0081D5EF"/>
      <rgbColor rgb="000000FF"/>
      <rgbColor rgb="00FFFF00"/>
      <rgbColor rgb="00FF00FF"/>
      <rgbColor rgb="009AE6C4"/>
      <rgbColor rgb="00800000"/>
      <rgbColor rgb="00008000"/>
      <rgbColor rgb="00000080"/>
      <rgbColor rgb="00808000"/>
      <rgbColor rgb="002E002E"/>
      <rgbColor rgb="00B7D1F7"/>
      <rgbColor rgb="00DDDDDD"/>
      <rgbColor rgb="00808080"/>
      <rgbColor rgb="00E8E3C2"/>
      <rgbColor rgb="00FFFFFF"/>
      <rgbColor rgb="00EAF3E9"/>
      <rgbColor rgb="00E8EBE1"/>
      <rgbColor rgb="00660066"/>
      <rgbColor rgb="00F8BAAE"/>
      <rgbColor rgb="00FFFFA7"/>
      <rgbColor rgb="00ECEBED"/>
      <rgbColor rgb="00EDE6B1"/>
      <rgbColor rgb="00E7E6DB"/>
      <rgbColor rgb="00DADCE2"/>
      <rgbColor rgb="00E4EAF4"/>
      <rgbColor rgb="00F2EEA4"/>
      <rgbColor rgb="0018261C"/>
      <rgbColor rgb="00CDCCC5"/>
      <rgbColor rgb="00F2F1EE"/>
      <rgbColor rgb="00E1E4D4"/>
      <rgbColor rgb="00C6ECDF"/>
      <rgbColor rgb="00FF9966"/>
      <rgbColor rgb="00EDDB97"/>
      <rgbColor rgb="007DBEFF"/>
      <rgbColor rgb="00F7E2A7"/>
      <rgbColor rgb="00CC99FF"/>
      <rgbColor rgb="00FFCC99"/>
      <rgbColor rgb="003B6AFF"/>
      <rgbColor rgb="00AAC0F0"/>
      <rgbColor rgb="00B2F8CE"/>
      <rgbColor rgb="00EEDE7E"/>
      <rgbColor rgb="00FF9900"/>
      <rgbColor rgb="00FF6F0D"/>
      <rgbColor rgb="00573937"/>
      <rgbColor rgb="00969696"/>
      <rgbColor rgb="00003366"/>
      <rgbColor rgb="0061CB96"/>
      <rgbColor rgb="00003300"/>
      <rgbColor rgb="000F5517"/>
      <rgbColor rgb="00993300"/>
      <rgbColor rgb="00993366"/>
      <rgbColor rgb="002E2E8A"/>
      <rgbColor rgb="0037373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24</xdr:col>
          <xdr:colOff>25400</xdr:colOff>
          <xdr:row>177</xdr:row>
          <xdr:rowOff>25400</xdr:rowOff>
        </xdr:from>
        <xdr:to>
          <xdr:col>29</xdr:col>
          <xdr:colOff>568960</xdr:colOff>
          <xdr:row>177</xdr:row>
          <xdr:rowOff>302260</xdr:rowOff>
        </xdr:to>
        <xdr:sp macro="" textlink="">
          <xdr:nvSpPr>
            <xdr:cNvPr id="1025" name="cobo_tsk" hidden="1">
              <a:extLst>
                <a:ext uri="{63B3BB69-23CF-44E3-9099-C40C66FF867C}">
                  <a14:compatExt spid="_x0000_s1025"/>
                </a:ext>
                <a:ext uri="{FF2B5EF4-FFF2-40B4-BE49-F238E27FC236}">
                  <a16:creationId xmlns:a16="http://schemas.microsoft.com/office/drawing/2014/main" id="{8F9B7829-9D47-C60F-AFBD-6675E2B5F99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control" Target="../activeX/activeX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8CF13-4F17-4AE0-80AD-849CE30327A6}">
  <sheetPr codeName="Tabelle6">
    <pageSetUpPr autoPageBreaks="0" fitToPage="1"/>
  </sheetPr>
  <dimension ref="A1:AA104"/>
  <sheetViews>
    <sheetView showGridLines="0" showRowColHeaders="0" topLeftCell="B1" zoomScale="112" workbookViewId="0">
      <pane ySplit="7" topLeftCell="A8" activePane="bottomLeft" state="frozen"/>
      <selection activeCell="M35" sqref="M35"/>
      <selection pane="bottomLeft" activeCell="C6" sqref="C6:Q7"/>
    </sheetView>
  </sheetViews>
  <sheetFormatPr baseColWidth="10" defaultColWidth="11.375" defaultRowHeight="11.4" x14ac:dyDescent="0.2"/>
  <cols>
    <col min="1" max="1" width="0" style="1" hidden="1" customWidth="1"/>
    <col min="2" max="2" width="0.875" style="1" customWidth="1"/>
    <col min="3" max="3" width="3.75" style="1" customWidth="1"/>
    <col min="4" max="14" width="11.375" style="1"/>
    <col min="15" max="15" width="15.75" style="1" customWidth="1"/>
    <col min="16" max="16" width="6.75" style="1" customWidth="1"/>
    <col min="17" max="17" width="3.75" style="1" customWidth="1"/>
    <col min="18" max="26" width="11.375" style="1"/>
    <col min="27" max="27" width="0" style="1" hidden="1" customWidth="1"/>
    <col min="28" max="16384" width="11.375" style="1"/>
  </cols>
  <sheetData>
    <row r="1" spans="1:27" ht="12.9" customHeight="1" x14ac:dyDescent="0.2">
      <c r="A1" s="1" t="s">
        <v>765</v>
      </c>
      <c r="C1" s="2" t="s">
        <v>236</v>
      </c>
      <c r="H1" s="2"/>
      <c r="M1" s="403" t="s">
        <v>766</v>
      </c>
      <c r="N1" s="403"/>
      <c r="O1" s="4" t="s">
        <v>767</v>
      </c>
      <c r="P1" s="4"/>
      <c r="AA1" s="5" t="s">
        <v>765</v>
      </c>
    </row>
    <row r="2" spans="1:27" ht="12.9" customHeight="1" x14ac:dyDescent="0.2">
      <c r="M2" s="403" t="s">
        <v>768</v>
      </c>
      <c r="N2" s="403"/>
      <c r="O2" t="s">
        <v>237</v>
      </c>
      <c r="P2" s="4"/>
    </row>
    <row r="3" spans="1:27" customFormat="1" ht="12.9" customHeight="1" x14ac:dyDescent="0.2">
      <c r="D3" t="s">
        <v>215</v>
      </c>
      <c r="F3" s="414" t="s">
        <v>749</v>
      </c>
      <c r="G3" s="414"/>
      <c r="H3" s="414" t="s">
        <v>218</v>
      </c>
      <c r="I3" s="414"/>
      <c r="J3" s="415" t="s">
        <v>217</v>
      </c>
      <c r="K3" s="415"/>
    </row>
    <row r="4" spans="1:27" ht="6" customHeight="1" x14ac:dyDescent="0.2">
      <c r="C4" s="6"/>
      <c r="I4"/>
      <c r="J4"/>
      <c r="K4" s="3"/>
      <c r="L4" s="4"/>
      <c r="M4" s="4"/>
    </row>
    <row r="5" spans="1:27" ht="12" thickBot="1" x14ac:dyDescent="0.25">
      <c r="I5"/>
      <c r="J5"/>
    </row>
    <row r="6" spans="1:27" x14ac:dyDescent="0.2">
      <c r="C6" s="405" t="s">
        <v>769</v>
      </c>
      <c r="D6" s="406"/>
      <c r="E6" s="406"/>
      <c r="F6" s="406"/>
      <c r="G6" s="406"/>
      <c r="H6" s="406"/>
      <c r="I6" s="406"/>
      <c r="J6" s="406"/>
      <c r="K6" s="406"/>
      <c r="L6" s="406"/>
      <c r="M6" s="406"/>
      <c r="N6" s="406"/>
      <c r="O6" s="406"/>
      <c r="P6" s="406"/>
      <c r="Q6" s="407"/>
    </row>
    <row r="7" spans="1:27" x14ac:dyDescent="0.2">
      <c r="C7" s="408"/>
      <c r="D7" s="409"/>
      <c r="E7" s="409"/>
      <c r="F7" s="409"/>
      <c r="G7" s="409"/>
      <c r="H7" s="409"/>
      <c r="I7" s="409"/>
      <c r="J7" s="409"/>
      <c r="K7" s="409"/>
      <c r="L7" s="409"/>
      <c r="M7" s="409"/>
      <c r="N7" s="409"/>
      <c r="O7" s="409"/>
      <c r="P7" s="409"/>
      <c r="Q7" s="410"/>
    </row>
    <row r="8" spans="1:27" x14ac:dyDescent="0.2">
      <c r="C8" s="7"/>
      <c r="D8" s="8"/>
      <c r="E8" s="9"/>
      <c r="F8" s="9"/>
      <c r="G8" s="9"/>
      <c r="H8" s="9"/>
      <c r="I8" s="9"/>
      <c r="J8" s="9"/>
      <c r="K8" s="9"/>
      <c r="L8" s="9"/>
      <c r="M8" s="9"/>
      <c r="N8" s="9"/>
      <c r="O8" s="9"/>
      <c r="P8" s="9"/>
      <c r="Q8" s="10"/>
    </row>
    <row r="9" spans="1:27" x14ac:dyDescent="0.2">
      <c r="C9" s="11"/>
      <c r="D9" s="12" t="s">
        <v>770</v>
      </c>
      <c r="E9" s="13"/>
      <c r="F9" s="13"/>
      <c r="G9" s="13"/>
      <c r="H9" s="13"/>
      <c r="I9" s="13"/>
      <c r="J9" s="13"/>
      <c r="K9" s="13"/>
      <c r="L9" s="13"/>
      <c r="M9" s="13"/>
      <c r="N9" s="13"/>
      <c r="O9" s="13"/>
      <c r="P9" s="13"/>
      <c r="Q9" s="10"/>
    </row>
    <row r="10" spans="1:27" x14ac:dyDescent="0.2">
      <c r="C10" s="7"/>
      <c r="D10" s="12" t="s">
        <v>771</v>
      </c>
      <c r="E10" s="13"/>
      <c r="F10" s="13"/>
      <c r="G10" s="13"/>
      <c r="H10" s="13"/>
      <c r="I10" s="13"/>
      <c r="J10" s="13"/>
      <c r="K10" s="13"/>
      <c r="L10" s="13"/>
      <c r="M10" s="13"/>
      <c r="N10" s="13"/>
      <c r="O10" s="13"/>
      <c r="P10" s="13"/>
      <c r="Q10" s="10"/>
    </row>
    <row r="11" spans="1:27" x14ac:dyDescent="0.2">
      <c r="C11" s="7"/>
      <c r="D11" s="12" t="s">
        <v>772</v>
      </c>
      <c r="E11" s="13"/>
      <c r="F11" s="13"/>
      <c r="G11" s="13"/>
      <c r="H11" s="13"/>
      <c r="I11" s="13"/>
      <c r="J11" s="13"/>
      <c r="K11" s="13"/>
      <c r="L11" s="13"/>
      <c r="M11" s="13"/>
      <c r="N11" s="13"/>
      <c r="O11" s="13"/>
      <c r="P11" s="13"/>
      <c r="Q11" s="10"/>
    </row>
    <row r="12" spans="1:27" ht="9" customHeight="1" x14ac:dyDescent="0.2">
      <c r="C12" s="7"/>
      <c r="D12" s="14"/>
      <c r="E12" s="13"/>
      <c r="F12" s="13"/>
      <c r="G12" s="13"/>
      <c r="H12" s="13"/>
      <c r="I12" s="13"/>
      <c r="J12" s="13"/>
      <c r="K12" s="13"/>
      <c r="L12" s="13"/>
      <c r="M12" s="13"/>
      <c r="N12" s="13"/>
      <c r="O12" s="13"/>
      <c r="P12" s="13"/>
      <c r="Q12" s="10"/>
    </row>
    <row r="13" spans="1:27" ht="18" customHeight="1" x14ac:dyDescent="0.25">
      <c r="C13" s="7"/>
      <c r="D13" s="15" t="s">
        <v>773</v>
      </c>
      <c r="E13" s="16"/>
      <c r="F13" s="16"/>
      <c r="G13" s="16"/>
      <c r="H13" s="16"/>
      <c r="I13" s="16"/>
      <c r="J13" s="16"/>
      <c r="K13" s="16"/>
      <c r="L13" s="16"/>
      <c r="M13" s="16"/>
      <c r="N13" s="16"/>
      <c r="O13" s="16"/>
      <c r="P13" s="16"/>
      <c r="Q13" s="10"/>
    </row>
    <row r="14" spans="1:27" ht="5.0999999999999996" customHeight="1" x14ac:dyDescent="0.2">
      <c r="C14" s="7"/>
      <c r="E14" s="13"/>
      <c r="F14" s="13"/>
      <c r="G14" s="13"/>
      <c r="H14" s="13"/>
      <c r="I14" s="13"/>
      <c r="J14" s="13"/>
      <c r="K14" s="13"/>
      <c r="L14" s="13"/>
      <c r="M14" s="13"/>
      <c r="N14" s="13"/>
      <c r="O14" s="13"/>
      <c r="P14" s="13"/>
      <c r="Q14" s="10"/>
    </row>
    <row r="15" spans="1:27" x14ac:dyDescent="0.2">
      <c r="C15" s="7"/>
      <c r="D15" s="17" t="s">
        <v>238</v>
      </c>
      <c r="E15" s="13"/>
      <c r="F15" s="13"/>
      <c r="G15" s="13"/>
      <c r="H15" s="13"/>
      <c r="I15" s="13"/>
      <c r="J15" s="13"/>
      <c r="K15" s="13"/>
      <c r="L15" s="13"/>
      <c r="M15" s="13"/>
      <c r="N15" s="13"/>
      <c r="O15" s="13"/>
      <c r="P15" s="13"/>
      <c r="Q15" s="10"/>
    </row>
    <row r="16" spans="1:27" ht="6" customHeight="1" x14ac:dyDescent="0.2">
      <c r="C16" s="7"/>
      <c r="D16" s="18"/>
      <c r="E16" s="19"/>
      <c r="F16" s="19"/>
      <c r="G16" s="19"/>
      <c r="H16" s="19"/>
      <c r="I16" s="19"/>
      <c r="J16" s="19"/>
      <c r="K16" s="19"/>
      <c r="L16" s="19"/>
      <c r="M16" s="19"/>
      <c r="N16" s="19"/>
      <c r="O16" s="19"/>
      <c r="P16" s="19"/>
      <c r="Q16" s="10"/>
    </row>
    <row r="17" spans="3:17" ht="5.0999999999999996" customHeight="1" x14ac:dyDescent="0.2">
      <c r="C17" s="7"/>
      <c r="D17" s="14"/>
      <c r="E17" s="13"/>
      <c r="F17" s="13"/>
      <c r="G17" s="13"/>
      <c r="H17" s="13"/>
      <c r="I17" s="13"/>
      <c r="J17" s="13"/>
      <c r="K17" s="13"/>
      <c r="L17" s="13"/>
      <c r="M17" s="13"/>
      <c r="N17" s="13"/>
      <c r="O17" s="13"/>
      <c r="P17" s="13"/>
      <c r="Q17" s="10"/>
    </row>
    <row r="18" spans="3:17" ht="5.0999999999999996" customHeight="1" x14ac:dyDescent="0.2">
      <c r="C18" s="7"/>
      <c r="D18" s="14"/>
      <c r="E18" s="13"/>
      <c r="F18" s="13"/>
      <c r="G18" s="13"/>
      <c r="H18" s="13"/>
      <c r="I18" s="13"/>
      <c r="J18" s="13"/>
      <c r="K18" s="13"/>
      <c r="L18" s="13"/>
      <c r="M18" s="13"/>
      <c r="N18" s="13"/>
      <c r="O18" s="13"/>
      <c r="P18" s="13"/>
      <c r="Q18" s="10"/>
    </row>
    <row r="19" spans="3:17" ht="18" customHeight="1" x14ac:dyDescent="0.2">
      <c r="C19" s="7"/>
      <c r="D19" s="411" t="s">
        <v>774</v>
      </c>
      <c r="E19" s="411"/>
      <c r="F19" s="13"/>
      <c r="G19" s="13"/>
      <c r="H19" s="13"/>
      <c r="I19" s="13"/>
      <c r="J19" s="13"/>
      <c r="K19" s="13"/>
      <c r="L19" s="13"/>
      <c r="M19" s="13"/>
      <c r="N19" s="13"/>
      <c r="O19" s="13"/>
      <c r="P19" s="13"/>
      <c r="Q19" s="10"/>
    </row>
    <row r="20" spans="3:17" ht="15.9" customHeight="1" x14ac:dyDescent="0.25">
      <c r="C20" s="7"/>
      <c r="D20" s="20" t="s">
        <v>1094</v>
      </c>
      <c r="E20" s="13"/>
      <c r="F20" s="13"/>
      <c r="G20" s="13"/>
      <c r="H20" s="13"/>
      <c r="I20" s="13"/>
      <c r="J20" s="13"/>
      <c r="K20" s="13"/>
      <c r="L20" s="13"/>
      <c r="M20" s="13"/>
      <c r="N20" s="13"/>
      <c r="O20" s="13"/>
      <c r="P20" s="13"/>
      <c r="Q20" s="10"/>
    </row>
    <row r="21" spans="3:17" ht="12" x14ac:dyDescent="0.25">
      <c r="C21" s="7"/>
      <c r="D21" s="20" t="s">
        <v>1095</v>
      </c>
      <c r="E21" s="13"/>
      <c r="F21" s="13"/>
      <c r="G21" s="13"/>
      <c r="H21" s="13"/>
      <c r="I21" s="13"/>
      <c r="J21" s="13"/>
      <c r="K21" s="13"/>
      <c r="L21" s="13"/>
      <c r="M21" s="13"/>
      <c r="N21" s="13"/>
      <c r="O21" s="13"/>
      <c r="P21" s="13"/>
      <c r="Q21" s="10"/>
    </row>
    <row r="22" spans="3:17" ht="18" customHeight="1" x14ac:dyDescent="0.25">
      <c r="C22" s="7"/>
      <c r="D22" s="21" t="s">
        <v>1096</v>
      </c>
      <c r="E22" s="13"/>
      <c r="F22" s="13"/>
      <c r="G22" s="13"/>
      <c r="H22" s="13"/>
      <c r="I22" s="13"/>
      <c r="J22" s="13"/>
      <c r="K22" s="13"/>
      <c r="L22" s="13"/>
      <c r="M22" s="13"/>
      <c r="N22" s="13"/>
      <c r="O22" s="13"/>
      <c r="P22" s="13"/>
      <c r="Q22" s="10"/>
    </row>
    <row r="23" spans="3:17" ht="18" customHeight="1" x14ac:dyDescent="0.2">
      <c r="C23" s="7"/>
      <c r="D23" s="22" t="s">
        <v>775</v>
      </c>
      <c r="E23" s="13"/>
      <c r="F23" s="13"/>
      <c r="G23" s="13"/>
      <c r="H23" s="13"/>
      <c r="I23" s="13"/>
      <c r="J23" s="13"/>
      <c r="K23" s="13"/>
      <c r="L23" s="13"/>
      <c r="M23" s="13"/>
      <c r="N23" s="13"/>
      <c r="O23" s="13"/>
      <c r="P23" s="13"/>
      <c r="Q23" s="10"/>
    </row>
    <row r="24" spans="3:17" ht="5.0999999999999996" customHeight="1" x14ac:dyDescent="0.2">
      <c r="C24" s="7"/>
      <c r="D24" s="14"/>
      <c r="E24" s="13"/>
      <c r="F24" s="13"/>
      <c r="G24" s="13"/>
      <c r="H24" s="13"/>
      <c r="I24" s="13"/>
      <c r="J24" s="13"/>
      <c r="K24" s="13"/>
      <c r="L24" s="13"/>
      <c r="M24" s="13"/>
      <c r="N24" s="13"/>
      <c r="O24" s="13"/>
      <c r="P24" s="13"/>
      <c r="Q24" s="10"/>
    </row>
    <row r="25" spans="3:17" ht="12" x14ac:dyDescent="0.2">
      <c r="C25" s="7"/>
      <c r="D25" s="23" t="s">
        <v>776</v>
      </c>
      <c r="E25" s="13"/>
      <c r="F25" s="13"/>
      <c r="G25" s="13"/>
      <c r="H25" s="13"/>
      <c r="I25" s="13"/>
      <c r="J25" s="13"/>
      <c r="K25" s="13"/>
      <c r="L25" s="13"/>
      <c r="M25" s="13"/>
      <c r="N25" s="13"/>
      <c r="O25" s="13"/>
      <c r="P25" s="13"/>
      <c r="Q25" s="10"/>
    </row>
    <row r="26" spans="3:17" ht="15.9" customHeight="1" x14ac:dyDescent="0.2">
      <c r="C26" s="7"/>
      <c r="D26" s="20" t="s">
        <v>777</v>
      </c>
      <c r="E26" s="13"/>
      <c r="F26" s="13"/>
      <c r="G26" s="13"/>
      <c r="H26" s="13"/>
      <c r="I26" s="13"/>
      <c r="J26" s="13"/>
      <c r="K26" s="13"/>
      <c r="L26" s="13"/>
      <c r="M26" s="13"/>
      <c r="N26" s="13"/>
      <c r="O26" s="13"/>
      <c r="P26" s="13"/>
      <c r="Q26" s="10"/>
    </row>
    <row r="27" spans="3:17" x14ac:dyDescent="0.2">
      <c r="C27" s="7"/>
      <c r="D27" s="20"/>
      <c r="E27" s="13"/>
      <c r="F27" s="13"/>
      <c r="G27" s="13"/>
      <c r="H27" s="13"/>
      <c r="I27" s="13"/>
      <c r="J27" s="13"/>
      <c r="K27" s="13"/>
      <c r="L27" s="13"/>
      <c r="M27" s="13"/>
      <c r="N27" s="13"/>
      <c r="O27" s="13"/>
      <c r="P27" s="13"/>
      <c r="Q27" s="10"/>
    </row>
    <row r="28" spans="3:17" x14ac:dyDescent="0.2">
      <c r="C28" s="7"/>
      <c r="D28" s="20" t="s">
        <v>778</v>
      </c>
      <c r="E28" s="13"/>
      <c r="F28" s="13"/>
      <c r="G28" s="13"/>
      <c r="H28" s="13"/>
      <c r="I28" s="13"/>
      <c r="J28" s="13"/>
      <c r="K28" s="13"/>
      <c r="L28" s="13"/>
      <c r="M28" s="13"/>
      <c r="N28" s="13"/>
      <c r="O28" s="13"/>
      <c r="P28" s="13"/>
      <c r="Q28" s="10"/>
    </row>
    <row r="29" spans="3:17" x14ac:dyDescent="0.2">
      <c r="C29" s="7"/>
      <c r="D29" s="20" t="s">
        <v>779</v>
      </c>
      <c r="E29" s="13"/>
      <c r="F29" s="13"/>
      <c r="G29" s="13"/>
      <c r="H29" s="13"/>
      <c r="I29" s="13"/>
      <c r="J29" s="13"/>
      <c r="K29" s="13"/>
      <c r="L29" s="13"/>
      <c r="M29" s="13"/>
      <c r="N29" s="13"/>
      <c r="O29" s="13"/>
      <c r="P29" s="13"/>
      <c r="Q29" s="10"/>
    </row>
    <row r="30" spans="3:17" x14ac:dyDescent="0.2">
      <c r="C30" s="7"/>
      <c r="D30" s="20" t="s">
        <v>780</v>
      </c>
      <c r="E30" s="13"/>
      <c r="F30" s="13"/>
      <c r="G30" s="13"/>
      <c r="H30" s="13"/>
      <c r="I30" s="13"/>
      <c r="J30" s="13"/>
      <c r="K30" s="13"/>
      <c r="L30" s="13"/>
      <c r="M30" s="13"/>
      <c r="N30" s="13"/>
      <c r="O30" s="13"/>
      <c r="P30" s="13"/>
      <c r="Q30" s="10"/>
    </row>
    <row r="31" spans="3:17" x14ac:dyDescent="0.2">
      <c r="C31" s="7"/>
      <c r="D31" s="24" t="s">
        <v>781</v>
      </c>
      <c r="E31" s="13"/>
      <c r="F31" s="13"/>
      <c r="G31" s="13"/>
      <c r="H31" s="13"/>
      <c r="I31" s="13"/>
      <c r="J31" s="13"/>
      <c r="K31" s="13"/>
      <c r="L31" s="13"/>
      <c r="M31" s="13"/>
      <c r="N31" s="13"/>
      <c r="O31" s="13"/>
      <c r="P31" s="13"/>
      <c r="Q31" s="10"/>
    </row>
    <row r="32" spans="3:17" x14ac:dyDescent="0.2">
      <c r="C32" s="7"/>
      <c r="D32" s="20" t="s">
        <v>782</v>
      </c>
      <c r="E32" s="13"/>
      <c r="F32" s="13"/>
      <c r="G32" s="13"/>
      <c r="H32" s="13"/>
      <c r="I32" s="13"/>
      <c r="J32" s="13"/>
      <c r="K32" s="13"/>
      <c r="L32" s="13"/>
      <c r="M32" s="13"/>
      <c r="N32" s="13"/>
      <c r="O32" s="13"/>
      <c r="P32" s="13"/>
      <c r="Q32" s="10"/>
    </row>
    <row r="33" spans="3:17" x14ac:dyDescent="0.2">
      <c r="C33" s="7"/>
      <c r="D33" s="20" t="s">
        <v>783</v>
      </c>
      <c r="E33" s="13"/>
      <c r="F33" s="13"/>
      <c r="G33" s="13"/>
      <c r="H33" s="13"/>
      <c r="I33" s="13"/>
      <c r="J33" s="13"/>
      <c r="K33" s="13"/>
      <c r="L33" s="13"/>
      <c r="M33" s="13"/>
      <c r="N33" s="13"/>
      <c r="O33" s="13"/>
      <c r="P33" s="13"/>
      <c r="Q33" s="10"/>
    </row>
    <row r="34" spans="3:17" x14ac:dyDescent="0.2">
      <c r="C34" s="7"/>
      <c r="D34" s="14"/>
      <c r="E34" s="13"/>
      <c r="F34" s="13"/>
      <c r="G34" s="13"/>
      <c r="H34" s="13"/>
      <c r="I34" s="13"/>
      <c r="J34" s="13"/>
      <c r="K34" s="13"/>
      <c r="L34" s="13"/>
      <c r="M34" s="13"/>
      <c r="N34" s="13"/>
      <c r="O34" s="13"/>
      <c r="P34" s="13"/>
      <c r="Q34" s="10"/>
    </row>
    <row r="35" spans="3:17" x14ac:dyDescent="0.2">
      <c r="C35" s="7"/>
      <c r="D35" s="25" t="s">
        <v>784</v>
      </c>
      <c r="E35" s="13"/>
      <c r="F35" s="13"/>
      <c r="G35" s="13"/>
      <c r="H35" s="13"/>
      <c r="I35" s="13"/>
      <c r="J35" s="13"/>
      <c r="K35" s="13"/>
      <c r="L35" s="13"/>
      <c r="M35" s="13"/>
      <c r="N35" s="13"/>
      <c r="O35" s="13"/>
      <c r="P35" s="13"/>
      <c r="Q35" s="10"/>
    </row>
    <row r="36" spans="3:17" ht="15.9" customHeight="1" x14ac:dyDescent="0.2">
      <c r="C36" s="7"/>
      <c r="D36" s="20" t="s">
        <v>785</v>
      </c>
      <c r="E36" s="13"/>
      <c r="F36" s="13"/>
      <c r="G36" s="13"/>
      <c r="H36" s="13"/>
      <c r="I36" s="13"/>
      <c r="J36" s="13"/>
      <c r="K36" s="13"/>
      <c r="L36" s="13"/>
      <c r="M36" s="13"/>
      <c r="N36" s="13"/>
      <c r="O36" s="13"/>
      <c r="P36" s="13"/>
      <c r="Q36" s="10"/>
    </row>
    <row r="37" spans="3:17" x14ac:dyDescent="0.2">
      <c r="C37" s="7"/>
      <c r="D37" s="20" t="s">
        <v>786</v>
      </c>
      <c r="E37" s="13"/>
      <c r="F37" s="13"/>
      <c r="G37" s="13"/>
      <c r="H37" s="13"/>
      <c r="I37" s="13"/>
      <c r="J37" s="13"/>
      <c r="K37" s="13"/>
      <c r="L37" s="13"/>
      <c r="M37" s="13"/>
      <c r="N37" s="13"/>
      <c r="O37" s="13"/>
      <c r="P37" s="13"/>
      <c r="Q37" s="10"/>
    </row>
    <row r="38" spans="3:17" x14ac:dyDescent="0.2">
      <c r="C38" s="7"/>
      <c r="D38" s="20" t="s">
        <v>787</v>
      </c>
      <c r="E38" s="13"/>
      <c r="F38" s="13"/>
      <c r="G38" s="13"/>
      <c r="H38" s="13"/>
      <c r="I38" s="13"/>
      <c r="J38" s="13"/>
      <c r="K38" s="13"/>
      <c r="L38" s="13"/>
      <c r="M38" s="13"/>
      <c r="N38" s="13"/>
      <c r="O38" s="13"/>
      <c r="P38" s="13"/>
      <c r="Q38" s="10"/>
    </row>
    <row r="39" spans="3:17" x14ac:dyDescent="0.2">
      <c r="C39" s="7"/>
      <c r="D39" s="20" t="s">
        <v>788</v>
      </c>
      <c r="E39" s="13"/>
      <c r="F39" s="13"/>
      <c r="G39" s="13"/>
      <c r="H39" s="13"/>
      <c r="I39" s="13"/>
      <c r="J39" s="13"/>
      <c r="K39" s="13"/>
      <c r="L39" s="13"/>
      <c r="M39" s="13"/>
      <c r="N39" s="13"/>
      <c r="O39" s="13"/>
      <c r="P39" s="13"/>
      <c r="Q39" s="10"/>
    </row>
    <row r="40" spans="3:17" x14ac:dyDescent="0.2">
      <c r="C40" s="7"/>
      <c r="D40" s="20" t="s">
        <v>789</v>
      </c>
      <c r="E40" s="13"/>
      <c r="F40" s="13"/>
      <c r="G40" s="13"/>
      <c r="H40" s="13"/>
      <c r="I40" s="13"/>
      <c r="J40" s="13"/>
      <c r="K40" s="13"/>
      <c r="L40" s="13"/>
      <c r="M40" s="13"/>
      <c r="N40" s="13"/>
      <c r="O40" s="13"/>
      <c r="P40" s="13"/>
      <c r="Q40" s="10"/>
    </row>
    <row r="41" spans="3:17" x14ac:dyDescent="0.2">
      <c r="C41" s="7"/>
      <c r="D41" s="20" t="s">
        <v>790</v>
      </c>
      <c r="E41" s="13"/>
      <c r="F41" s="13"/>
      <c r="G41" s="13"/>
      <c r="H41" s="13"/>
      <c r="I41" s="13"/>
      <c r="J41" s="13"/>
      <c r="K41" s="13"/>
      <c r="L41" s="13"/>
      <c r="M41" s="13"/>
      <c r="N41" s="13"/>
      <c r="O41" s="13"/>
      <c r="P41" s="13"/>
      <c r="Q41" s="10"/>
    </row>
    <row r="42" spans="3:17" ht="6.9" customHeight="1" x14ac:dyDescent="0.2">
      <c r="C42" s="7"/>
      <c r="D42" s="20"/>
      <c r="E42" s="13"/>
      <c r="F42" s="13"/>
      <c r="G42" s="13"/>
      <c r="H42" s="13"/>
      <c r="I42" s="13"/>
      <c r="J42" s="13"/>
      <c r="K42" s="13"/>
      <c r="L42" s="13"/>
      <c r="M42" s="13"/>
      <c r="N42" s="13"/>
      <c r="O42" s="13"/>
      <c r="P42" s="13"/>
      <c r="Q42" s="10"/>
    </row>
    <row r="43" spans="3:17" ht="15.9" customHeight="1" x14ac:dyDescent="0.2">
      <c r="C43" s="7"/>
      <c r="D43" s="20" t="s">
        <v>791</v>
      </c>
      <c r="E43" s="13"/>
      <c r="F43" s="13"/>
      <c r="G43" s="13"/>
      <c r="H43" s="13"/>
      <c r="I43" s="13"/>
      <c r="J43" s="13"/>
      <c r="K43" s="13"/>
      <c r="L43" s="13"/>
      <c r="M43" s="13"/>
      <c r="N43" s="13"/>
      <c r="O43" s="13"/>
      <c r="P43" s="13"/>
      <c r="Q43" s="10"/>
    </row>
    <row r="44" spans="3:17" x14ac:dyDescent="0.2">
      <c r="C44" s="7"/>
      <c r="D44" s="20" t="s">
        <v>792</v>
      </c>
      <c r="E44" s="13"/>
      <c r="F44" s="13"/>
      <c r="G44" s="13"/>
      <c r="H44" s="13"/>
      <c r="I44" s="13"/>
      <c r="J44" s="13"/>
      <c r="K44" s="13"/>
      <c r="L44" s="13"/>
      <c r="M44" s="13"/>
      <c r="N44" s="13"/>
      <c r="O44" s="13"/>
      <c r="P44" s="13"/>
      <c r="Q44" s="10"/>
    </row>
    <row r="45" spans="3:17" x14ac:dyDescent="0.2">
      <c r="C45" s="7"/>
      <c r="D45" s="20" t="s">
        <v>793</v>
      </c>
      <c r="E45" s="13"/>
      <c r="F45" s="13"/>
      <c r="G45" s="13"/>
      <c r="H45" s="13"/>
      <c r="I45" s="13"/>
      <c r="J45" s="13"/>
      <c r="K45" s="13"/>
      <c r="L45" s="13"/>
      <c r="M45" s="13"/>
      <c r="N45" s="13"/>
      <c r="O45" s="13"/>
      <c r="P45" s="13"/>
      <c r="Q45" s="10"/>
    </row>
    <row r="46" spans="3:17" ht="15.9" customHeight="1" x14ac:dyDescent="0.2">
      <c r="C46" s="7"/>
      <c r="D46" s="20" t="s">
        <v>794</v>
      </c>
      <c r="E46" s="13"/>
      <c r="F46" s="13"/>
      <c r="G46" s="13"/>
      <c r="H46" s="13"/>
      <c r="I46" s="13"/>
      <c r="J46" s="13"/>
      <c r="K46" s="13"/>
      <c r="L46" s="13"/>
      <c r="M46" s="13"/>
      <c r="N46" s="13"/>
      <c r="O46" s="13"/>
      <c r="P46" s="13"/>
      <c r="Q46" s="10"/>
    </row>
    <row r="47" spans="3:17" ht="9" customHeight="1" x14ac:dyDescent="0.2">
      <c r="C47" s="7"/>
      <c r="D47" s="13"/>
      <c r="E47" s="13"/>
      <c r="F47" s="13"/>
      <c r="G47" s="13"/>
      <c r="H47" s="13"/>
      <c r="I47" s="13"/>
      <c r="J47" s="13"/>
      <c r="K47" s="13"/>
      <c r="L47" s="13"/>
      <c r="M47" s="13"/>
      <c r="N47" s="13"/>
      <c r="O47" s="13"/>
      <c r="P47" s="13"/>
      <c r="Q47" s="10"/>
    </row>
    <row r="48" spans="3:17" ht="5.0999999999999996" customHeight="1" x14ac:dyDescent="0.2">
      <c r="C48" s="7"/>
      <c r="D48" s="16"/>
      <c r="E48" s="16"/>
      <c r="F48" s="16"/>
      <c r="G48" s="16"/>
      <c r="H48" s="16"/>
      <c r="I48" s="16"/>
      <c r="J48" s="16"/>
      <c r="K48" s="16"/>
      <c r="L48" s="16"/>
      <c r="M48" s="16"/>
      <c r="N48" s="16"/>
      <c r="O48" s="16"/>
      <c r="P48" s="16"/>
      <c r="Q48" s="10"/>
    </row>
    <row r="49" spans="3:17" ht="14.1" customHeight="1" x14ac:dyDescent="0.2">
      <c r="C49" s="7"/>
      <c r="D49" s="26" t="s">
        <v>795</v>
      </c>
      <c r="E49" s="27"/>
      <c r="F49" s="27"/>
      <c r="G49" s="27"/>
      <c r="H49" s="27"/>
      <c r="I49" s="27"/>
      <c r="J49" s="27"/>
      <c r="K49" s="27"/>
      <c r="L49" s="27"/>
      <c r="M49" s="27"/>
      <c r="N49" s="13"/>
      <c r="O49" s="13"/>
      <c r="P49" s="13"/>
      <c r="Q49" s="10"/>
    </row>
    <row r="50" spans="3:17" x14ac:dyDescent="0.2">
      <c r="C50" s="7"/>
      <c r="D50" s="26" t="s">
        <v>796</v>
      </c>
      <c r="E50" s="27"/>
      <c r="F50" s="27"/>
      <c r="G50" s="27"/>
      <c r="H50" s="27"/>
      <c r="I50" s="27"/>
      <c r="J50" s="27"/>
      <c r="K50" s="27"/>
      <c r="L50" s="27"/>
      <c r="M50" s="27"/>
      <c r="N50" s="13"/>
      <c r="O50" s="13"/>
      <c r="P50" s="13"/>
      <c r="Q50" s="10"/>
    </row>
    <row r="51" spans="3:17" ht="5.0999999999999996" customHeight="1" x14ac:dyDescent="0.2">
      <c r="C51" s="7"/>
      <c r="D51" s="28"/>
      <c r="E51" s="19"/>
      <c r="F51" s="19"/>
      <c r="G51" s="19"/>
      <c r="H51" s="19"/>
      <c r="I51" s="19"/>
      <c r="J51" s="19"/>
      <c r="K51" s="19"/>
      <c r="L51" s="19"/>
      <c r="M51" s="19"/>
      <c r="N51" s="19"/>
      <c r="O51" s="19"/>
      <c r="P51" s="19"/>
      <c r="Q51" s="10"/>
    </row>
    <row r="52" spans="3:17" x14ac:dyDescent="0.2">
      <c r="C52" s="7"/>
      <c r="D52" s="29"/>
      <c r="E52" s="13"/>
      <c r="F52" s="13"/>
      <c r="G52" s="13"/>
      <c r="H52" s="13"/>
      <c r="I52" s="13"/>
      <c r="J52" s="13"/>
      <c r="K52" s="13"/>
      <c r="L52" s="13"/>
      <c r="M52" s="13"/>
      <c r="N52" s="13"/>
      <c r="O52" s="13"/>
      <c r="P52" s="13"/>
      <c r="Q52" s="10"/>
    </row>
    <row r="53" spans="3:17" ht="12" x14ac:dyDescent="0.2">
      <c r="C53" s="7"/>
      <c r="D53" s="30" t="s">
        <v>797</v>
      </c>
      <c r="E53" s="13"/>
      <c r="F53" s="13"/>
      <c r="G53" s="13"/>
      <c r="H53" s="13"/>
      <c r="I53" s="13"/>
      <c r="J53" s="13"/>
      <c r="K53" s="13"/>
      <c r="L53" s="13"/>
      <c r="M53" s="13"/>
      <c r="N53" s="13"/>
      <c r="O53" s="13"/>
      <c r="P53" s="13"/>
      <c r="Q53" s="10"/>
    </row>
    <row r="54" spans="3:17" ht="6.9" customHeight="1" x14ac:dyDescent="0.2">
      <c r="C54" s="7"/>
      <c r="D54" s="14"/>
      <c r="E54" s="13"/>
      <c r="F54" s="13"/>
      <c r="G54" s="13"/>
      <c r="H54" s="13"/>
      <c r="I54" s="13"/>
      <c r="J54" s="13"/>
      <c r="K54" s="13"/>
      <c r="L54" s="13"/>
      <c r="M54" s="13"/>
      <c r="N54" s="13"/>
      <c r="O54" s="13"/>
      <c r="P54" s="13"/>
      <c r="Q54" s="10"/>
    </row>
    <row r="55" spans="3:17" ht="12" customHeight="1" x14ac:dyDescent="0.2">
      <c r="C55" s="7"/>
      <c r="D55" s="31" t="str">
        <f>"Variante 1 " &amp;IF(Tippabgabe!CS2=1,"(Aktiviert)","")</f>
        <v>Variante 1 (Aktiviert)</v>
      </c>
      <c r="E55" s="13"/>
      <c r="F55" s="13"/>
      <c r="G55" s="13"/>
      <c r="H55" s="13"/>
      <c r="I55" s="13"/>
      <c r="J55" s="13"/>
      <c r="K55" s="13"/>
      <c r="L55" s="13"/>
      <c r="M55" s="13"/>
      <c r="N55" s="13"/>
      <c r="O55" s="13"/>
      <c r="P55" s="13"/>
      <c r="Q55" s="10"/>
    </row>
    <row r="56" spans="3:17" ht="12" customHeight="1" x14ac:dyDescent="0.2">
      <c r="C56" s="7"/>
      <c r="D56" s="32" t="s">
        <v>798</v>
      </c>
      <c r="E56" s="13"/>
      <c r="F56" s="13"/>
      <c r="G56" s="13"/>
      <c r="H56" s="13"/>
      <c r="I56" s="13"/>
      <c r="J56" s="13"/>
      <c r="K56" s="13"/>
      <c r="L56" s="13"/>
      <c r="M56" s="13"/>
      <c r="N56" s="13"/>
      <c r="O56" s="13"/>
      <c r="P56" s="13"/>
      <c r="Q56" s="10"/>
    </row>
    <row r="57" spans="3:17" ht="12" customHeight="1" x14ac:dyDescent="0.2">
      <c r="C57" s="7"/>
      <c r="D57" s="20" t="s">
        <v>1097</v>
      </c>
      <c r="E57" s="13"/>
      <c r="F57" s="13"/>
      <c r="G57" s="13"/>
      <c r="H57" s="13"/>
      <c r="I57" s="13"/>
      <c r="J57" s="13"/>
      <c r="K57" s="13"/>
      <c r="L57" s="13"/>
      <c r="M57" s="13"/>
      <c r="N57" s="13"/>
      <c r="O57" s="13"/>
      <c r="P57" s="13"/>
      <c r="Q57" s="10"/>
    </row>
    <row r="58" spans="3:17" ht="12" customHeight="1" x14ac:dyDescent="0.2">
      <c r="C58" s="7"/>
      <c r="D58" s="20" t="s">
        <v>799</v>
      </c>
      <c r="E58" s="13"/>
      <c r="F58" s="13"/>
      <c r="G58" s="13"/>
      <c r="H58" s="13"/>
      <c r="I58" s="13"/>
      <c r="J58" s="13"/>
      <c r="K58" s="13"/>
      <c r="L58" s="13"/>
      <c r="M58" s="13"/>
      <c r="N58" s="13"/>
      <c r="O58" s="13"/>
      <c r="P58" s="13"/>
      <c r="Q58" s="10"/>
    </row>
    <row r="59" spans="3:17" ht="12" customHeight="1" x14ac:dyDescent="0.2">
      <c r="C59" s="7"/>
      <c r="D59" s="20" t="s">
        <v>800</v>
      </c>
      <c r="E59" s="13"/>
      <c r="F59" s="13"/>
      <c r="G59" s="13"/>
      <c r="H59" s="13"/>
      <c r="I59" s="13"/>
      <c r="J59" s="13"/>
      <c r="K59" s="13"/>
      <c r="L59" s="13"/>
      <c r="M59" s="13"/>
      <c r="N59" s="13"/>
      <c r="O59" s="13"/>
      <c r="P59" s="13"/>
      <c r="Q59" s="10"/>
    </row>
    <row r="60" spans="3:17" ht="12" customHeight="1" x14ac:dyDescent="0.2">
      <c r="C60" s="7"/>
      <c r="D60" s="20" t="s">
        <v>801</v>
      </c>
      <c r="E60" s="13"/>
      <c r="F60" s="13"/>
      <c r="G60" s="13"/>
      <c r="H60" s="13"/>
      <c r="I60" s="13"/>
      <c r="J60" s="13"/>
      <c r="K60" s="13"/>
      <c r="L60" s="13"/>
      <c r="M60" s="13"/>
      <c r="N60" s="13"/>
      <c r="O60" s="13"/>
      <c r="P60" s="13"/>
      <c r="Q60" s="10"/>
    </row>
    <row r="61" spans="3:17" ht="12" customHeight="1" x14ac:dyDescent="0.2">
      <c r="C61" s="7"/>
      <c r="D61" s="20" t="s">
        <v>802</v>
      </c>
      <c r="E61" s="13"/>
      <c r="F61" s="13"/>
      <c r="G61" s="13"/>
      <c r="H61" s="13"/>
      <c r="I61" s="13"/>
      <c r="J61" s="13"/>
      <c r="K61" s="13"/>
      <c r="L61" s="13"/>
      <c r="M61" s="13"/>
      <c r="N61" s="13"/>
      <c r="O61" s="13"/>
      <c r="P61" s="13"/>
      <c r="Q61" s="10"/>
    </row>
    <row r="62" spans="3:17" ht="12" customHeight="1" x14ac:dyDescent="0.2">
      <c r="C62" s="7"/>
      <c r="D62" s="20" t="s">
        <v>803</v>
      </c>
      <c r="E62" s="13"/>
      <c r="F62" s="13"/>
      <c r="G62" s="13"/>
      <c r="H62" s="13"/>
      <c r="I62" s="13"/>
      <c r="J62" s="13"/>
      <c r="K62" s="13"/>
      <c r="L62" s="13"/>
      <c r="M62" s="13"/>
      <c r="N62" s="13"/>
      <c r="O62" s="13"/>
      <c r="P62" s="13"/>
      <c r="Q62" s="10"/>
    </row>
    <row r="63" spans="3:17" ht="12" customHeight="1" x14ac:dyDescent="0.2">
      <c r="C63" s="7"/>
      <c r="D63" s="20" t="s">
        <v>804</v>
      </c>
      <c r="E63" s="13"/>
      <c r="F63" s="13"/>
      <c r="G63" s="13"/>
      <c r="H63" s="13"/>
      <c r="I63" s="13"/>
      <c r="J63" s="13"/>
      <c r="K63" s="13"/>
      <c r="L63" s="13"/>
      <c r="M63" s="13"/>
      <c r="N63" s="13"/>
      <c r="O63" s="13"/>
      <c r="P63" s="13"/>
      <c r="Q63" s="10"/>
    </row>
    <row r="64" spans="3:17" ht="12" customHeight="1" x14ac:dyDescent="0.2">
      <c r="C64" s="7"/>
      <c r="D64" s="20" t="s">
        <v>805</v>
      </c>
      <c r="E64" s="13"/>
      <c r="F64" s="13"/>
      <c r="G64" s="13"/>
      <c r="H64" s="13"/>
      <c r="I64" s="13"/>
      <c r="J64" s="13"/>
      <c r="K64" s="13"/>
      <c r="L64" s="13"/>
      <c r="M64" s="13"/>
      <c r="N64" s="13"/>
      <c r="O64" s="13"/>
      <c r="P64" s="13"/>
      <c r="Q64" s="10"/>
    </row>
    <row r="65" spans="3:17" ht="6.9" customHeight="1" x14ac:dyDescent="0.2">
      <c r="C65" s="7"/>
      <c r="D65" s="29"/>
      <c r="E65" s="13"/>
      <c r="F65" s="13"/>
      <c r="G65" s="13"/>
      <c r="H65" s="13"/>
      <c r="I65" s="13"/>
      <c r="J65" s="13"/>
      <c r="K65" s="13"/>
      <c r="L65" s="13"/>
      <c r="M65" s="13"/>
      <c r="N65" s="13"/>
      <c r="O65" s="13"/>
      <c r="P65" s="13"/>
      <c r="Q65" s="10"/>
    </row>
    <row r="66" spans="3:17" ht="12" customHeight="1" x14ac:dyDescent="0.25">
      <c r="C66" s="7"/>
      <c r="D66" s="20" t="s">
        <v>1098</v>
      </c>
      <c r="E66" s="13"/>
      <c r="F66" s="13"/>
      <c r="G66" s="13"/>
      <c r="H66" s="13"/>
      <c r="I66" s="13"/>
      <c r="J66" s="13"/>
      <c r="K66" s="13"/>
      <c r="L66" s="13"/>
      <c r="M66" s="13"/>
      <c r="N66" s="13"/>
      <c r="O66" s="13"/>
      <c r="P66" s="13"/>
      <c r="Q66" s="10"/>
    </row>
    <row r="67" spans="3:17" ht="12" customHeight="1" x14ac:dyDescent="0.2">
      <c r="C67" s="7"/>
      <c r="D67" s="20" t="s">
        <v>512</v>
      </c>
      <c r="E67" s="13"/>
      <c r="F67" s="13"/>
      <c r="G67" s="13"/>
      <c r="H67" s="13"/>
      <c r="I67" s="13"/>
      <c r="J67" s="13"/>
      <c r="K67" s="13"/>
      <c r="L67" s="13"/>
      <c r="M67" s="13"/>
      <c r="N67" s="13"/>
      <c r="O67" s="13"/>
      <c r="P67" s="13"/>
      <c r="Q67" s="10"/>
    </row>
    <row r="68" spans="3:17" ht="12" customHeight="1" x14ac:dyDescent="0.2">
      <c r="C68" s="7"/>
      <c r="D68" s="14"/>
      <c r="E68" s="13"/>
      <c r="F68" s="13"/>
      <c r="G68" s="13"/>
      <c r="H68" s="13"/>
      <c r="I68" s="13"/>
      <c r="J68" s="13"/>
      <c r="K68" s="13"/>
      <c r="L68" s="13"/>
      <c r="M68" s="13"/>
      <c r="N68" s="13"/>
      <c r="O68" s="13"/>
      <c r="P68" s="13"/>
      <c r="Q68" s="10"/>
    </row>
    <row r="69" spans="3:17" ht="12" customHeight="1" x14ac:dyDescent="0.2">
      <c r="C69" s="7"/>
      <c r="D69" s="31" t="str">
        <f>"Variante 2 " &amp;IF(Tippabgabe!CS2=2,"(Aktiviert)","")</f>
        <v xml:space="preserve">Variante 2 </v>
      </c>
      <c r="E69" s="13"/>
      <c r="F69" s="13"/>
      <c r="G69" s="13"/>
      <c r="H69" s="13"/>
      <c r="I69" s="13"/>
      <c r="J69" s="13"/>
      <c r="K69" s="13"/>
      <c r="L69" s="13"/>
      <c r="M69" s="13"/>
      <c r="N69" s="13"/>
      <c r="O69" s="13"/>
      <c r="P69" s="13"/>
      <c r="Q69" s="10"/>
    </row>
    <row r="70" spans="3:17" ht="12" customHeight="1" x14ac:dyDescent="0.2">
      <c r="C70" s="7"/>
      <c r="D70" s="32" t="s">
        <v>513</v>
      </c>
      <c r="E70" s="13"/>
      <c r="F70" s="13"/>
      <c r="G70" s="13"/>
      <c r="H70" s="13"/>
      <c r="I70" s="13"/>
      <c r="J70" s="13"/>
      <c r="K70" s="13"/>
      <c r="L70" s="13"/>
      <c r="M70" s="13"/>
      <c r="N70" s="13"/>
      <c r="O70" s="13"/>
      <c r="P70" s="13"/>
      <c r="Q70" s="10"/>
    </row>
    <row r="71" spans="3:17" ht="12" customHeight="1" x14ac:dyDescent="0.25">
      <c r="C71" s="7"/>
      <c r="D71" s="20" t="s">
        <v>1099</v>
      </c>
      <c r="E71" s="13"/>
      <c r="F71" s="13"/>
      <c r="G71" s="13"/>
      <c r="H71" s="13"/>
      <c r="I71" s="13"/>
      <c r="J71" s="13"/>
      <c r="K71" s="13"/>
      <c r="L71" s="13"/>
      <c r="M71" s="13"/>
      <c r="N71" s="13"/>
      <c r="O71" s="13"/>
      <c r="P71" s="13"/>
      <c r="Q71" s="10"/>
    </row>
    <row r="72" spans="3:17" ht="12" customHeight="1" x14ac:dyDescent="0.2">
      <c r="C72" s="7"/>
      <c r="D72" s="20" t="s">
        <v>514</v>
      </c>
      <c r="E72" s="13"/>
      <c r="F72" s="13"/>
      <c r="G72" s="13"/>
      <c r="H72" s="13"/>
      <c r="I72" s="13"/>
      <c r="J72" s="13"/>
      <c r="K72" s="13"/>
      <c r="L72" s="13"/>
      <c r="M72" s="13"/>
      <c r="N72" s="13"/>
      <c r="O72" s="13"/>
      <c r="P72" s="13"/>
      <c r="Q72" s="10"/>
    </row>
    <row r="73" spans="3:17" ht="12" customHeight="1" x14ac:dyDescent="0.2">
      <c r="C73" s="7"/>
      <c r="D73" s="20" t="s">
        <v>515</v>
      </c>
      <c r="E73" s="13"/>
      <c r="F73" s="13"/>
      <c r="G73" s="13"/>
      <c r="H73" s="13"/>
      <c r="I73" s="13"/>
      <c r="J73" s="13"/>
      <c r="K73" s="13"/>
      <c r="L73" s="13"/>
      <c r="M73" s="13"/>
      <c r="N73" s="13"/>
      <c r="O73" s="13"/>
      <c r="P73" s="13"/>
      <c r="Q73" s="10"/>
    </row>
    <row r="74" spans="3:17" ht="12" customHeight="1" x14ac:dyDescent="0.2">
      <c r="C74" s="7"/>
      <c r="D74" s="20" t="s">
        <v>516</v>
      </c>
      <c r="E74" s="13"/>
      <c r="F74" s="13"/>
      <c r="G74" s="13"/>
      <c r="H74" s="13"/>
      <c r="I74" s="13"/>
      <c r="J74" s="13"/>
      <c r="K74" s="13"/>
      <c r="L74" s="13"/>
      <c r="M74" s="13"/>
      <c r="N74" s="13"/>
      <c r="O74" s="13"/>
      <c r="P74" s="13"/>
      <c r="Q74" s="10"/>
    </row>
    <row r="75" spans="3:17" ht="12" customHeight="1" x14ac:dyDescent="0.2">
      <c r="C75" s="7"/>
      <c r="D75" s="20" t="s">
        <v>517</v>
      </c>
      <c r="E75" s="13"/>
      <c r="F75" s="13"/>
      <c r="G75" s="13"/>
      <c r="H75" s="13"/>
      <c r="I75" s="13"/>
      <c r="J75" s="13"/>
      <c r="K75" s="13"/>
      <c r="L75" s="13"/>
      <c r="M75" s="13"/>
      <c r="N75" s="13"/>
      <c r="O75" s="13"/>
      <c r="P75" s="13"/>
      <c r="Q75" s="10"/>
    </row>
    <row r="76" spans="3:17" ht="12" customHeight="1" x14ac:dyDescent="0.2">
      <c r="C76" s="7"/>
      <c r="D76" s="20" t="s">
        <v>1100</v>
      </c>
      <c r="E76" s="13"/>
      <c r="F76" s="13"/>
      <c r="G76" s="13"/>
      <c r="H76" s="13"/>
      <c r="I76" s="13"/>
      <c r="J76" s="13"/>
      <c r="K76" s="13"/>
      <c r="L76" s="13"/>
      <c r="M76" s="13"/>
      <c r="N76" s="13"/>
      <c r="O76" s="13"/>
      <c r="P76" s="13"/>
      <c r="Q76" s="10"/>
    </row>
    <row r="77" spans="3:17" ht="12" customHeight="1" x14ac:dyDescent="0.2">
      <c r="C77" s="7"/>
      <c r="D77" s="20" t="s">
        <v>518</v>
      </c>
      <c r="E77" s="13"/>
      <c r="F77" s="13"/>
      <c r="G77" s="13"/>
      <c r="H77" s="13"/>
      <c r="I77" s="13"/>
      <c r="J77" s="13"/>
      <c r="K77" s="13"/>
      <c r="L77" s="13"/>
      <c r="M77" s="13"/>
      <c r="N77" s="13"/>
      <c r="O77" s="13"/>
      <c r="P77" s="13"/>
      <c r="Q77" s="10"/>
    </row>
    <row r="78" spans="3:17" ht="6.9" customHeight="1" x14ac:dyDescent="0.2">
      <c r="C78" s="7"/>
      <c r="D78" s="14"/>
      <c r="E78" s="13"/>
      <c r="F78" s="13"/>
      <c r="G78" s="13"/>
      <c r="H78" s="13"/>
      <c r="I78" s="13"/>
      <c r="J78" s="13"/>
      <c r="K78" s="13"/>
      <c r="L78" s="13"/>
      <c r="M78" s="13"/>
      <c r="N78" s="13"/>
      <c r="O78" s="13"/>
      <c r="P78" s="13"/>
      <c r="Q78" s="10"/>
    </row>
    <row r="79" spans="3:17" ht="6.9" customHeight="1" x14ac:dyDescent="0.2">
      <c r="C79" s="7"/>
      <c r="D79" s="14"/>
      <c r="E79" s="13"/>
      <c r="F79" s="13"/>
      <c r="G79" s="13"/>
      <c r="H79" s="13"/>
      <c r="I79" s="13"/>
      <c r="J79" s="13"/>
      <c r="K79" s="13"/>
      <c r="L79" s="13"/>
      <c r="M79" s="13"/>
      <c r="N79" s="13"/>
      <c r="O79" s="13"/>
      <c r="P79" s="13"/>
      <c r="Q79" s="10"/>
    </row>
    <row r="80" spans="3:17" ht="12" customHeight="1" x14ac:dyDescent="0.2">
      <c r="C80" s="7"/>
      <c r="D80" s="23" t="s">
        <v>519</v>
      </c>
      <c r="E80" s="13"/>
      <c r="F80" s="13"/>
      <c r="G80" s="13"/>
      <c r="H80" s="13"/>
      <c r="I80" s="13"/>
      <c r="J80" s="13"/>
      <c r="K80" s="13"/>
      <c r="L80" s="13"/>
      <c r="M80" s="13"/>
      <c r="N80" s="13"/>
      <c r="O80" s="13"/>
      <c r="P80" s="13"/>
      <c r="Q80" s="10"/>
    </row>
    <row r="81" spans="3:17" ht="15.9" customHeight="1" x14ac:dyDescent="0.2">
      <c r="C81" s="7"/>
      <c r="D81" s="20" t="s">
        <v>520</v>
      </c>
      <c r="E81" s="13"/>
      <c r="F81" s="13"/>
      <c r="G81" s="13"/>
      <c r="H81" s="13"/>
      <c r="I81" s="13"/>
      <c r="J81" s="13"/>
      <c r="K81" s="13"/>
      <c r="L81" s="13"/>
      <c r="M81" s="13"/>
      <c r="N81" s="13"/>
      <c r="O81" s="13"/>
      <c r="P81" s="13"/>
      <c r="Q81" s="10"/>
    </row>
    <row r="82" spans="3:17" ht="12" customHeight="1" x14ac:dyDescent="0.2">
      <c r="C82" s="7"/>
      <c r="D82" s="20" t="s">
        <v>521</v>
      </c>
      <c r="E82" s="13"/>
      <c r="F82" s="13"/>
      <c r="G82" s="13"/>
      <c r="H82" s="13"/>
      <c r="I82" s="13"/>
      <c r="J82" s="13"/>
      <c r="K82" s="13"/>
      <c r="L82" s="13"/>
      <c r="M82" s="13"/>
      <c r="N82" s="13"/>
      <c r="O82" s="13"/>
      <c r="P82" s="13"/>
      <c r="Q82" s="10"/>
    </row>
    <row r="83" spans="3:17" ht="12" customHeight="1" x14ac:dyDescent="0.2">
      <c r="C83" s="7"/>
      <c r="D83" s="20" t="s">
        <v>522</v>
      </c>
      <c r="E83" s="13"/>
      <c r="F83" s="13"/>
      <c r="G83" s="13"/>
      <c r="H83" s="13"/>
      <c r="I83" s="13"/>
      <c r="J83" s="13"/>
      <c r="K83" s="13"/>
      <c r="L83" s="13"/>
      <c r="M83" s="13"/>
      <c r="N83" s="13"/>
      <c r="O83" s="13"/>
      <c r="P83" s="13"/>
      <c r="Q83" s="10"/>
    </row>
    <row r="84" spans="3:17" ht="12" customHeight="1" x14ac:dyDescent="0.2">
      <c r="C84" s="7"/>
      <c r="D84" s="20" t="s">
        <v>523</v>
      </c>
      <c r="E84" s="13"/>
      <c r="F84" s="13"/>
      <c r="G84" s="13"/>
      <c r="H84" s="13"/>
      <c r="I84" s="13"/>
      <c r="J84" s="13"/>
      <c r="K84" s="13"/>
      <c r="L84" s="13"/>
      <c r="M84" s="13"/>
      <c r="N84" s="13"/>
      <c r="O84" s="13"/>
      <c r="P84" s="13"/>
      <c r="Q84" s="10"/>
    </row>
    <row r="85" spans="3:17" ht="12" customHeight="1" x14ac:dyDescent="0.2">
      <c r="C85" s="7"/>
      <c r="D85" s="20" t="s">
        <v>524</v>
      </c>
      <c r="E85" s="13"/>
      <c r="F85" s="13"/>
      <c r="G85" s="13"/>
      <c r="H85" s="13"/>
      <c r="I85" s="13"/>
      <c r="J85" s="13"/>
      <c r="K85" s="13"/>
      <c r="L85" s="13"/>
      <c r="M85" s="13"/>
      <c r="N85" s="13"/>
      <c r="O85" s="13"/>
      <c r="P85" s="13"/>
      <c r="Q85" s="10"/>
    </row>
    <row r="86" spans="3:17" ht="12" customHeight="1" x14ac:dyDescent="0.2">
      <c r="C86" s="7"/>
      <c r="D86" s="20" t="s">
        <v>525</v>
      </c>
      <c r="E86" s="13"/>
      <c r="F86" s="13"/>
      <c r="G86" s="13"/>
      <c r="H86" s="13"/>
      <c r="I86" s="13"/>
      <c r="J86" s="13"/>
      <c r="K86" s="13"/>
      <c r="L86" s="13"/>
      <c r="M86" s="13"/>
      <c r="N86" s="13"/>
      <c r="O86" s="13"/>
      <c r="P86" s="13"/>
      <c r="Q86" s="10"/>
    </row>
    <row r="87" spans="3:17" ht="12" customHeight="1" x14ac:dyDescent="0.25">
      <c r="C87" s="7"/>
      <c r="D87" s="20" t="s">
        <v>814</v>
      </c>
      <c r="E87" s="13"/>
      <c r="F87" s="13"/>
      <c r="G87" s="13"/>
      <c r="H87" s="13"/>
      <c r="I87" s="13"/>
      <c r="J87" s="13"/>
      <c r="K87" s="13"/>
      <c r="L87" s="13"/>
      <c r="M87" s="13"/>
      <c r="N87" s="13"/>
      <c r="O87" s="13"/>
      <c r="P87" s="13"/>
      <c r="Q87" s="10"/>
    </row>
    <row r="88" spans="3:17" ht="12" customHeight="1" x14ac:dyDescent="0.2">
      <c r="C88" s="7"/>
      <c r="D88" s="20" t="s">
        <v>815</v>
      </c>
      <c r="E88" s="13"/>
      <c r="F88" s="13"/>
      <c r="G88" s="13"/>
      <c r="H88" s="13"/>
      <c r="I88" s="13"/>
      <c r="J88" s="13"/>
      <c r="K88" s="13"/>
      <c r="L88" s="13"/>
      <c r="M88" s="13"/>
      <c r="N88" s="13"/>
      <c r="O88" s="13"/>
      <c r="P88" s="13"/>
      <c r="Q88" s="10"/>
    </row>
    <row r="89" spans="3:17" ht="12" customHeight="1" x14ac:dyDescent="0.2">
      <c r="C89" s="7"/>
      <c r="D89" s="20" t="s">
        <v>270</v>
      </c>
      <c r="E89" s="13"/>
      <c r="F89" s="13"/>
      <c r="G89" s="13"/>
      <c r="H89" s="13"/>
      <c r="I89" s="13"/>
      <c r="J89" s="13"/>
      <c r="K89" s="13"/>
      <c r="L89" s="13"/>
      <c r="M89" s="13"/>
      <c r="N89" s="13"/>
      <c r="O89" s="13"/>
      <c r="P89" s="13"/>
      <c r="Q89" s="10"/>
    </row>
    <row r="90" spans="3:17" ht="12" customHeight="1" x14ac:dyDescent="0.2">
      <c r="C90" s="7"/>
      <c r="D90" s="20" t="s">
        <v>526</v>
      </c>
      <c r="E90" s="13"/>
      <c r="F90" s="13"/>
      <c r="G90" s="13"/>
      <c r="H90" s="13"/>
      <c r="I90" s="13"/>
      <c r="J90" s="13"/>
      <c r="K90" s="13"/>
      <c r="L90" s="13"/>
      <c r="M90" s="13"/>
      <c r="N90" s="13"/>
      <c r="O90" s="13"/>
      <c r="P90" s="13"/>
      <c r="Q90" s="10"/>
    </row>
    <row r="91" spans="3:17" ht="12" customHeight="1" x14ac:dyDescent="0.2">
      <c r="C91" s="7"/>
      <c r="D91" s="20" t="s">
        <v>527</v>
      </c>
      <c r="E91" s="13"/>
      <c r="F91" s="13"/>
      <c r="G91" s="13"/>
      <c r="H91" s="13"/>
      <c r="I91" s="13"/>
      <c r="J91" s="13"/>
      <c r="K91" s="13"/>
      <c r="L91" s="13"/>
      <c r="M91" s="13"/>
      <c r="N91" s="13"/>
      <c r="O91" s="13"/>
      <c r="P91" s="13"/>
      <c r="Q91" s="10"/>
    </row>
    <row r="92" spans="3:17" ht="6.9" customHeight="1" x14ac:dyDescent="0.2">
      <c r="C92" s="7"/>
      <c r="D92" s="20"/>
      <c r="E92" s="13"/>
      <c r="F92" s="13"/>
      <c r="G92" s="13"/>
      <c r="H92" s="13"/>
      <c r="I92" s="13"/>
      <c r="J92" s="13"/>
      <c r="K92" s="13"/>
      <c r="L92" s="13"/>
      <c r="M92" s="13"/>
      <c r="N92" s="13"/>
      <c r="O92" s="13"/>
      <c r="P92" s="13"/>
      <c r="Q92" s="10"/>
    </row>
    <row r="93" spans="3:17" ht="12" customHeight="1" x14ac:dyDescent="0.2">
      <c r="C93" s="7"/>
      <c r="D93" s="20" t="s">
        <v>528</v>
      </c>
      <c r="E93" s="13"/>
      <c r="F93" s="13"/>
      <c r="G93" s="13"/>
      <c r="H93" s="13"/>
      <c r="I93" s="13"/>
      <c r="J93" s="13"/>
      <c r="K93" s="13"/>
      <c r="L93" s="13"/>
      <c r="M93" s="13"/>
      <c r="N93" s="13"/>
      <c r="O93" s="13"/>
      <c r="P93" s="13"/>
      <c r="Q93" s="10"/>
    </row>
    <row r="94" spans="3:17" ht="12" customHeight="1" x14ac:dyDescent="0.2">
      <c r="C94" s="7"/>
      <c r="D94" s="20" t="s">
        <v>529</v>
      </c>
      <c r="E94" s="13"/>
      <c r="F94" s="13"/>
      <c r="G94" s="13"/>
      <c r="H94" s="13"/>
      <c r="I94" s="13"/>
      <c r="J94" s="13"/>
      <c r="K94" s="13"/>
      <c r="L94" s="13"/>
      <c r="M94" s="13"/>
      <c r="N94" s="13"/>
      <c r="O94" s="13"/>
      <c r="P94" s="13"/>
      <c r="Q94" s="10"/>
    </row>
    <row r="95" spans="3:17" ht="12" customHeight="1" x14ac:dyDescent="0.2">
      <c r="C95" s="7"/>
      <c r="D95" s="20" t="s">
        <v>530</v>
      </c>
      <c r="E95" s="13"/>
      <c r="F95" s="13"/>
      <c r="G95" s="13"/>
      <c r="H95" s="13"/>
      <c r="I95" s="13"/>
      <c r="J95" s="13"/>
      <c r="K95" s="13"/>
      <c r="L95" s="13"/>
      <c r="M95" s="13"/>
      <c r="N95" s="13"/>
      <c r="O95" s="13"/>
      <c r="P95" s="13"/>
      <c r="Q95" s="10"/>
    </row>
    <row r="96" spans="3:17" ht="12" customHeight="1" x14ac:dyDescent="0.2">
      <c r="C96" s="7"/>
      <c r="D96" s="20" t="s">
        <v>531</v>
      </c>
      <c r="E96" s="13"/>
      <c r="F96" s="13"/>
      <c r="G96" s="13"/>
      <c r="H96" s="13"/>
      <c r="I96" s="13"/>
      <c r="J96" s="13"/>
      <c r="K96" s="13"/>
      <c r="L96" s="13"/>
      <c r="M96" s="13"/>
      <c r="N96" s="13"/>
      <c r="O96" s="13"/>
      <c r="P96" s="13"/>
      <c r="Q96" s="10"/>
    </row>
    <row r="97" spans="3:17" ht="12" customHeight="1" x14ac:dyDescent="0.2">
      <c r="C97" s="7"/>
      <c r="D97" s="20" t="s">
        <v>271</v>
      </c>
      <c r="E97" s="13"/>
      <c r="F97" s="13"/>
      <c r="G97" s="13"/>
      <c r="H97" s="13"/>
      <c r="I97" s="13"/>
      <c r="J97" s="13"/>
      <c r="K97" s="13"/>
      <c r="L97" s="13"/>
      <c r="M97" s="13"/>
      <c r="N97" s="13"/>
      <c r="O97" s="13"/>
      <c r="P97" s="13"/>
      <c r="Q97" s="10"/>
    </row>
    <row r="98" spans="3:17" ht="12" customHeight="1" x14ac:dyDescent="0.2">
      <c r="C98" s="7"/>
      <c r="D98" s="20" t="s">
        <v>272</v>
      </c>
      <c r="E98" s="13"/>
      <c r="F98" s="13"/>
      <c r="G98" s="13"/>
      <c r="H98" s="13"/>
      <c r="I98" s="13"/>
      <c r="J98" s="13"/>
      <c r="K98" s="13"/>
      <c r="L98" s="13"/>
      <c r="M98" s="13"/>
      <c r="N98" s="13"/>
      <c r="O98" s="13"/>
      <c r="P98" s="13"/>
      <c r="Q98" s="10"/>
    </row>
    <row r="99" spans="3:17" ht="6.9" customHeight="1" x14ac:dyDescent="0.2">
      <c r="C99" s="7"/>
      <c r="D99" s="20"/>
      <c r="E99" s="13"/>
      <c r="F99" s="13"/>
      <c r="G99" s="13"/>
      <c r="H99" s="13"/>
      <c r="I99" s="13"/>
      <c r="J99" s="13"/>
      <c r="K99" s="13"/>
      <c r="L99" s="13"/>
      <c r="M99" s="13"/>
      <c r="N99" s="13"/>
      <c r="O99" s="13"/>
      <c r="P99" s="13"/>
      <c r="Q99" s="10"/>
    </row>
    <row r="100" spans="3:17" ht="12" customHeight="1" x14ac:dyDescent="0.2">
      <c r="C100" s="7"/>
      <c r="D100" s="20" t="s">
        <v>273</v>
      </c>
      <c r="E100" s="13"/>
      <c r="F100" s="13"/>
      <c r="G100" s="13"/>
      <c r="H100" s="13"/>
      <c r="I100" s="13"/>
      <c r="J100" s="13"/>
      <c r="K100" s="13"/>
      <c r="L100" s="13"/>
      <c r="M100" s="13"/>
      <c r="N100" s="13"/>
      <c r="O100" s="13"/>
      <c r="P100" s="13"/>
      <c r="Q100" s="10"/>
    </row>
    <row r="101" spans="3:17" ht="6.9" customHeight="1" x14ac:dyDescent="0.2">
      <c r="C101" s="7"/>
      <c r="D101" s="33"/>
      <c r="E101" s="34"/>
      <c r="F101" s="34"/>
      <c r="G101" s="34"/>
      <c r="H101" s="34"/>
      <c r="I101" s="34"/>
      <c r="J101" s="34"/>
      <c r="K101" s="34"/>
      <c r="L101" s="34"/>
      <c r="M101" s="34"/>
      <c r="N101" s="34"/>
      <c r="O101" s="34"/>
      <c r="P101" s="34"/>
      <c r="Q101" s="10"/>
    </row>
    <row r="102" spans="3:17" x14ac:dyDescent="0.2">
      <c r="C102" s="7"/>
      <c r="D102" s="14"/>
      <c r="E102" s="13"/>
      <c r="F102" s="13"/>
      <c r="G102" s="13"/>
      <c r="H102" s="13"/>
      <c r="I102" s="13"/>
      <c r="J102" s="13"/>
      <c r="K102" s="13"/>
      <c r="L102" s="13"/>
      <c r="M102" s="13"/>
      <c r="N102" s="13"/>
      <c r="O102" s="13"/>
      <c r="P102" s="13"/>
      <c r="Q102" s="10"/>
    </row>
    <row r="103" spans="3:17" x14ac:dyDescent="0.2">
      <c r="C103" s="7"/>
      <c r="D103" s="412" t="s">
        <v>274</v>
      </c>
      <c r="E103" s="412"/>
      <c r="F103" s="412"/>
      <c r="G103" s="412"/>
      <c r="H103" s="412"/>
      <c r="I103" s="412"/>
      <c r="J103" s="413" t="s">
        <v>275</v>
      </c>
      <c r="K103" s="413"/>
      <c r="L103" s="404" t="s">
        <v>276</v>
      </c>
      <c r="M103" s="404"/>
      <c r="N103" s="9"/>
      <c r="O103" s="9"/>
      <c r="P103" s="9"/>
      <c r="Q103" s="10"/>
    </row>
    <row r="104" spans="3:17" ht="12" thickBot="1" x14ac:dyDescent="0.25">
      <c r="C104" s="35"/>
      <c r="D104" s="36"/>
      <c r="E104" s="36"/>
      <c r="F104" s="36"/>
      <c r="G104" s="36"/>
      <c r="H104" s="36"/>
      <c r="I104" s="36"/>
      <c r="J104" s="36"/>
      <c r="K104" s="36"/>
      <c r="L104" s="36"/>
      <c r="M104" s="36"/>
      <c r="N104" s="36"/>
      <c r="O104" s="36"/>
      <c r="P104" s="36"/>
      <c r="Q104" s="37"/>
    </row>
  </sheetData>
  <sheetProtection password="9AE1" sheet="1" objects="1" scenarios="1"/>
  <mergeCells count="10">
    <mergeCell ref="M1:N1"/>
    <mergeCell ref="M2:N2"/>
    <mergeCell ref="L103:M103"/>
    <mergeCell ref="C6:Q7"/>
    <mergeCell ref="D19:E19"/>
    <mergeCell ref="D103:I103"/>
    <mergeCell ref="J103:K103"/>
    <mergeCell ref="H3:I3"/>
    <mergeCell ref="J3:K3"/>
    <mergeCell ref="F3:G3"/>
  </mergeCells>
  <phoneticPr fontId="5" type="noConversion"/>
  <hyperlinks>
    <hyperlink ref="J103:K103" location="'Eigene Hinweise'!A1" tooltip="Hinweise des Tippspielleiters" display="weitere Hinweise" xr:uid="{3629A780-C16D-441D-8C80-B9EC69BD8F6C}"/>
    <hyperlink ref="L103:M103" location="'Hinweise Extratipps'!B1" tooltip="Hinweise Extratipps" display="Hinweise Extratipps" xr:uid="{ABF62A66-37A5-4D54-AA80-34C627B430A9}"/>
    <hyperlink ref="F3" location="'Hinweise Extratipps'!A1" tooltip="HINWEISE EXTRATIPPS" display="EXTRATIPPS" xr:uid="{CC9BA831-72EB-41BD-AEC4-755836BAF11E}"/>
    <hyperlink ref="H3:I3" location="'Eigene Hinweise'!A1" tooltip="EIGENE HINWEISE" display="EIGENE HINWEISE" xr:uid="{45F70980-E584-4E4F-BDBC-537751F74CCF}"/>
    <hyperlink ref="J3:K3" location="Tippabgabe!T27" tooltip="TIPPABGABE" display="TIPPABGABE" xr:uid="{5ACB2BC7-180C-48C2-84D1-2DFD12495570}"/>
  </hyperlinks>
  <pageMargins left="0.59055118110236227" right="0.59055118110236227" top="0.59055118110236227" bottom="0.59055118110236227" header="0.31496062992125984" footer="0.31496062992125984"/>
  <pageSetup paperSize="9" orientation="portrait" blackAndWhite="1" horizontalDpi="4294967293" verticalDpi="0" r:id="rId1"/>
  <headerFooter alignWithMargins="0">
    <oddHeader>&amp;LEM 2024 - Tippspiel XXL&amp;CTippformular&amp;RHinweise zur Nutzung</oddHeader>
    <oddFooter>&amp;Rhttps://www.hexceler..de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3804A-0FC0-42A2-A893-F375E2FB404D}">
  <sheetPr codeName="Tabelle5"/>
  <dimension ref="B1:AA101"/>
  <sheetViews>
    <sheetView showGridLines="0" showRowColHeaders="0" topLeftCell="A41" zoomScale="112" workbookViewId="0"/>
  </sheetViews>
  <sheetFormatPr baseColWidth="10" defaultRowHeight="10.199999999999999" x14ac:dyDescent="0.2"/>
  <cols>
    <col min="1" max="1" width="1.75" customWidth="1"/>
    <col min="2" max="2" width="4.75" customWidth="1"/>
    <col min="3" max="3" width="40.75" customWidth="1"/>
    <col min="4" max="4" width="15.75" customWidth="1"/>
    <col min="6" max="6" width="18.75" customWidth="1"/>
    <col min="8" max="8" width="1.75" customWidth="1"/>
    <col min="13" max="13" width="5.75" customWidth="1"/>
    <col min="14" max="14" width="4.75" customWidth="1"/>
    <col min="27" max="27" width="0" hidden="1" customWidth="1"/>
  </cols>
  <sheetData>
    <row r="1" spans="2:27" ht="11.4" x14ac:dyDescent="0.2">
      <c r="B1" s="38" t="s">
        <v>239</v>
      </c>
      <c r="K1" s="403" t="s">
        <v>766</v>
      </c>
      <c r="L1" s="403"/>
      <c r="M1" s="4" t="s">
        <v>767</v>
      </c>
      <c r="AA1" t="s">
        <v>276</v>
      </c>
    </row>
    <row r="2" spans="2:27" ht="11.4" x14ac:dyDescent="0.2">
      <c r="K2" s="403" t="s">
        <v>768</v>
      </c>
      <c r="L2" s="403"/>
      <c r="M2" t="s">
        <v>237</v>
      </c>
    </row>
    <row r="3" spans="2:27" x14ac:dyDescent="0.2">
      <c r="C3" s="55" t="s">
        <v>219</v>
      </c>
      <c r="D3" s="366" t="s">
        <v>216</v>
      </c>
      <c r="E3" s="416" t="s">
        <v>220</v>
      </c>
      <c r="F3" s="417"/>
      <c r="G3" s="417" t="s">
        <v>217</v>
      </c>
      <c r="H3" s="417"/>
    </row>
    <row r="5" spans="2:27" x14ac:dyDescent="0.2">
      <c r="B5" s="39" t="s">
        <v>240</v>
      </c>
      <c r="D5" s="40"/>
      <c r="E5" s="40"/>
      <c r="F5" s="40"/>
      <c r="M5" s="41"/>
    </row>
    <row r="6" spans="2:27" x14ac:dyDescent="0.2">
      <c r="B6" s="42"/>
      <c r="C6" s="40"/>
      <c r="D6" s="40"/>
      <c r="E6" s="40"/>
      <c r="F6" s="40"/>
      <c r="G6" s="40"/>
      <c r="H6" s="40"/>
      <c r="I6" s="40"/>
    </row>
    <row r="7" spans="2:27" ht="20.399999999999999" x14ac:dyDescent="0.2">
      <c r="B7" s="43" t="s">
        <v>277</v>
      </c>
      <c r="C7" s="44" t="s">
        <v>278</v>
      </c>
      <c r="D7" s="45" t="s">
        <v>279</v>
      </c>
      <c r="E7" s="43" t="s">
        <v>280</v>
      </c>
      <c r="F7" s="45" t="s">
        <v>281</v>
      </c>
      <c r="G7" s="45" t="s">
        <v>282</v>
      </c>
      <c r="H7" s="46"/>
      <c r="I7" s="47" t="s">
        <v>283</v>
      </c>
      <c r="J7" s="48"/>
      <c r="K7" s="48"/>
      <c r="L7" s="48"/>
      <c r="M7" s="48"/>
      <c r="N7" s="49"/>
    </row>
    <row r="8" spans="2:27" ht="11.4" x14ac:dyDescent="0.2">
      <c r="B8" s="50">
        <v>1</v>
      </c>
      <c r="C8" s="365" t="s">
        <v>284</v>
      </c>
      <c r="D8" s="50">
        <v>1</v>
      </c>
      <c r="E8" s="51" t="s">
        <v>3651</v>
      </c>
      <c r="F8" s="51">
        <v>15</v>
      </c>
      <c r="G8" s="51" t="s">
        <v>3652</v>
      </c>
      <c r="H8" s="367"/>
      <c r="I8" s="368" t="s">
        <v>285</v>
      </c>
      <c r="J8" s="369"/>
      <c r="K8" s="369"/>
      <c r="L8" s="369"/>
      <c r="M8" s="369"/>
      <c r="N8" s="370"/>
    </row>
    <row r="9" spans="2:27" ht="11.4" x14ac:dyDescent="0.2">
      <c r="B9" s="50">
        <v>2</v>
      </c>
      <c r="C9" s="365" t="s">
        <v>21</v>
      </c>
      <c r="D9" s="50">
        <v>1</v>
      </c>
      <c r="E9" s="51" t="s">
        <v>3651</v>
      </c>
      <c r="F9" s="51">
        <v>10</v>
      </c>
      <c r="G9" s="51" t="s">
        <v>3652</v>
      </c>
      <c r="H9" s="367"/>
      <c r="I9" s="368"/>
      <c r="J9" s="369"/>
      <c r="K9" s="369"/>
      <c r="L9" s="369"/>
      <c r="M9" s="369"/>
      <c r="N9" s="370"/>
    </row>
    <row r="10" spans="2:27" ht="11.4" x14ac:dyDescent="0.2">
      <c r="B10" s="50">
        <v>3</v>
      </c>
      <c r="C10" s="365" t="s">
        <v>202</v>
      </c>
      <c r="D10" s="50">
        <v>1</v>
      </c>
      <c r="E10" s="51" t="s">
        <v>3651</v>
      </c>
      <c r="F10" s="51">
        <v>5</v>
      </c>
      <c r="G10" s="51" t="s">
        <v>3652</v>
      </c>
      <c r="H10" s="367"/>
      <c r="I10" s="368"/>
      <c r="J10" s="369"/>
      <c r="K10" s="369"/>
      <c r="L10" s="369"/>
      <c r="M10" s="369"/>
      <c r="N10" s="370"/>
    </row>
    <row r="11" spans="2:27" ht="11.4" x14ac:dyDescent="0.2">
      <c r="B11" s="50">
        <v>4</v>
      </c>
      <c r="C11" s="365" t="s">
        <v>203</v>
      </c>
      <c r="D11" s="50">
        <v>1</v>
      </c>
      <c r="E11" s="51"/>
      <c r="F11" s="51"/>
      <c r="G11" s="51"/>
      <c r="H11" s="367"/>
      <c r="I11" s="368"/>
      <c r="J11" s="369"/>
      <c r="K11" s="369"/>
      <c r="L11" s="369"/>
      <c r="M11" s="369"/>
      <c r="N11" s="370"/>
    </row>
    <row r="12" spans="2:27" ht="11.4" x14ac:dyDescent="0.2">
      <c r="B12" s="50">
        <v>5</v>
      </c>
      <c r="C12" s="365" t="s">
        <v>204</v>
      </c>
      <c r="D12" s="50">
        <v>1</v>
      </c>
      <c r="E12" s="51"/>
      <c r="F12" s="51"/>
      <c r="G12" s="51"/>
      <c r="H12" s="367"/>
      <c r="I12" s="368"/>
      <c r="J12" s="369"/>
      <c r="K12" s="369"/>
      <c r="L12" s="369"/>
      <c r="M12" s="369"/>
      <c r="N12" s="370"/>
    </row>
    <row r="13" spans="2:27" ht="11.4" x14ac:dyDescent="0.2">
      <c r="B13" s="50">
        <v>6</v>
      </c>
      <c r="C13" s="365" t="s">
        <v>286</v>
      </c>
      <c r="D13" s="50">
        <v>2</v>
      </c>
      <c r="E13" s="51"/>
      <c r="F13" s="51"/>
      <c r="G13" s="51"/>
      <c r="H13" s="367"/>
      <c r="I13" s="368"/>
      <c r="J13" s="369"/>
      <c r="K13" s="369"/>
      <c r="L13" s="369"/>
      <c r="M13" s="369"/>
      <c r="N13" s="370"/>
    </row>
    <row r="14" spans="2:27" ht="11.4" x14ac:dyDescent="0.2">
      <c r="B14" s="50">
        <v>7</v>
      </c>
      <c r="C14" s="365" t="s">
        <v>205</v>
      </c>
      <c r="D14" s="50">
        <v>2</v>
      </c>
      <c r="E14" s="51"/>
      <c r="F14" s="51"/>
      <c r="G14" s="51"/>
      <c r="H14" s="367"/>
      <c r="I14" s="368"/>
      <c r="J14" s="369"/>
      <c r="K14" s="369"/>
      <c r="L14" s="369"/>
      <c r="M14" s="369"/>
      <c r="N14" s="370"/>
    </row>
    <row r="15" spans="2:27" ht="11.4" x14ac:dyDescent="0.2">
      <c r="B15" s="50">
        <v>8</v>
      </c>
      <c r="C15" s="365" t="s">
        <v>287</v>
      </c>
      <c r="D15" s="50">
        <v>4</v>
      </c>
      <c r="E15" s="51"/>
      <c r="F15" s="51"/>
      <c r="G15" s="51"/>
      <c r="H15" s="367"/>
      <c r="I15" s="368"/>
      <c r="J15" s="369"/>
      <c r="K15" s="369"/>
      <c r="L15" s="369"/>
      <c r="M15" s="369"/>
      <c r="N15" s="370"/>
    </row>
    <row r="16" spans="2:27" ht="11.4" x14ac:dyDescent="0.2">
      <c r="B16" s="50">
        <v>9</v>
      </c>
      <c r="C16" s="365" t="s">
        <v>288</v>
      </c>
      <c r="D16" s="50">
        <v>8</v>
      </c>
      <c r="E16" s="51"/>
      <c r="F16" s="51"/>
      <c r="G16" s="51"/>
      <c r="H16" s="367"/>
      <c r="I16" s="368"/>
      <c r="J16" s="369"/>
      <c r="K16" s="369"/>
      <c r="L16" s="369"/>
      <c r="M16" s="369"/>
      <c r="N16" s="370"/>
    </row>
    <row r="17" spans="2:14" ht="11.4" x14ac:dyDescent="0.2">
      <c r="B17" s="50">
        <v>10</v>
      </c>
      <c r="C17" s="365" t="s">
        <v>289</v>
      </c>
      <c r="D17" s="50">
        <v>16</v>
      </c>
      <c r="E17" s="51"/>
      <c r="F17" s="51"/>
      <c r="G17" s="51"/>
      <c r="H17" s="367"/>
      <c r="I17" s="368" t="s">
        <v>290</v>
      </c>
      <c r="J17" s="369"/>
      <c r="K17" s="369"/>
      <c r="L17" s="369"/>
      <c r="M17" s="369"/>
      <c r="N17" s="370"/>
    </row>
    <row r="18" spans="2:14" ht="11.4" x14ac:dyDescent="0.2">
      <c r="B18" s="50">
        <v>11</v>
      </c>
      <c r="C18" s="365" t="s">
        <v>291</v>
      </c>
      <c r="D18" s="50">
        <v>1</v>
      </c>
      <c r="E18" s="51"/>
      <c r="F18" s="51"/>
      <c r="G18" s="51"/>
      <c r="H18" s="367"/>
      <c r="I18" s="368"/>
      <c r="J18" s="369"/>
      <c r="K18" s="369"/>
      <c r="L18" s="369"/>
      <c r="M18" s="369"/>
      <c r="N18" s="370"/>
    </row>
    <row r="19" spans="2:14" ht="11.4" x14ac:dyDescent="0.2">
      <c r="B19" s="50">
        <v>12</v>
      </c>
      <c r="C19" s="365" t="s">
        <v>292</v>
      </c>
      <c r="D19" s="50">
        <v>1</v>
      </c>
      <c r="E19" s="51"/>
      <c r="F19" s="51"/>
      <c r="G19" s="51"/>
      <c r="H19" s="367"/>
      <c r="I19" s="368"/>
      <c r="J19" s="369"/>
      <c r="K19" s="369"/>
      <c r="L19" s="369"/>
      <c r="M19" s="369"/>
      <c r="N19" s="370"/>
    </row>
    <row r="20" spans="2:14" ht="11.4" x14ac:dyDescent="0.2">
      <c r="B20" s="50">
        <v>13</v>
      </c>
      <c r="C20" s="365" t="s">
        <v>293</v>
      </c>
      <c r="D20" s="50">
        <v>1</v>
      </c>
      <c r="E20" s="51"/>
      <c r="F20" s="51"/>
      <c r="G20" s="51"/>
      <c r="H20" s="367"/>
      <c r="I20" s="368"/>
      <c r="J20" s="369"/>
      <c r="K20" s="369"/>
      <c r="L20" s="369"/>
      <c r="M20" s="369"/>
      <c r="N20" s="370"/>
    </row>
    <row r="21" spans="2:14" ht="11.4" x14ac:dyDescent="0.2">
      <c r="B21" s="50">
        <v>14</v>
      </c>
      <c r="C21" s="365" t="s">
        <v>294</v>
      </c>
      <c r="D21" s="50">
        <v>1</v>
      </c>
      <c r="E21" s="51"/>
      <c r="F21" s="51"/>
      <c r="G21" s="51"/>
      <c r="H21" s="367"/>
      <c r="I21" s="368"/>
      <c r="J21" s="369"/>
      <c r="K21" s="369"/>
      <c r="L21" s="369"/>
      <c r="M21" s="369"/>
      <c r="N21" s="370"/>
    </row>
    <row r="22" spans="2:14" ht="11.4" x14ac:dyDescent="0.2">
      <c r="B22" s="50">
        <v>15</v>
      </c>
      <c r="C22" s="365" t="s">
        <v>295</v>
      </c>
      <c r="D22" s="50">
        <v>1</v>
      </c>
      <c r="E22" s="51"/>
      <c r="F22" s="51"/>
      <c r="G22" s="51"/>
      <c r="H22" s="367"/>
      <c r="I22" s="368"/>
      <c r="J22" s="369"/>
      <c r="K22" s="369"/>
      <c r="L22" s="369"/>
      <c r="M22" s="369"/>
      <c r="N22" s="370"/>
    </row>
    <row r="23" spans="2:14" ht="11.4" x14ac:dyDescent="0.2">
      <c r="B23" s="50">
        <v>16</v>
      </c>
      <c r="C23" s="365" t="s">
        <v>296</v>
      </c>
      <c r="D23" s="50">
        <v>1</v>
      </c>
      <c r="E23" s="51"/>
      <c r="F23" s="51"/>
      <c r="G23" s="51"/>
      <c r="H23" s="367"/>
      <c r="I23" s="368"/>
      <c r="J23" s="369"/>
      <c r="K23" s="369"/>
      <c r="L23" s="369"/>
      <c r="M23" s="369"/>
      <c r="N23" s="370"/>
    </row>
    <row r="24" spans="2:14" ht="11.4" x14ac:dyDescent="0.2">
      <c r="B24" s="50">
        <v>17</v>
      </c>
      <c r="C24" s="365" t="s">
        <v>297</v>
      </c>
      <c r="D24" s="50">
        <v>1</v>
      </c>
      <c r="E24" s="51"/>
      <c r="F24" s="51"/>
      <c r="G24" s="51"/>
      <c r="H24" s="367"/>
      <c r="I24" s="368"/>
      <c r="J24" s="369"/>
      <c r="K24" s="369"/>
      <c r="L24" s="369"/>
      <c r="M24" s="369"/>
      <c r="N24" s="370"/>
    </row>
    <row r="25" spans="2:14" ht="11.4" x14ac:dyDescent="0.2">
      <c r="B25" s="50">
        <v>18</v>
      </c>
      <c r="C25" s="365" t="s">
        <v>298</v>
      </c>
      <c r="D25" s="50">
        <v>1</v>
      </c>
      <c r="E25" s="51"/>
      <c r="F25" s="51"/>
      <c r="G25" s="51"/>
      <c r="H25" s="367"/>
      <c r="I25" s="368"/>
      <c r="J25" s="369"/>
      <c r="K25" s="369"/>
      <c r="L25" s="369"/>
      <c r="M25" s="369"/>
      <c r="N25" s="370"/>
    </row>
    <row r="26" spans="2:14" ht="11.4" x14ac:dyDescent="0.2">
      <c r="B26" s="50">
        <v>19</v>
      </c>
      <c r="C26" s="365" t="s">
        <v>299</v>
      </c>
      <c r="D26" s="50">
        <v>1</v>
      </c>
      <c r="E26" s="51"/>
      <c r="F26" s="51"/>
      <c r="G26" s="51"/>
      <c r="H26" s="367"/>
      <c r="I26" s="368"/>
      <c r="J26" s="369"/>
      <c r="K26" s="369"/>
      <c r="L26" s="369"/>
      <c r="M26" s="369"/>
      <c r="N26" s="370"/>
    </row>
    <row r="27" spans="2:14" ht="11.4" x14ac:dyDescent="0.2">
      <c r="B27" s="50">
        <v>20</v>
      </c>
      <c r="C27" s="365" t="s">
        <v>300</v>
      </c>
      <c r="D27" s="50">
        <v>1</v>
      </c>
      <c r="E27" s="51"/>
      <c r="F27" s="51"/>
      <c r="G27" s="51"/>
      <c r="H27" s="367"/>
      <c r="I27" s="368"/>
      <c r="J27" s="369"/>
      <c r="K27" s="369"/>
      <c r="L27" s="369"/>
      <c r="M27" s="369"/>
      <c r="N27" s="370"/>
    </row>
    <row r="28" spans="2:14" ht="11.4" x14ac:dyDescent="0.2">
      <c r="B28" s="50">
        <v>21</v>
      </c>
      <c r="C28" s="365" t="s">
        <v>301</v>
      </c>
      <c r="D28" s="50">
        <v>1</v>
      </c>
      <c r="E28" s="51"/>
      <c r="F28" s="51"/>
      <c r="G28" s="51"/>
      <c r="H28" s="367"/>
      <c r="I28" s="368"/>
      <c r="J28" s="369"/>
      <c r="K28" s="369"/>
      <c r="L28" s="369"/>
      <c r="M28" s="369"/>
      <c r="N28" s="370"/>
    </row>
    <row r="29" spans="2:14" ht="11.4" x14ac:dyDescent="0.2">
      <c r="B29" s="50">
        <v>22</v>
      </c>
      <c r="C29" s="365" t="s">
        <v>302</v>
      </c>
      <c r="D29" s="50">
        <v>1</v>
      </c>
      <c r="E29" s="51"/>
      <c r="F29" s="51"/>
      <c r="G29" s="51"/>
      <c r="H29" s="367"/>
      <c r="I29" s="368"/>
      <c r="J29" s="369"/>
      <c r="K29" s="369"/>
      <c r="L29" s="369"/>
      <c r="M29" s="369"/>
      <c r="N29" s="370"/>
    </row>
    <row r="30" spans="2:14" ht="11.4" x14ac:dyDescent="0.2">
      <c r="B30" s="50">
        <v>23</v>
      </c>
      <c r="C30" s="365" t="s">
        <v>303</v>
      </c>
      <c r="D30" s="50">
        <v>1</v>
      </c>
      <c r="E30" s="51"/>
      <c r="F30" s="51"/>
      <c r="G30" s="51"/>
      <c r="H30" s="367"/>
      <c r="I30" s="368"/>
      <c r="J30" s="369"/>
      <c r="K30" s="369"/>
      <c r="L30" s="369"/>
      <c r="M30" s="369"/>
      <c r="N30" s="370"/>
    </row>
    <row r="31" spans="2:14" ht="11.4" x14ac:dyDescent="0.2">
      <c r="B31" s="50">
        <v>24</v>
      </c>
      <c r="C31" s="365" t="s">
        <v>304</v>
      </c>
      <c r="D31" s="50">
        <v>1</v>
      </c>
      <c r="E31" s="51"/>
      <c r="F31" s="51"/>
      <c r="G31" s="51"/>
      <c r="H31" s="367"/>
      <c r="I31" s="368"/>
      <c r="J31" s="369"/>
      <c r="K31" s="369"/>
      <c r="L31" s="369"/>
      <c r="M31" s="369"/>
      <c r="N31" s="370"/>
    </row>
    <row r="32" spans="2:14" ht="11.4" x14ac:dyDescent="0.2">
      <c r="B32" s="50">
        <v>25</v>
      </c>
      <c r="C32" s="365" t="s">
        <v>305</v>
      </c>
      <c r="D32" s="50">
        <v>1</v>
      </c>
      <c r="E32" s="51"/>
      <c r="F32" s="51"/>
      <c r="G32" s="51"/>
      <c r="H32" s="367"/>
      <c r="I32" s="368"/>
      <c r="J32" s="369"/>
      <c r="K32" s="369"/>
      <c r="L32" s="369"/>
      <c r="M32" s="369"/>
      <c r="N32" s="370"/>
    </row>
    <row r="33" spans="2:14" ht="11.4" x14ac:dyDescent="0.2">
      <c r="B33" s="50">
        <v>26</v>
      </c>
      <c r="C33" s="365" t="s">
        <v>306</v>
      </c>
      <c r="D33" s="50">
        <v>1</v>
      </c>
      <c r="E33" s="51"/>
      <c r="F33" s="51"/>
      <c r="G33" s="51"/>
      <c r="H33" s="367"/>
      <c r="I33" s="368"/>
      <c r="J33" s="369"/>
      <c r="K33" s="369"/>
      <c r="L33" s="369"/>
      <c r="M33" s="369"/>
      <c r="N33" s="370"/>
    </row>
    <row r="34" spans="2:14" ht="11.4" x14ac:dyDescent="0.2">
      <c r="B34" s="50">
        <v>27</v>
      </c>
      <c r="C34" s="365" t="s">
        <v>307</v>
      </c>
      <c r="D34" s="50">
        <v>1</v>
      </c>
      <c r="E34" s="51"/>
      <c r="F34" s="51"/>
      <c r="G34" s="51"/>
      <c r="H34" s="367"/>
      <c r="I34" s="368"/>
      <c r="J34" s="369"/>
      <c r="K34" s="369"/>
      <c r="L34" s="369"/>
      <c r="M34" s="369"/>
      <c r="N34" s="370"/>
    </row>
    <row r="35" spans="2:14" ht="11.4" x14ac:dyDescent="0.2">
      <c r="B35" s="50">
        <v>28</v>
      </c>
      <c r="C35" s="365" t="s">
        <v>308</v>
      </c>
      <c r="D35" s="50">
        <v>1</v>
      </c>
      <c r="E35" s="51"/>
      <c r="F35" s="51"/>
      <c r="G35" s="51"/>
      <c r="H35" s="367"/>
      <c r="I35" s="368"/>
      <c r="J35" s="369"/>
      <c r="K35" s="369"/>
      <c r="L35" s="369"/>
      <c r="M35" s="369"/>
      <c r="N35" s="370"/>
    </row>
    <row r="36" spans="2:14" ht="11.4" x14ac:dyDescent="0.2">
      <c r="B36" s="50">
        <v>29</v>
      </c>
      <c r="C36" s="365" t="s">
        <v>309</v>
      </c>
      <c r="D36" s="50">
        <v>1</v>
      </c>
      <c r="E36" s="51"/>
      <c r="F36" s="51"/>
      <c r="G36" s="51"/>
      <c r="H36" s="367"/>
      <c r="I36" s="368"/>
      <c r="J36" s="369"/>
      <c r="K36" s="369"/>
      <c r="L36" s="369"/>
      <c r="M36" s="369"/>
      <c r="N36" s="370"/>
    </row>
    <row r="37" spans="2:14" ht="11.4" x14ac:dyDescent="0.2">
      <c r="B37" s="50">
        <v>30</v>
      </c>
      <c r="C37" s="365" t="s">
        <v>310</v>
      </c>
      <c r="D37" s="50">
        <v>1</v>
      </c>
      <c r="E37" s="51"/>
      <c r="F37" s="51"/>
      <c r="G37" s="51"/>
      <c r="H37" s="367"/>
      <c r="I37" s="368"/>
      <c r="J37" s="369"/>
      <c r="K37" s="369"/>
      <c r="L37" s="369"/>
      <c r="M37" s="369"/>
      <c r="N37" s="370"/>
    </row>
    <row r="38" spans="2:14" ht="11.4" x14ac:dyDescent="0.2">
      <c r="B38" s="50">
        <v>31</v>
      </c>
      <c r="C38" s="365" t="s">
        <v>311</v>
      </c>
      <c r="D38" s="50">
        <v>1</v>
      </c>
      <c r="E38" s="51"/>
      <c r="F38" s="51"/>
      <c r="G38" s="51"/>
      <c r="H38" s="367"/>
      <c r="I38" s="368"/>
      <c r="J38" s="369"/>
      <c r="K38" s="369"/>
      <c r="L38" s="369"/>
      <c r="M38" s="369"/>
      <c r="N38" s="370"/>
    </row>
    <row r="39" spans="2:14" ht="11.4" x14ac:dyDescent="0.2">
      <c r="B39" s="50">
        <v>32</v>
      </c>
      <c r="C39" s="365" t="s">
        <v>312</v>
      </c>
      <c r="D39" s="50">
        <v>1</v>
      </c>
      <c r="E39" s="51"/>
      <c r="F39" s="51"/>
      <c r="G39" s="51"/>
      <c r="H39" s="367"/>
      <c r="I39" s="368"/>
      <c r="J39" s="369"/>
      <c r="K39" s="369"/>
      <c r="L39" s="369"/>
      <c r="M39" s="369"/>
      <c r="N39" s="370"/>
    </row>
    <row r="40" spans="2:14" ht="11.4" x14ac:dyDescent="0.2">
      <c r="B40" s="50">
        <v>33</v>
      </c>
      <c r="C40" s="365" t="s">
        <v>313</v>
      </c>
      <c r="D40" s="50">
        <v>1</v>
      </c>
      <c r="E40" s="51"/>
      <c r="F40" s="51"/>
      <c r="G40" s="51"/>
      <c r="H40" s="367"/>
      <c r="I40" s="368"/>
      <c r="J40" s="369"/>
      <c r="K40" s="369"/>
      <c r="L40" s="369"/>
      <c r="M40" s="369"/>
      <c r="N40" s="370"/>
    </row>
    <row r="41" spans="2:14" ht="11.4" x14ac:dyDescent="0.2">
      <c r="B41" s="50">
        <v>34</v>
      </c>
      <c r="C41" s="365" t="s">
        <v>314</v>
      </c>
      <c r="D41" s="50">
        <v>1</v>
      </c>
      <c r="E41" s="51"/>
      <c r="F41" s="51"/>
      <c r="G41" s="51"/>
      <c r="H41" s="367"/>
      <c r="I41" s="369"/>
      <c r="J41" s="369"/>
      <c r="K41" s="369"/>
      <c r="L41" s="369"/>
      <c r="M41" s="369"/>
      <c r="N41" s="370"/>
    </row>
    <row r="42" spans="2:14" ht="11.4" x14ac:dyDescent="0.2">
      <c r="B42" s="50">
        <v>35</v>
      </c>
      <c r="C42" s="365" t="s">
        <v>206</v>
      </c>
      <c r="D42" s="50">
        <v>1</v>
      </c>
      <c r="E42" s="51"/>
      <c r="F42" s="51"/>
      <c r="G42" s="51"/>
      <c r="H42" s="367"/>
      <c r="I42" s="369" t="s">
        <v>316</v>
      </c>
      <c r="J42" s="369"/>
      <c r="K42" s="369"/>
      <c r="L42" s="369"/>
      <c r="M42" s="369"/>
      <c r="N42" s="370"/>
    </row>
    <row r="43" spans="2:14" ht="11.4" x14ac:dyDescent="0.2">
      <c r="B43" s="50">
        <v>36</v>
      </c>
      <c r="C43" s="365" t="s">
        <v>207</v>
      </c>
      <c r="D43" s="50">
        <v>1</v>
      </c>
      <c r="E43" s="51"/>
      <c r="F43" s="51"/>
      <c r="G43" s="51"/>
      <c r="H43" s="367"/>
      <c r="I43" s="369" t="s">
        <v>318</v>
      </c>
      <c r="J43" s="369"/>
      <c r="K43" s="369"/>
      <c r="L43" s="369"/>
      <c r="M43" s="369"/>
      <c r="N43" s="370"/>
    </row>
    <row r="44" spans="2:14" ht="11.4" x14ac:dyDescent="0.2">
      <c r="B44" s="50">
        <v>37</v>
      </c>
      <c r="C44" s="365" t="s">
        <v>208</v>
      </c>
      <c r="D44" s="50">
        <v>1</v>
      </c>
      <c r="E44" s="51"/>
      <c r="F44" s="51"/>
      <c r="G44" s="51"/>
      <c r="H44" s="367"/>
      <c r="I44" s="369" t="s">
        <v>318</v>
      </c>
      <c r="J44" s="369"/>
      <c r="K44" s="369"/>
      <c r="L44" s="369"/>
      <c r="M44" s="369"/>
      <c r="N44" s="370"/>
    </row>
    <row r="45" spans="2:14" ht="11.4" x14ac:dyDescent="0.2">
      <c r="B45" s="50">
        <v>38</v>
      </c>
      <c r="C45" s="365" t="s">
        <v>209</v>
      </c>
      <c r="D45" s="50">
        <v>1</v>
      </c>
      <c r="E45" s="51"/>
      <c r="F45" s="51"/>
      <c r="G45" s="51"/>
      <c r="H45" s="367"/>
      <c r="I45" s="368" t="s">
        <v>318</v>
      </c>
      <c r="J45" s="369"/>
      <c r="K45" s="369"/>
      <c r="L45" s="369"/>
      <c r="M45" s="369"/>
      <c r="N45" s="370"/>
    </row>
    <row r="46" spans="2:14" ht="11.4" x14ac:dyDescent="0.2">
      <c r="B46" s="50">
        <v>39</v>
      </c>
      <c r="C46" s="365" t="s">
        <v>210</v>
      </c>
      <c r="D46" s="50">
        <v>1</v>
      </c>
      <c r="E46" s="51"/>
      <c r="F46" s="51"/>
      <c r="G46" s="51"/>
      <c r="H46" s="367"/>
      <c r="I46" s="368" t="s">
        <v>318</v>
      </c>
      <c r="J46" s="369"/>
      <c r="K46" s="369"/>
      <c r="L46" s="369"/>
      <c r="M46" s="369"/>
      <c r="N46" s="370"/>
    </row>
    <row r="47" spans="2:14" ht="11.4" x14ac:dyDescent="0.2">
      <c r="B47" s="50">
        <v>40</v>
      </c>
      <c r="C47" s="365" t="s">
        <v>322</v>
      </c>
      <c r="D47" s="50">
        <v>1</v>
      </c>
      <c r="E47" s="51"/>
      <c r="F47" s="51"/>
      <c r="G47" s="51"/>
      <c r="H47" s="367"/>
      <c r="I47" s="368" t="s">
        <v>318</v>
      </c>
      <c r="J47" s="369"/>
      <c r="K47" s="369"/>
      <c r="L47" s="369"/>
      <c r="M47" s="369"/>
      <c r="N47" s="370"/>
    </row>
    <row r="48" spans="2:14" ht="11.4" x14ac:dyDescent="0.2">
      <c r="B48" s="50">
        <v>41</v>
      </c>
      <c r="C48" s="365" t="s">
        <v>323</v>
      </c>
      <c r="D48" s="50">
        <v>1</v>
      </c>
      <c r="E48" s="51"/>
      <c r="F48" s="51"/>
      <c r="G48" s="51"/>
      <c r="H48" s="367"/>
      <c r="I48" s="369" t="s">
        <v>318</v>
      </c>
      <c r="J48" s="369"/>
      <c r="K48" s="369"/>
      <c r="L48" s="369"/>
      <c r="M48" s="369"/>
      <c r="N48" s="370"/>
    </row>
    <row r="49" spans="2:14" ht="11.4" x14ac:dyDescent="0.2">
      <c r="B49" s="50">
        <v>42</v>
      </c>
      <c r="C49" s="365" t="s">
        <v>1157</v>
      </c>
      <c r="D49" s="50">
        <v>1</v>
      </c>
      <c r="E49" s="51"/>
      <c r="F49" s="51"/>
      <c r="G49" s="51"/>
      <c r="H49" s="371"/>
      <c r="I49" s="372" t="s">
        <v>214</v>
      </c>
      <c r="J49" s="373"/>
      <c r="K49" s="373"/>
      <c r="L49" s="373"/>
      <c r="M49" s="373"/>
      <c r="N49" s="374"/>
    </row>
    <row r="50" spans="2:14" ht="11.4" x14ac:dyDescent="0.2">
      <c r="B50" s="50">
        <v>43</v>
      </c>
      <c r="C50" s="365" t="s">
        <v>1158</v>
      </c>
      <c r="D50" s="50">
        <v>1</v>
      </c>
      <c r="E50" s="51"/>
      <c r="F50" s="51"/>
      <c r="G50" s="51"/>
      <c r="H50" s="371"/>
      <c r="I50" s="375" t="s">
        <v>324</v>
      </c>
      <c r="J50" s="373"/>
      <c r="K50" s="373"/>
      <c r="L50" s="373"/>
      <c r="M50" s="373"/>
      <c r="N50" s="374"/>
    </row>
    <row r="51" spans="2:14" ht="11.4" x14ac:dyDescent="0.2">
      <c r="B51" s="50">
        <v>44</v>
      </c>
      <c r="C51" s="365" t="s">
        <v>1159</v>
      </c>
      <c r="D51" s="50">
        <v>1</v>
      </c>
      <c r="E51" s="51"/>
      <c r="F51" s="51"/>
      <c r="G51" s="51"/>
      <c r="H51" s="371"/>
      <c r="I51" s="375" t="s">
        <v>325</v>
      </c>
      <c r="J51" s="373"/>
      <c r="K51" s="373"/>
      <c r="L51" s="373"/>
      <c r="M51" s="373"/>
      <c r="N51" s="374"/>
    </row>
    <row r="52" spans="2:14" ht="11.4" x14ac:dyDescent="0.2">
      <c r="B52" s="50">
        <v>45</v>
      </c>
      <c r="C52" s="365" t="s">
        <v>1160</v>
      </c>
      <c r="D52" s="50">
        <v>1</v>
      </c>
      <c r="E52" s="51"/>
      <c r="F52" s="51"/>
      <c r="G52" s="51"/>
      <c r="H52" s="371"/>
      <c r="I52" s="375" t="s">
        <v>326</v>
      </c>
      <c r="J52" s="373"/>
      <c r="K52" s="373"/>
      <c r="L52" s="373"/>
      <c r="M52" s="373"/>
      <c r="N52" s="374"/>
    </row>
    <row r="53" spans="2:14" ht="11.4" x14ac:dyDescent="0.2">
      <c r="B53" s="50">
        <v>46</v>
      </c>
      <c r="C53" s="365" t="s">
        <v>1161</v>
      </c>
      <c r="D53" s="50">
        <v>1</v>
      </c>
      <c r="E53" s="51"/>
      <c r="F53" s="51"/>
      <c r="G53" s="51"/>
      <c r="H53" s="371"/>
      <c r="I53" s="375"/>
      <c r="J53" s="373"/>
      <c r="K53" s="373"/>
      <c r="L53" s="373"/>
      <c r="M53" s="373"/>
      <c r="N53" s="374"/>
    </row>
    <row r="54" spans="2:14" ht="11.4" x14ac:dyDescent="0.2">
      <c r="B54" s="50">
        <v>47</v>
      </c>
      <c r="C54" s="365" t="s">
        <v>1162</v>
      </c>
      <c r="D54" s="50">
        <v>1</v>
      </c>
      <c r="E54" s="51"/>
      <c r="F54" s="51"/>
      <c r="G54" s="51"/>
      <c r="H54" s="371"/>
      <c r="I54" s="375"/>
      <c r="J54" s="373"/>
      <c r="K54" s="373"/>
      <c r="L54" s="373"/>
      <c r="M54" s="373"/>
      <c r="N54" s="374"/>
    </row>
    <row r="55" spans="2:14" ht="11.4" x14ac:dyDescent="0.2">
      <c r="B55" s="50">
        <v>48</v>
      </c>
      <c r="C55" s="365" t="s">
        <v>1163</v>
      </c>
      <c r="D55" s="50">
        <v>1</v>
      </c>
      <c r="E55" s="51"/>
      <c r="F55" s="51"/>
      <c r="G55" s="51"/>
      <c r="H55" s="371"/>
      <c r="I55" s="375"/>
      <c r="J55" s="373"/>
      <c r="K55" s="373"/>
      <c r="L55" s="373"/>
      <c r="M55" s="373"/>
      <c r="N55" s="374"/>
    </row>
    <row r="56" spans="2:14" ht="11.4" x14ac:dyDescent="0.2">
      <c r="B56" s="50">
        <v>49</v>
      </c>
      <c r="C56" s="365" t="s">
        <v>1164</v>
      </c>
      <c r="D56" s="50">
        <v>1</v>
      </c>
      <c r="E56" s="51"/>
      <c r="F56" s="51"/>
      <c r="G56" s="51"/>
      <c r="H56" s="371"/>
      <c r="I56" s="375"/>
      <c r="J56" s="373"/>
      <c r="K56" s="373"/>
      <c r="L56" s="373"/>
      <c r="M56" s="373"/>
      <c r="N56" s="374"/>
    </row>
    <row r="57" spans="2:14" ht="11.4" x14ac:dyDescent="0.2">
      <c r="B57" s="50">
        <v>50</v>
      </c>
      <c r="C57" s="365" t="s">
        <v>1165</v>
      </c>
      <c r="D57" s="50">
        <v>1</v>
      </c>
      <c r="E57" s="51"/>
      <c r="F57" s="51"/>
      <c r="G57" s="51"/>
      <c r="H57" s="371"/>
      <c r="I57" s="375"/>
      <c r="J57" s="373"/>
      <c r="K57" s="373"/>
      <c r="L57" s="373"/>
      <c r="M57" s="373"/>
      <c r="N57" s="374"/>
    </row>
    <row r="58" spans="2:14" ht="11.4" x14ac:dyDescent="0.2">
      <c r="B58" s="50">
        <v>51</v>
      </c>
      <c r="C58" s="365" t="s">
        <v>1166</v>
      </c>
      <c r="D58" s="50">
        <v>1</v>
      </c>
      <c r="E58" s="51"/>
      <c r="F58" s="51"/>
      <c r="G58" s="51"/>
      <c r="H58" s="371"/>
      <c r="I58" s="375"/>
      <c r="J58" s="373"/>
      <c r="K58" s="373"/>
      <c r="L58" s="373"/>
      <c r="M58" s="373"/>
      <c r="N58" s="374"/>
    </row>
    <row r="59" spans="2:14" ht="11.4" x14ac:dyDescent="0.2">
      <c r="B59" s="50">
        <v>52</v>
      </c>
      <c r="C59" s="365" t="s">
        <v>1167</v>
      </c>
      <c r="D59" s="50">
        <v>1</v>
      </c>
      <c r="E59" s="51"/>
      <c r="F59" s="51"/>
      <c r="G59" s="51"/>
      <c r="H59" s="371"/>
      <c r="I59" s="375"/>
      <c r="J59" s="373"/>
      <c r="K59" s="373"/>
      <c r="L59" s="373"/>
      <c r="M59" s="373"/>
      <c r="N59" s="374"/>
    </row>
    <row r="60" spans="2:14" ht="11.4" x14ac:dyDescent="0.2">
      <c r="B60" s="50">
        <v>53</v>
      </c>
      <c r="C60" s="365" t="s">
        <v>1168</v>
      </c>
      <c r="D60" s="50">
        <v>1</v>
      </c>
      <c r="E60" s="51"/>
      <c r="F60" s="51"/>
      <c r="G60" s="51"/>
      <c r="H60" s="371"/>
      <c r="I60" s="375"/>
      <c r="J60" s="373"/>
      <c r="K60" s="373"/>
      <c r="L60" s="373"/>
      <c r="M60" s="373"/>
      <c r="N60" s="374"/>
    </row>
    <row r="61" spans="2:14" ht="11.4" x14ac:dyDescent="0.2">
      <c r="B61" s="50">
        <v>54</v>
      </c>
      <c r="C61" s="365" t="s">
        <v>1169</v>
      </c>
      <c r="D61" s="50">
        <v>1</v>
      </c>
      <c r="E61" s="51"/>
      <c r="F61" s="51"/>
      <c r="G61" s="51"/>
      <c r="H61" s="371"/>
      <c r="I61" s="375"/>
      <c r="J61" s="373"/>
      <c r="K61" s="373"/>
      <c r="L61" s="373"/>
      <c r="M61" s="373"/>
      <c r="N61" s="374"/>
    </row>
    <row r="62" spans="2:14" ht="11.4" x14ac:dyDescent="0.2">
      <c r="B62" s="50">
        <v>55</v>
      </c>
      <c r="C62" s="365" t="s">
        <v>1170</v>
      </c>
      <c r="D62" s="50">
        <v>1</v>
      </c>
      <c r="E62" s="51"/>
      <c r="F62" s="51"/>
      <c r="G62" s="51"/>
      <c r="H62" s="371"/>
      <c r="I62" s="375"/>
      <c r="J62" s="373"/>
      <c r="K62" s="373"/>
      <c r="L62" s="373"/>
      <c r="M62" s="373"/>
      <c r="N62" s="374"/>
    </row>
    <row r="63" spans="2:14" ht="11.4" x14ac:dyDescent="0.2">
      <c r="B63" s="50">
        <v>56</v>
      </c>
      <c r="C63" s="365" t="s">
        <v>1171</v>
      </c>
      <c r="D63" s="50">
        <v>1</v>
      </c>
      <c r="E63" s="51"/>
      <c r="F63" s="51"/>
      <c r="G63" s="51"/>
      <c r="H63" s="371"/>
      <c r="I63" s="375"/>
      <c r="J63" s="373"/>
      <c r="K63" s="373"/>
      <c r="L63" s="373"/>
      <c r="M63" s="373"/>
      <c r="N63" s="374"/>
    </row>
    <row r="64" spans="2:14" ht="11.4" x14ac:dyDescent="0.2">
      <c r="B64" s="50">
        <v>57</v>
      </c>
      <c r="C64" s="365" t="s">
        <v>1172</v>
      </c>
      <c r="D64" s="50">
        <v>1</v>
      </c>
      <c r="E64" s="51"/>
      <c r="F64" s="51"/>
      <c r="G64" s="51"/>
      <c r="H64" s="371"/>
      <c r="I64" s="375"/>
      <c r="J64" s="373"/>
      <c r="K64" s="373"/>
      <c r="L64" s="373"/>
      <c r="M64" s="373"/>
      <c r="N64" s="374"/>
    </row>
    <row r="65" spans="2:14" ht="11.4" x14ac:dyDescent="0.2">
      <c r="B65" s="50">
        <v>58</v>
      </c>
      <c r="C65" s="365" t="s">
        <v>1173</v>
      </c>
      <c r="D65" s="50">
        <v>1</v>
      </c>
      <c r="E65" s="51"/>
      <c r="F65" s="51"/>
      <c r="G65" s="51"/>
      <c r="H65" s="371"/>
      <c r="I65" s="375"/>
      <c r="J65" s="373"/>
      <c r="K65" s="373"/>
      <c r="L65" s="373"/>
      <c r="M65" s="373"/>
      <c r="N65" s="374"/>
    </row>
    <row r="66" spans="2:14" ht="11.4" x14ac:dyDescent="0.2">
      <c r="B66" s="50">
        <v>59</v>
      </c>
      <c r="C66" s="365" t="s">
        <v>1174</v>
      </c>
      <c r="D66" s="50">
        <v>1</v>
      </c>
      <c r="E66" s="51"/>
      <c r="F66" s="51"/>
      <c r="G66" s="51"/>
      <c r="H66" s="371"/>
      <c r="I66" s="375"/>
      <c r="J66" s="373"/>
      <c r="K66" s="373"/>
      <c r="L66" s="373"/>
      <c r="M66" s="373"/>
      <c r="N66" s="374"/>
    </row>
    <row r="67" spans="2:14" ht="11.4" x14ac:dyDescent="0.2">
      <c r="B67" s="50">
        <v>60</v>
      </c>
      <c r="C67" s="365" t="s">
        <v>1175</v>
      </c>
      <c r="D67" s="50">
        <v>1</v>
      </c>
      <c r="E67" s="51"/>
      <c r="F67" s="51"/>
      <c r="G67" s="51"/>
      <c r="H67" s="371"/>
      <c r="I67" s="375"/>
      <c r="J67" s="373"/>
      <c r="K67" s="373"/>
      <c r="L67" s="373"/>
      <c r="M67" s="373"/>
      <c r="N67" s="374"/>
    </row>
    <row r="68" spans="2:14" ht="11.4" x14ac:dyDescent="0.2">
      <c r="B68" s="50">
        <v>61</v>
      </c>
      <c r="C68" s="365" t="s">
        <v>1176</v>
      </c>
      <c r="D68" s="50">
        <v>1</v>
      </c>
      <c r="E68" s="51"/>
      <c r="F68" s="51"/>
      <c r="G68" s="51"/>
      <c r="H68" s="371"/>
      <c r="I68" s="375"/>
      <c r="J68" s="373"/>
      <c r="K68" s="373"/>
      <c r="L68" s="373"/>
      <c r="M68" s="373"/>
      <c r="N68" s="374"/>
    </row>
    <row r="69" spans="2:14" ht="11.4" x14ac:dyDescent="0.2">
      <c r="B69" s="50">
        <v>62</v>
      </c>
      <c r="C69" s="365" t="s">
        <v>1177</v>
      </c>
      <c r="D69" s="50">
        <v>1</v>
      </c>
      <c r="E69" s="51"/>
      <c r="F69" s="51"/>
      <c r="G69" s="51"/>
      <c r="H69" s="371"/>
      <c r="I69" s="375"/>
      <c r="J69" s="373"/>
      <c r="K69" s="373"/>
      <c r="L69" s="373"/>
      <c r="M69" s="373"/>
      <c r="N69" s="374"/>
    </row>
    <row r="70" spans="2:14" ht="11.4" x14ac:dyDescent="0.2">
      <c r="B70" s="50">
        <v>63</v>
      </c>
      <c r="C70" s="365" t="s">
        <v>1178</v>
      </c>
      <c r="D70" s="50">
        <v>1</v>
      </c>
      <c r="E70" s="51"/>
      <c r="F70" s="51"/>
      <c r="G70" s="51"/>
      <c r="H70" s="371"/>
      <c r="I70" s="375"/>
      <c r="J70" s="373"/>
      <c r="K70" s="373"/>
      <c r="L70" s="373"/>
      <c r="M70" s="373"/>
      <c r="N70" s="374"/>
    </row>
    <row r="71" spans="2:14" ht="11.4" x14ac:dyDescent="0.2">
      <c r="B71" s="50">
        <v>64</v>
      </c>
      <c r="C71" s="365" t="s">
        <v>1179</v>
      </c>
      <c r="D71" s="50">
        <v>1</v>
      </c>
      <c r="E71" s="51"/>
      <c r="F71" s="51"/>
      <c r="G71" s="51"/>
      <c r="H71" s="371"/>
      <c r="I71" s="375"/>
      <c r="J71" s="373"/>
      <c r="K71" s="373"/>
      <c r="L71" s="373"/>
      <c r="M71" s="373"/>
      <c r="N71" s="374"/>
    </row>
    <row r="72" spans="2:14" ht="11.4" x14ac:dyDescent="0.2">
      <c r="B72" s="50">
        <v>65</v>
      </c>
      <c r="C72" s="365" t="s">
        <v>1180</v>
      </c>
      <c r="D72" s="50">
        <v>1</v>
      </c>
      <c r="E72" s="51"/>
      <c r="F72" s="51"/>
      <c r="G72" s="51"/>
      <c r="H72" s="376"/>
      <c r="I72" s="377"/>
      <c r="J72" s="378"/>
      <c r="K72" s="378"/>
      <c r="L72" s="378"/>
      <c r="M72" s="378"/>
      <c r="N72" s="379"/>
    </row>
    <row r="73" spans="2:14" ht="11.4" x14ac:dyDescent="0.2">
      <c r="B73" s="50">
        <v>66</v>
      </c>
      <c r="C73" s="365" t="s">
        <v>221</v>
      </c>
      <c r="D73" s="50">
        <v>1</v>
      </c>
      <c r="E73" s="51"/>
      <c r="F73" s="51"/>
      <c r="G73" s="51"/>
      <c r="H73" s="367"/>
      <c r="I73" s="368" t="s">
        <v>327</v>
      </c>
      <c r="J73" s="369"/>
      <c r="K73" s="369"/>
      <c r="L73" s="369"/>
      <c r="M73" s="369"/>
      <c r="N73" s="370"/>
    </row>
    <row r="74" spans="2:14" ht="11.4" x14ac:dyDescent="0.2">
      <c r="B74" s="50">
        <v>67</v>
      </c>
      <c r="C74" s="365" t="s">
        <v>328</v>
      </c>
      <c r="D74" s="50">
        <v>1</v>
      </c>
      <c r="E74" s="51"/>
      <c r="F74" s="51"/>
      <c r="G74" s="51"/>
      <c r="H74" s="367"/>
      <c r="I74" s="368" t="s">
        <v>329</v>
      </c>
      <c r="J74" s="369"/>
      <c r="K74" s="369"/>
      <c r="L74" s="369"/>
      <c r="M74" s="369"/>
      <c r="N74" s="370"/>
    </row>
    <row r="75" spans="2:14" ht="11.4" x14ac:dyDescent="0.2">
      <c r="B75" s="50">
        <v>68</v>
      </c>
      <c r="C75" s="365" t="s">
        <v>211</v>
      </c>
      <c r="D75" s="50">
        <v>1</v>
      </c>
      <c r="E75" s="51"/>
      <c r="F75" s="51"/>
      <c r="G75" s="51"/>
      <c r="H75" s="367"/>
      <c r="I75" s="368" t="s">
        <v>327</v>
      </c>
      <c r="J75" s="369"/>
      <c r="K75" s="369"/>
      <c r="L75" s="369"/>
      <c r="M75" s="369"/>
      <c r="N75" s="370"/>
    </row>
    <row r="76" spans="2:14" ht="11.4" x14ac:dyDescent="0.2">
      <c r="B76" s="50">
        <v>69</v>
      </c>
      <c r="C76" s="365" t="s">
        <v>330</v>
      </c>
      <c r="D76" s="50">
        <v>1</v>
      </c>
      <c r="E76" s="51"/>
      <c r="F76" s="51"/>
      <c r="G76" s="51"/>
      <c r="H76" s="367"/>
      <c r="I76" s="368" t="s">
        <v>331</v>
      </c>
      <c r="J76" s="369"/>
      <c r="K76" s="369"/>
      <c r="L76" s="369"/>
      <c r="M76" s="369"/>
      <c r="N76" s="370"/>
    </row>
    <row r="77" spans="2:14" ht="11.4" x14ac:dyDescent="0.2">
      <c r="B77" s="50">
        <v>70</v>
      </c>
      <c r="C77" s="365" t="s">
        <v>332</v>
      </c>
      <c r="D77" s="50">
        <v>1</v>
      </c>
      <c r="E77" s="51"/>
      <c r="F77" s="51"/>
      <c r="G77" s="51"/>
      <c r="H77" s="367"/>
      <c r="I77" s="368" t="s">
        <v>333</v>
      </c>
      <c r="J77" s="369"/>
      <c r="K77" s="369"/>
      <c r="L77" s="369"/>
      <c r="M77" s="369"/>
      <c r="N77" s="370"/>
    </row>
    <row r="78" spans="2:14" ht="11.4" x14ac:dyDescent="0.2">
      <c r="B78" s="50">
        <v>71</v>
      </c>
      <c r="C78" s="365" t="s">
        <v>212</v>
      </c>
      <c r="D78" s="50">
        <v>1</v>
      </c>
      <c r="E78" s="51"/>
      <c r="F78" s="51"/>
      <c r="G78" s="51"/>
      <c r="H78" s="367"/>
      <c r="I78" s="368" t="s">
        <v>334</v>
      </c>
      <c r="J78" s="369"/>
      <c r="K78" s="369"/>
      <c r="L78" s="369"/>
      <c r="M78" s="369"/>
      <c r="N78" s="370"/>
    </row>
    <row r="79" spans="2:14" ht="11.4" x14ac:dyDescent="0.2">
      <c r="B79" s="50">
        <v>72</v>
      </c>
      <c r="C79" s="365" t="s">
        <v>213</v>
      </c>
      <c r="D79" s="50">
        <v>1</v>
      </c>
      <c r="E79" s="51"/>
      <c r="F79" s="51"/>
      <c r="G79" s="51"/>
      <c r="H79" s="367"/>
      <c r="I79" s="368" t="s">
        <v>335</v>
      </c>
      <c r="J79" s="369"/>
      <c r="K79" s="369"/>
      <c r="L79" s="369"/>
      <c r="M79" s="369"/>
      <c r="N79" s="370"/>
    </row>
    <row r="80" spans="2:14" ht="11.4" x14ac:dyDescent="0.2">
      <c r="B80" s="50">
        <v>73</v>
      </c>
      <c r="C80" s="365" t="s">
        <v>336</v>
      </c>
      <c r="D80" s="50">
        <v>1</v>
      </c>
      <c r="E80" s="51"/>
      <c r="F80" s="51"/>
      <c r="G80" s="51"/>
      <c r="H80" s="367"/>
      <c r="I80" s="368" t="s">
        <v>337</v>
      </c>
      <c r="J80" s="369"/>
      <c r="K80" s="369"/>
      <c r="L80" s="369"/>
      <c r="M80" s="369"/>
      <c r="N80" s="370"/>
    </row>
    <row r="81" spans="2:14" ht="11.4" x14ac:dyDescent="0.2">
      <c r="B81" s="50">
        <v>74</v>
      </c>
      <c r="C81" s="365" t="s">
        <v>338</v>
      </c>
      <c r="D81" s="50">
        <v>1</v>
      </c>
      <c r="E81" s="51"/>
      <c r="F81" s="51"/>
      <c r="G81" s="51"/>
      <c r="H81" s="367"/>
      <c r="I81" s="368" t="s">
        <v>339</v>
      </c>
      <c r="J81" s="369"/>
      <c r="K81" s="369"/>
      <c r="L81" s="369"/>
      <c r="M81" s="369"/>
      <c r="N81" s="370"/>
    </row>
    <row r="82" spans="2:14" ht="11.4" x14ac:dyDescent="0.2">
      <c r="B82" s="40"/>
      <c r="D82" s="40"/>
      <c r="E82" s="40"/>
      <c r="F82" s="40"/>
      <c r="G82" s="52"/>
      <c r="H82" s="52"/>
      <c r="I82" s="40"/>
    </row>
    <row r="83" spans="2:14" ht="11.4" x14ac:dyDescent="0.2">
      <c r="B83" s="42"/>
      <c r="C83" s="39" t="s">
        <v>340</v>
      </c>
      <c r="D83" s="40"/>
      <c r="E83" s="40"/>
      <c r="F83" s="40"/>
      <c r="G83" s="52"/>
      <c r="H83" s="52"/>
      <c r="I83" s="40"/>
    </row>
    <row r="84" spans="2:14" ht="11.4" x14ac:dyDescent="0.2">
      <c r="B84" s="42"/>
      <c r="C84" s="40" t="s">
        <v>341</v>
      </c>
      <c r="D84" s="40"/>
      <c r="E84" s="40"/>
      <c r="F84" s="40"/>
      <c r="G84" s="52"/>
      <c r="H84" s="52"/>
      <c r="I84" s="40"/>
    </row>
    <row r="85" spans="2:14" ht="11.4" x14ac:dyDescent="0.2">
      <c r="B85" s="42"/>
      <c r="C85" s="40" t="s">
        <v>342</v>
      </c>
      <c r="D85" s="40"/>
      <c r="E85" s="40"/>
      <c r="F85" s="40"/>
      <c r="G85" s="52"/>
      <c r="H85" s="52"/>
      <c r="I85" s="40"/>
    </row>
    <row r="86" spans="2:14" ht="11.4" x14ac:dyDescent="0.2">
      <c r="B86" s="42"/>
      <c r="C86" s="40"/>
      <c r="D86" s="40"/>
      <c r="E86" s="40"/>
      <c r="F86" s="40"/>
      <c r="G86" s="52"/>
      <c r="H86" s="52"/>
      <c r="I86" s="40"/>
    </row>
    <row r="87" spans="2:14" ht="11.4" x14ac:dyDescent="0.2">
      <c r="B87" s="42"/>
      <c r="C87" s="39" t="s">
        <v>343</v>
      </c>
      <c r="D87" s="40"/>
      <c r="E87" s="40"/>
      <c r="F87" s="40"/>
      <c r="G87" s="52"/>
      <c r="H87" s="52"/>
      <c r="I87" s="52"/>
    </row>
    <row r="88" spans="2:14" ht="11.4" x14ac:dyDescent="0.2">
      <c r="B88" s="42"/>
      <c r="C88" s="40" t="s">
        <v>344</v>
      </c>
      <c r="D88" s="40"/>
      <c r="E88" s="40"/>
      <c r="F88" s="40"/>
      <c r="G88" s="52"/>
      <c r="H88" s="52"/>
      <c r="I88" s="52"/>
    </row>
    <row r="89" spans="2:14" ht="11.4" x14ac:dyDescent="0.2">
      <c r="B89" s="42"/>
      <c r="C89" s="40" t="s">
        <v>345</v>
      </c>
      <c r="E89" s="53"/>
      <c r="F89" s="40"/>
      <c r="G89" s="52"/>
      <c r="H89" s="52"/>
      <c r="I89" s="52"/>
    </row>
    <row r="90" spans="2:14" ht="11.4" x14ac:dyDescent="0.2">
      <c r="B90" s="42"/>
      <c r="C90" s="40" t="s">
        <v>346</v>
      </c>
      <c r="E90" s="40" t="s">
        <v>222</v>
      </c>
      <c r="F90" s="40"/>
      <c r="G90" s="52"/>
      <c r="H90" s="52"/>
      <c r="I90" s="52"/>
    </row>
    <row r="91" spans="2:14" ht="11.4" x14ac:dyDescent="0.2">
      <c r="B91" s="42"/>
      <c r="C91" s="40" t="s">
        <v>347</v>
      </c>
      <c r="E91" s="40" t="s">
        <v>223</v>
      </c>
      <c r="F91" s="40"/>
      <c r="G91" s="52"/>
      <c r="H91" s="52"/>
      <c r="I91" s="52"/>
    </row>
    <row r="92" spans="2:14" x14ac:dyDescent="0.2">
      <c r="B92" s="42"/>
      <c r="C92" s="40" t="s">
        <v>348</v>
      </c>
      <c r="E92" s="40" t="s">
        <v>224</v>
      </c>
      <c r="F92" s="40"/>
    </row>
    <row r="93" spans="2:14" x14ac:dyDescent="0.2">
      <c r="B93" s="42"/>
      <c r="C93" s="40" t="s">
        <v>225</v>
      </c>
      <c r="E93" s="40" t="s">
        <v>226</v>
      </c>
      <c r="F93" s="40"/>
    </row>
    <row r="94" spans="2:14" x14ac:dyDescent="0.2">
      <c r="B94" s="42"/>
      <c r="E94" s="53"/>
      <c r="F94" s="40"/>
    </row>
    <row r="95" spans="2:14" x14ac:dyDescent="0.2">
      <c r="B95" s="42"/>
      <c r="C95" s="39" t="s">
        <v>349</v>
      </c>
      <c r="D95" s="53"/>
      <c r="E95" s="53"/>
      <c r="F95" s="40"/>
    </row>
    <row r="96" spans="2:14" x14ac:dyDescent="0.2">
      <c r="C96" s="40" t="s">
        <v>350</v>
      </c>
      <c r="D96" s="53"/>
      <c r="F96" s="53"/>
    </row>
    <row r="97" spans="3:9" x14ac:dyDescent="0.2">
      <c r="C97" s="53" t="s">
        <v>351</v>
      </c>
      <c r="E97" s="53" t="s">
        <v>352</v>
      </c>
      <c r="F97" s="53"/>
    </row>
    <row r="98" spans="3:9" x14ac:dyDescent="0.2">
      <c r="C98" s="53" t="s">
        <v>353</v>
      </c>
      <c r="E98" s="53" t="s">
        <v>354</v>
      </c>
      <c r="F98" s="53"/>
    </row>
    <row r="99" spans="3:9" x14ac:dyDescent="0.2">
      <c r="C99" s="53" t="s">
        <v>355</v>
      </c>
      <c r="E99" s="53" t="s">
        <v>356</v>
      </c>
      <c r="F99" s="53"/>
    </row>
    <row r="100" spans="3:9" x14ac:dyDescent="0.2">
      <c r="C100" s="53" t="s">
        <v>357</v>
      </c>
      <c r="E100" s="53" t="s">
        <v>358</v>
      </c>
      <c r="F100" s="53"/>
    </row>
    <row r="101" spans="3:9" x14ac:dyDescent="0.2">
      <c r="C101" s="53" t="s">
        <v>359</v>
      </c>
      <c r="E101" s="53" t="s">
        <v>360</v>
      </c>
      <c r="F101" s="53"/>
      <c r="I101" s="54"/>
    </row>
  </sheetData>
  <sheetProtection algorithmName="SHA-512" hashValue="CZPiz1CA+RD9eVzlcBtVA8JVIeitVXUVimjBCbdty7osmTs+IANC1PRMdz85RhtNXHTHbOfNKQ7xaAv5XtACGQ==" saltValue="EvZeex0XNMyQzI6pnajSHw==" spinCount="100000" sheet="1" objects="1" scenarios="1"/>
  <mergeCells count="4">
    <mergeCell ref="K1:L1"/>
    <mergeCell ref="K2:L2"/>
    <mergeCell ref="E3:F3"/>
    <mergeCell ref="G3:H3"/>
  </mergeCells>
  <phoneticPr fontId="0" type="noConversion"/>
  <hyperlinks>
    <hyperlink ref="D3" location="Hinweise!B1" tooltip="HINWEISE ZUR NUTZUNG" display="HINWEISE" xr:uid="{C071F98F-EF0F-4C0F-987B-A941730D4447}"/>
    <hyperlink ref="E3:F3" location="'Eigene Hinweise'!A1" tooltip="EIGENE HINWEISE" display="EIGENE HINWEISE" xr:uid="{CEC1918A-5670-470B-A0A6-746CFBB628E5}"/>
    <hyperlink ref="G3:H3" location="Tippabgabe!T27" tooltip="TIPPABGABE" display="TIPPABGABE" xr:uid="{B5C00408-8C8B-4E10-B328-D1A9823953AD}"/>
  </hyperlinks>
  <pageMargins left="0.78740157499999996" right="0.78740157499999996" top="0.984251969" bottom="0.984251969" header="0.4921259845" footer="0.4921259845"/>
  <pageSetup paperSize="9" orientation="portrait" horizontalDpi="4294967293"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BB08E-2910-4785-B432-A66488ACB8DB}">
  <sheetPr codeName="Tabelle2"/>
  <dimension ref="C1:BA60"/>
  <sheetViews>
    <sheetView zoomScale="112" workbookViewId="0">
      <selection activeCell="C1" sqref="C1"/>
    </sheetView>
  </sheetViews>
  <sheetFormatPr baseColWidth="10" defaultRowHeight="10.199999999999999" x14ac:dyDescent="0.2"/>
  <cols>
    <col min="3" max="15" width="11.625" customWidth="1"/>
    <col min="16" max="16" width="2.625" customWidth="1"/>
    <col min="53" max="53" width="0" hidden="1" customWidth="1"/>
  </cols>
  <sheetData>
    <row r="1" spans="3:53" x14ac:dyDescent="0.2">
      <c r="BA1" t="s">
        <v>361</v>
      </c>
    </row>
    <row r="4" spans="3:53" ht="10.199999999999999" customHeight="1" x14ac:dyDescent="0.2"/>
    <row r="5" spans="3:53" ht="10.199999999999999" customHeight="1" x14ac:dyDescent="0.2">
      <c r="C5" s="620" t="s">
        <v>3653</v>
      </c>
      <c r="D5" s="621"/>
      <c r="E5" s="621"/>
      <c r="F5" s="621"/>
      <c r="G5" s="621"/>
      <c r="H5" s="621"/>
      <c r="I5" s="621"/>
      <c r="J5" s="621"/>
      <c r="K5" s="621"/>
      <c r="L5" s="621"/>
      <c r="M5" s="621"/>
      <c r="N5" s="621"/>
      <c r="O5" s="622"/>
      <c r="P5" s="625"/>
    </row>
    <row r="6" spans="3:53" ht="10.199999999999999" customHeight="1" x14ac:dyDescent="0.2">
      <c r="C6" s="567"/>
      <c r="D6" s="565"/>
      <c r="E6" s="565"/>
      <c r="F6" s="565"/>
      <c r="G6" s="565"/>
      <c r="H6" s="565"/>
      <c r="I6" s="565"/>
      <c r="J6" s="565"/>
      <c r="K6" s="565"/>
      <c r="L6" s="565"/>
      <c r="M6" s="565"/>
      <c r="N6" s="565"/>
      <c r="O6" s="566"/>
      <c r="P6" s="626"/>
    </row>
    <row r="7" spans="3:53" ht="10.199999999999999" customHeight="1" x14ac:dyDescent="0.2">
      <c r="C7" s="568" t="s">
        <v>3654</v>
      </c>
      <c r="D7" s="569"/>
      <c r="E7" s="569"/>
      <c r="F7" s="569"/>
      <c r="G7" s="569"/>
      <c r="H7" s="569"/>
      <c r="I7" s="569"/>
      <c r="J7" s="569"/>
      <c r="K7" s="569"/>
      <c r="L7" s="569"/>
      <c r="M7" s="569"/>
      <c r="N7" s="570"/>
      <c r="O7" s="566"/>
      <c r="P7" s="626"/>
    </row>
    <row r="8" spans="3:53" ht="10.199999999999999" customHeight="1" x14ac:dyDescent="0.2">
      <c r="C8" s="568"/>
      <c r="D8" s="569"/>
      <c r="E8" s="569"/>
      <c r="F8" s="569"/>
      <c r="G8" s="569"/>
      <c r="H8" s="569"/>
      <c r="I8" s="569"/>
      <c r="J8" s="569"/>
      <c r="K8" s="569"/>
      <c r="L8" s="569"/>
      <c r="M8" s="569"/>
      <c r="N8" s="570"/>
      <c r="O8" s="566"/>
      <c r="P8" s="626"/>
    </row>
    <row r="9" spans="3:53" ht="10.199999999999999" customHeight="1" x14ac:dyDescent="0.2">
      <c r="C9" s="571"/>
      <c r="D9" s="570"/>
      <c r="E9" s="570"/>
      <c r="F9" s="570"/>
      <c r="G9" s="570"/>
      <c r="H9" s="570"/>
      <c r="I9" s="570"/>
      <c r="J9" s="570"/>
      <c r="K9" s="570"/>
      <c r="L9" s="570"/>
      <c r="M9" s="570"/>
      <c r="N9" s="570"/>
      <c r="O9" s="566"/>
      <c r="P9" s="626"/>
    </row>
    <row r="10" spans="3:53" ht="10.199999999999999" customHeight="1" x14ac:dyDescent="0.2">
      <c r="C10" s="572" t="s">
        <v>3655</v>
      </c>
      <c r="D10" s="573"/>
      <c r="E10" s="573"/>
      <c r="F10" s="574"/>
      <c r="G10" s="575"/>
      <c r="H10" s="575"/>
      <c r="I10" s="575"/>
      <c r="J10" s="575"/>
      <c r="K10" s="575"/>
      <c r="L10" s="575"/>
      <c r="M10" s="575"/>
      <c r="N10" s="566"/>
      <c r="O10" s="566"/>
      <c r="P10" s="626"/>
    </row>
    <row r="11" spans="3:53" ht="10.199999999999999" customHeight="1" x14ac:dyDescent="0.2">
      <c r="C11" s="576" t="s">
        <v>3656</v>
      </c>
      <c r="D11" s="577"/>
      <c r="E11" s="577"/>
      <c r="F11" s="577"/>
      <c r="G11" s="577"/>
      <c r="H11" s="577"/>
      <c r="I11" s="577"/>
      <c r="J11" s="577"/>
      <c r="K11" s="577"/>
      <c r="L11" s="577"/>
      <c r="M11" s="575"/>
      <c r="N11" s="566"/>
      <c r="O11" s="566"/>
      <c r="P11" s="626"/>
    </row>
    <row r="12" spans="3:53" ht="10.199999999999999" customHeight="1" x14ac:dyDescent="0.2">
      <c r="C12" s="578"/>
      <c r="D12" s="575"/>
      <c r="E12" s="575"/>
      <c r="F12" s="575"/>
      <c r="G12" s="575"/>
      <c r="H12" s="575"/>
      <c r="I12" s="575"/>
      <c r="J12" s="575"/>
      <c r="K12" s="575"/>
      <c r="L12" s="575"/>
      <c r="M12" s="575"/>
      <c r="N12" s="566"/>
      <c r="O12" s="566"/>
      <c r="P12" s="626"/>
    </row>
    <row r="13" spans="3:53" ht="10.199999999999999" customHeight="1" x14ac:dyDescent="0.2">
      <c r="C13" s="572" t="s">
        <v>3657</v>
      </c>
      <c r="D13" s="573"/>
      <c r="E13" s="573"/>
      <c r="F13" s="575"/>
      <c r="G13" s="575"/>
      <c r="H13" s="575"/>
      <c r="I13" s="575"/>
      <c r="J13" s="575"/>
      <c r="K13" s="575"/>
      <c r="L13" s="575"/>
      <c r="M13" s="575"/>
      <c r="N13" s="566"/>
      <c r="O13" s="566"/>
      <c r="P13" s="626"/>
    </row>
    <row r="14" spans="3:53" ht="10.199999999999999" customHeight="1" x14ac:dyDescent="0.2">
      <c r="C14" s="576" t="s">
        <v>3658</v>
      </c>
      <c r="D14" s="577"/>
      <c r="E14" s="577"/>
      <c r="F14" s="577"/>
      <c r="G14" s="577"/>
      <c r="H14" s="577"/>
      <c r="I14" s="577"/>
      <c r="J14" s="577"/>
      <c r="K14" s="577"/>
      <c r="L14" s="577"/>
      <c r="M14" s="575"/>
      <c r="N14" s="566"/>
      <c r="O14" s="566"/>
      <c r="P14" s="626"/>
    </row>
    <row r="15" spans="3:53" ht="10.199999999999999" customHeight="1" x14ac:dyDescent="0.2">
      <c r="C15" s="578"/>
      <c r="D15" s="575"/>
      <c r="E15" s="575"/>
      <c r="F15" s="575"/>
      <c r="G15" s="575"/>
      <c r="H15" s="575"/>
      <c r="I15" s="575"/>
      <c r="J15" s="575"/>
      <c r="K15" s="575"/>
      <c r="L15" s="575"/>
      <c r="M15" s="575"/>
      <c r="N15" s="566"/>
      <c r="O15" s="566"/>
      <c r="P15" s="626"/>
    </row>
    <row r="16" spans="3:53" ht="10.199999999999999" customHeight="1" x14ac:dyDescent="0.2">
      <c r="C16" s="572" t="s">
        <v>3659</v>
      </c>
      <c r="D16" s="573"/>
      <c r="E16" s="575"/>
      <c r="F16" s="575"/>
      <c r="G16" s="575"/>
      <c r="H16" s="575"/>
      <c r="I16" s="575"/>
      <c r="J16" s="575"/>
      <c r="K16" s="575"/>
      <c r="L16" s="575"/>
      <c r="M16" s="575"/>
      <c r="N16" s="566"/>
      <c r="O16" s="566"/>
      <c r="P16" s="626"/>
    </row>
    <row r="17" spans="3:16" ht="10.199999999999999" customHeight="1" x14ac:dyDescent="0.2">
      <c r="C17" s="576" t="s">
        <v>3660</v>
      </c>
      <c r="D17" s="577"/>
      <c r="E17" s="577"/>
      <c r="F17" s="577"/>
      <c r="G17" s="577"/>
      <c r="H17" s="577"/>
      <c r="I17" s="577"/>
      <c r="J17" s="577"/>
      <c r="K17" s="577"/>
      <c r="L17" s="577"/>
      <c r="M17" s="575"/>
      <c r="N17" s="566"/>
      <c r="O17" s="566"/>
      <c r="P17" s="626"/>
    </row>
    <row r="18" spans="3:16" ht="10.199999999999999" customHeight="1" x14ac:dyDescent="0.2">
      <c r="C18" s="579"/>
      <c r="D18" s="580"/>
      <c r="E18" s="580"/>
      <c r="F18" s="580"/>
      <c r="G18" s="580"/>
      <c r="H18" s="580"/>
      <c r="I18" s="580"/>
      <c r="J18" s="580"/>
      <c r="K18" s="580"/>
      <c r="L18" s="580"/>
      <c r="M18" s="580"/>
      <c r="N18" s="566"/>
      <c r="O18" s="566"/>
      <c r="P18" s="626"/>
    </row>
    <row r="19" spans="3:16" ht="10.199999999999999" customHeight="1" x14ac:dyDescent="0.2">
      <c r="C19" s="572" t="s">
        <v>831</v>
      </c>
      <c r="D19" s="573"/>
      <c r="E19" s="575"/>
      <c r="F19" s="575"/>
      <c r="G19" s="575"/>
      <c r="H19" s="575"/>
      <c r="I19" s="575"/>
      <c r="J19" s="575"/>
      <c r="K19" s="575"/>
      <c r="L19" s="575"/>
      <c r="M19" s="580"/>
      <c r="N19" s="566"/>
      <c r="O19" s="566"/>
      <c r="P19" s="626"/>
    </row>
    <row r="20" spans="3:16" ht="10.199999999999999" customHeight="1" x14ac:dyDescent="0.2">
      <c r="C20" s="576" t="s">
        <v>3661</v>
      </c>
      <c r="D20" s="577"/>
      <c r="E20" s="577"/>
      <c r="F20" s="577"/>
      <c r="G20" s="577"/>
      <c r="H20" s="577"/>
      <c r="I20" s="577"/>
      <c r="J20" s="577"/>
      <c r="K20" s="577"/>
      <c r="L20" s="577"/>
      <c r="M20" s="580"/>
      <c r="N20" s="566"/>
      <c r="O20" s="566"/>
      <c r="P20" s="626"/>
    </row>
    <row r="21" spans="3:16" ht="10.199999999999999" customHeight="1" x14ac:dyDescent="0.2">
      <c r="C21" s="579"/>
      <c r="D21" s="580"/>
      <c r="E21" s="580"/>
      <c r="F21" s="580"/>
      <c r="G21" s="580"/>
      <c r="H21" s="580"/>
      <c r="I21" s="580"/>
      <c r="J21" s="580"/>
      <c r="K21" s="580"/>
      <c r="L21" s="580"/>
      <c r="M21" s="580"/>
      <c r="N21" s="566"/>
      <c r="O21" s="566"/>
      <c r="P21" s="626"/>
    </row>
    <row r="22" spans="3:16" ht="10.199999999999999" customHeight="1" x14ac:dyDescent="0.2">
      <c r="C22" s="581" t="s">
        <v>3662</v>
      </c>
      <c r="D22" s="582"/>
      <c r="E22" s="575"/>
      <c r="F22" s="575"/>
      <c r="G22" s="575"/>
      <c r="H22" s="583" t="s">
        <v>974</v>
      </c>
      <c r="I22" s="584"/>
      <c r="J22" s="584"/>
      <c r="K22" s="584"/>
      <c r="L22" s="584"/>
      <c r="M22" s="575"/>
      <c r="N22" s="566"/>
      <c r="O22" s="566"/>
      <c r="P22" s="626"/>
    </row>
    <row r="23" spans="3:16" ht="10.199999999999999" customHeight="1" x14ac:dyDescent="0.2">
      <c r="C23" s="585"/>
      <c r="D23" s="586"/>
      <c r="E23" s="586"/>
      <c r="F23" s="586"/>
      <c r="G23" s="586"/>
      <c r="H23" s="586"/>
      <c r="I23" s="586"/>
      <c r="J23" s="586"/>
      <c r="K23" s="586"/>
      <c r="L23" s="586"/>
      <c r="M23" s="586"/>
      <c r="N23" s="566"/>
      <c r="O23" s="566"/>
      <c r="P23" s="626"/>
    </row>
    <row r="24" spans="3:16" ht="10.199999999999999" customHeight="1" x14ac:dyDescent="0.2">
      <c r="C24" s="587"/>
      <c r="D24" s="539"/>
      <c r="E24" s="540" t="s">
        <v>173</v>
      </c>
      <c r="F24" s="540" t="s">
        <v>3663</v>
      </c>
      <c r="G24" s="540" t="s">
        <v>3664</v>
      </c>
      <c r="H24" s="539" t="s">
        <v>3665</v>
      </c>
      <c r="I24" s="540" t="s">
        <v>3666</v>
      </c>
      <c r="J24" s="540" t="s">
        <v>3667</v>
      </c>
      <c r="K24" s="540" t="s">
        <v>424</v>
      </c>
      <c r="L24" s="540" t="s">
        <v>430</v>
      </c>
      <c r="M24" s="540" t="s">
        <v>438</v>
      </c>
      <c r="N24" s="541" t="s">
        <v>141</v>
      </c>
      <c r="O24" s="566"/>
      <c r="P24" s="626"/>
    </row>
    <row r="25" spans="3:16" ht="10.199999999999999" customHeight="1" x14ac:dyDescent="0.2">
      <c r="C25" s="587"/>
      <c r="D25" s="542" t="s">
        <v>3668</v>
      </c>
      <c r="E25" s="543" t="s">
        <v>3669</v>
      </c>
      <c r="F25" s="543" t="s">
        <v>487</v>
      </c>
      <c r="G25" s="543" t="s">
        <v>487</v>
      </c>
      <c r="H25" s="542">
        <v>5</v>
      </c>
      <c r="I25" s="544">
        <v>5</v>
      </c>
      <c r="J25" s="544">
        <v>5</v>
      </c>
      <c r="K25" s="544">
        <v>5</v>
      </c>
      <c r="L25" s="544">
        <v>5</v>
      </c>
      <c r="M25" s="544">
        <v>5</v>
      </c>
      <c r="N25" s="545">
        <v>5</v>
      </c>
      <c r="O25" s="566"/>
      <c r="P25" s="626"/>
    </row>
    <row r="26" spans="3:16" ht="10.199999999999999" customHeight="1" x14ac:dyDescent="0.2">
      <c r="C26" s="587"/>
      <c r="D26" s="546"/>
      <c r="E26" s="547" t="s">
        <v>3670</v>
      </c>
      <c r="F26" s="547" t="s">
        <v>608</v>
      </c>
      <c r="G26" s="547" t="s">
        <v>608</v>
      </c>
      <c r="H26" s="548">
        <v>4</v>
      </c>
      <c r="I26" s="549">
        <v>4</v>
      </c>
      <c r="J26" s="549">
        <v>4</v>
      </c>
      <c r="K26" s="549">
        <v>4</v>
      </c>
      <c r="L26" s="549">
        <v>4</v>
      </c>
      <c r="M26" s="549">
        <v>4</v>
      </c>
      <c r="N26" s="550">
        <v>4</v>
      </c>
      <c r="O26" s="566"/>
      <c r="P26" s="626"/>
    </row>
    <row r="27" spans="3:16" ht="10.199999999999999" customHeight="1" x14ac:dyDescent="0.2">
      <c r="C27" s="587"/>
      <c r="D27" s="546"/>
      <c r="E27" s="547" t="s">
        <v>833</v>
      </c>
      <c r="F27" s="547" t="s">
        <v>505</v>
      </c>
      <c r="G27" s="547" t="s">
        <v>608</v>
      </c>
      <c r="H27" s="548">
        <v>4</v>
      </c>
      <c r="I27" s="549">
        <v>4</v>
      </c>
      <c r="J27" s="549">
        <v>4</v>
      </c>
      <c r="K27" s="549">
        <v>4</v>
      </c>
      <c r="L27" s="549">
        <v>4</v>
      </c>
      <c r="M27" s="549">
        <v>4</v>
      </c>
      <c r="N27" s="550">
        <v>4</v>
      </c>
      <c r="O27" s="566"/>
      <c r="P27" s="626"/>
    </row>
    <row r="28" spans="3:16" ht="10.199999999999999" customHeight="1" x14ac:dyDescent="0.2">
      <c r="C28" s="587"/>
      <c r="D28" s="546"/>
      <c r="E28" s="547" t="s">
        <v>3671</v>
      </c>
      <c r="F28" s="547" t="s">
        <v>834</v>
      </c>
      <c r="G28" s="547" t="s">
        <v>834</v>
      </c>
      <c r="H28" s="548">
        <v>3</v>
      </c>
      <c r="I28" s="549">
        <v>3</v>
      </c>
      <c r="J28" s="549">
        <v>3</v>
      </c>
      <c r="K28" s="549">
        <v>3</v>
      </c>
      <c r="L28" s="549">
        <v>3</v>
      </c>
      <c r="M28" s="549">
        <v>3</v>
      </c>
      <c r="N28" s="550">
        <v>3</v>
      </c>
      <c r="O28" s="566"/>
      <c r="P28" s="626"/>
    </row>
    <row r="29" spans="3:16" ht="10.199999999999999" customHeight="1" x14ac:dyDescent="0.2">
      <c r="C29" s="587"/>
      <c r="D29" s="551"/>
      <c r="E29" s="552" t="s">
        <v>3672</v>
      </c>
      <c r="F29" s="553" t="s">
        <v>632</v>
      </c>
      <c r="G29" s="553" t="s">
        <v>632</v>
      </c>
      <c r="H29" s="554">
        <v>0</v>
      </c>
      <c r="I29" s="555">
        <v>0</v>
      </c>
      <c r="J29" s="555">
        <v>0</v>
      </c>
      <c r="K29" s="555">
        <v>0</v>
      </c>
      <c r="L29" s="555">
        <v>0</v>
      </c>
      <c r="M29" s="555">
        <v>0</v>
      </c>
      <c r="N29" s="556">
        <v>0</v>
      </c>
      <c r="O29" s="566"/>
      <c r="P29" s="626"/>
    </row>
    <row r="30" spans="3:16" ht="10.199999999999999" customHeight="1" x14ac:dyDescent="0.2">
      <c r="C30" s="587"/>
      <c r="D30" s="557" t="s">
        <v>831</v>
      </c>
      <c r="E30" s="543" t="s">
        <v>3669</v>
      </c>
      <c r="F30" s="543" t="s">
        <v>837</v>
      </c>
      <c r="G30" s="543" t="s">
        <v>3673</v>
      </c>
      <c r="H30" s="542" t="s">
        <v>3673</v>
      </c>
      <c r="I30" s="544" t="s">
        <v>3673</v>
      </c>
      <c r="J30" s="544" t="s">
        <v>3673</v>
      </c>
      <c r="K30" s="544" t="s">
        <v>3673</v>
      </c>
      <c r="L30" s="544" t="s">
        <v>3673</v>
      </c>
      <c r="M30" s="544" t="s">
        <v>3673</v>
      </c>
      <c r="N30" s="545" t="s">
        <v>3673</v>
      </c>
      <c r="O30" s="566"/>
      <c r="P30" s="626"/>
    </row>
    <row r="31" spans="3:16" ht="10.199999999999999" customHeight="1" x14ac:dyDescent="0.2">
      <c r="C31" s="587"/>
      <c r="D31" s="546"/>
      <c r="E31" s="547" t="s">
        <v>3674</v>
      </c>
      <c r="F31" s="547" t="s">
        <v>839</v>
      </c>
      <c r="G31" s="547" t="s">
        <v>3673</v>
      </c>
      <c r="H31" s="548" t="s">
        <v>3673</v>
      </c>
      <c r="I31" s="549" t="s">
        <v>3673</v>
      </c>
      <c r="J31" s="549" t="s">
        <v>3673</v>
      </c>
      <c r="K31" s="549" t="s">
        <v>3673</v>
      </c>
      <c r="L31" s="549" t="s">
        <v>3673</v>
      </c>
      <c r="M31" s="549" t="s">
        <v>3673</v>
      </c>
      <c r="N31" s="550" t="s">
        <v>3673</v>
      </c>
      <c r="O31" s="566"/>
      <c r="P31" s="626"/>
    </row>
    <row r="32" spans="3:16" ht="10.199999999999999" customHeight="1" x14ac:dyDescent="0.2">
      <c r="C32" s="587"/>
      <c r="D32" s="546"/>
      <c r="E32" s="547" t="s">
        <v>833</v>
      </c>
      <c r="F32" s="547" t="s">
        <v>841</v>
      </c>
      <c r="G32" s="547" t="s">
        <v>3673</v>
      </c>
      <c r="H32" s="548" t="s">
        <v>3673</v>
      </c>
      <c r="I32" s="549" t="s">
        <v>3673</v>
      </c>
      <c r="J32" s="549" t="s">
        <v>3673</v>
      </c>
      <c r="K32" s="549" t="s">
        <v>3673</v>
      </c>
      <c r="L32" s="549" t="s">
        <v>3673</v>
      </c>
      <c r="M32" s="549" t="s">
        <v>3673</v>
      </c>
      <c r="N32" s="550" t="s">
        <v>3673</v>
      </c>
      <c r="O32" s="566"/>
      <c r="P32" s="626"/>
    </row>
    <row r="33" spans="3:16" ht="10.199999999999999" customHeight="1" x14ac:dyDescent="0.2">
      <c r="C33" s="587"/>
      <c r="D33" s="546"/>
      <c r="E33" s="547" t="s">
        <v>3671</v>
      </c>
      <c r="F33" s="547" t="s">
        <v>843</v>
      </c>
      <c r="G33" s="547" t="s">
        <v>3673</v>
      </c>
      <c r="H33" s="548" t="s">
        <v>3673</v>
      </c>
      <c r="I33" s="549" t="s">
        <v>3673</v>
      </c>
      <c r="J33" s="549" t="s">
        <v>3673</v>
      </c>
      <c r="K33" s="549" t="s">
        <v>3673</v>
      </c>
      <c r="L33" s="549" t="s">
        <v>3673</v>
      </c>
      <c r="M33" s="549" t="s">
        <v>3673</v>
      </c>
      <c r="N33" s="550" t="s">
        <v>3673</v>
      </c>
      <c r="O33" s="566"/>
      <c r="P33" s="626"/>
    </row>
    <row r="34" spans="3:16" ht="10.199999999999999" customHeight="1" x14ac:dyDescent="0.2">
      <c r="C34" s="587"/>
      <c r="D34" s="558"/>
      <c r="E34" s="552" t="s">
        <v>3672</v>
      </c>
      <c r="F34" s="553" t="s">
        <v>845</v>
      </c>
      <c r="G34" s="553" t="s">
        <v>3673</v>
      </c>
      <c r="H34" s="554" t="s">
        <v>3673</v>
      </c>
      <c r="I34" s="555" t="s">
        <v>3673</v>
      </c>
      <c r="J34" s="555" t="s">
        <v>3673</v>
      </c>
      <c r="K34" s="555" t="s">
        <v>3673</v>
      </c>
      <c r="L34" s="555" t="s">
        <v>3673</v>
      </c>
      <c r="M34" s="555" t="s">
        <v>3673</v>
      </c>
      <c r="N34" s="556" t="s">
        <v>3673</v>
      </c>
      <c r="O34" s="566"/>
      <c r="P34" s="626"/>
    </row>
    <row r="35" spans="3:16" ht="10.199999999999999" customHeight="1" x14ac:dyDescent="0.2">
      <c r="C35" s="587"/>
      <c r="D35" s="566"/>
      <c r="E35" s="566"/>
      <c r="F35" s="566"/>
      <c r="G35" s="566"/>
      <c r="H35" s="566"/>
      <c r="I35" s="566"/>
      <c r="J35" s="566"/>
      <c r="K35" s="566"/>
      <c r="L35" s="566"/>
      <c r="M35" s="566"/>
      <c r="N35" s="566"/>
      <c r="O35" s="566"/>
      <c r="P35" s="626"/>
    </row>
    <row r="36" spans="3:16" ht="10.199999999999999" customHeight="1" x14ac:dyDescent="0.2">
      <c r="C36" s="587"/>
      <c r="D36" s="559" t="s">
        <v>3675</v>
      </c>
      <c r="E36" s="560"/>
      <c r="F36" s="561" t="s">
        <v>385</v>
      </c>
      <c r="G36" s="561" t="s">
        <v>385</v>
      </c>
      <c r="H36" s="562">
        <v>0</v>
      </c>
      <c r="I36" s="563">
        <v>0</v>
      </c>
      <c r="J36" s="563">
        <v>0</v>
      </c>
      <c r="K36" s="563">
        <v>0</v>
      </c>
      <c r="L36" s="563">
        <v>0</v>
      </c>
      <c r="M36" s="563">
        <v>0</v>
      </c>
      <c r="N36" s="564">
        <v>0</v>
      </c>
      <c r="O36" s="566"/>
      <c r="P36" s="626"/>
    </row>
    <row r="37" spans="3:16" ht="10.199999999999999" customHeight="1" x14ac:dyDescent="0.2">
      <c r="C37" s="587"/>
      <c r="D37" s="566"/>
      <c r="E37" s="566"/>
      <c r="F37" s="566"/>
      <c r="G37" s="566"/>
      <c r="H37" s="566"/>
      <c r="I37" s="566"/>
      <c r="J37" s="566"/>
      <c r="K37" s="566"/>
      <c r="L37" s="566"/>
      <c r="M37" s="566"/>
      <c r="N37" s="566"/>
      <c r="O37" s="566"/>
      <c r="P37" s="626"/>
    </row>
    <row r="38" spans="3:16" ht="10.199999999999999" customHeight="1" x14ac:dyDescent="0.2">
      <c r="C38" s="587"/>
      <c r="D38" s="588"/>
      <c r="E38" s="588"/>
      <c r="F38" s="588"/>
      <c r="G38" s="589"/>
      <c r="H38" s="590"/>
      <c r="I38" s="590"/>
      <c r="J38" s="590"/>
      <c r="K38" s="590"/>
      <c r="L38" s="590"/>
      <c r="M38" s="590"/>
      <c r="N38" s="590"/>
      <c r="O38" s="566"/>
      <c r="P38" s="626"/>
    </row>
    <row r="39" spans="3:16" ht="10.199999999999999" customHeight="1" x14ac:dyDescent="0.2">
      <c r="C39" s="587"/>
      <c r="D39" s="588"/>
      <c r="E39" s="588"/>
      <c r="F39" s="588"/>
      <c r="G39" s="588"/>
      <c r="H39" s="588"/>
      <c r="I39" s="588"/>
      <c r="J39" s="588"/>
      <c r="K39" s="588"/>
      <c r="L39" s="588"/>
      <c r="M39" s="588"/>
      <c r="N39" s="566"/>
      <c r="O39" s="566"/>
      <c r="P39" s="626"/>
    </row>
    <row r="40" spans="3:16" ht="10.199999999999999" customHeight="1" x14ac:dyDescent="0.2">
      <c r="C40" s="572" t="s">
        <v>3676</v>
      </c>
      <c r="D40" s="573"/>
      <c r="E40" s="588"/>
      <c r="F40" s="588"/>
      <c r="G40" s="588"/>
      <c r="H40" s="588"/>
      <c r="I40" s="588"/>
      <c r="J40" s="588"/>
      <c r="K40" s="588"/>
      <c r="L40" s="588"/>
      <c r="M40" s="588"/>
      <c r="N40" s="566"/>
      <c r="O40" s="566"/>
      <c r="P40" s="626"/>
    </row>
    <row r="41" spans="3:16" ht="10.199999999999999" customHeight="1" x14ac:dyDescent="0.2">
      <c r="C41" s="591" t="s">
        <v>3677</v>
      </c>
      <c r="D41" s="592"/>
      <c r="E41" s="592"/>
      <c r="F41" s="592"/>
      <c r="G41" s="592"/>
      <c r="H41" s="592"/>
      <c r="I41" s="592"/>
      <c r="J41" s="592"/>
      <c r="K41" s="592"/>
      <c r="L41" s="592"/>
      <c r="M41" s="588"/>
      <c r="N41" s="566"/>
      <c r="O41" s="566"/>
      <c r="P41" s="626"/>
    </row>
    <row r="42" spans="3:16" ht="10.199999999999999" customHeight="1" x14ac:dyDescent="0.2">
      <c r="C42" s="593" t="s">
        <v>3678</v>
      </c>
      <c r="D42" s="588"/>
      <c r="E42" s="588"/>
      <c r="F42" s="588"/>
      <c r="G42" s="588"/>
      <c r="H42" s="588"/>
      <c r="I42" s="588"/>
      <c r="J42" s="588"/>
      <c r="K42" s="588"/>
      <c r="L42" s="588"/>
      <c r="M42" s="588"/>
      <c r="N42" s="566"/>
      <c r="O42" s="566"/>
      <c r="P42" s="626"/>
    </row>
    <row r="43" spans="3:16" ht="10.199999999999999" customHeight="1" x14ac:dyDescent="0.2">
      <c r="C43" s="594" t="s">
        <v>3679</v>
      </c>
      <c r="D43" s="595"/>
      <c r="E43" s="590" t="s">
        <v>3680</v>
      </c>
      <c r="F43" s="590" t="s">
        <v>3681</v>
      </c>
      <c r="G43" s="590" t="s">
        <v>3682</v>
      </c>
      <c r="H43" s="588"/>
      <c r="I43" s="589" t="s">
        <v>784</v>
      </c>
      <c r="J43" s="596" t="s">
        <v>3683</v>
      </c>
      <c r="K43" s="597"/>
      <c r="L43" s="588"/>
      <c r="M43" s="588"/>
      <c r="N43" s="566"/>
      <c r="O43" s="566"/>
      <c r="P43" s="626"/>
    </row>
    <row r="44" spans="3:16" ht="10.199999999999999" customHeight="1" x14ac:dyDescent="0.2">
      <c r="C44" s="587"/>
      <c r="D44" s="588"/>
      <c r="E44" s="598" t="s">
        <v>3673</v>
      </c>
      <c r="F44" s="598" t="s">
        <v>3673</v>
      </c>
      <c r="G44" s="598" t="s">
        <v>3673</v>
      </c>
      <c r="H44" s="588"/>
      <c r="I44" s="588"/>
      <c r="J44" s="598" t="s">
        <v>3673</v>
      </c>
      <c r="K44" s="588"/>
      <c r="L44" s="588"/>
      <c r="M44" s="588"/>
      <c r="N44" s="566"/>
      <c r="O44" s="566"/>
      <c r="P44" s="626"/>
    </row>
    <row r="45" spans="3:16" ht="10.199999999999999" customHeight="1" x14ac:dyDescent="0.2">
      <c r="C45" s="576" t="s">
        <v>3684</v>
      </c>
      <c r="D45" s="577"/>
      <c r="E45" s="577"/>
      <c r="F45" s="577"/>
      <c r="G45" s="577"/>
      <c r="H45" s="599" t="s">
        <v>3685</v>
      </c>
      <c r="I45" s="600" t="s">
        <v>3673</v>
      </c>
      <c r="J45" s="601" t="s">
        <v>3672</v>
      </c>
      <c r="K45" s="602" t="s">
        <v>3673</v>
      </c>
      <c r="L45" s="588"/>
      <c r="M45" s="588"/>
      <c r="N45" s="566"/>
      <c r="O45" s="566"/>
      <c r="P45" s="626"/>
    </row>
    <row r="46" spans="3:16" ht="10.199999999999999" customHeight="1" x14ac:dyDescent="0.2">
      <c r="C46" s="603"/>
      <c r="D46" s="566"/>
      <c r="E46" s="566"/>
      <c r="F46" s="566"/>
      <c r="G46" s="566"/>
      <c r="H46" s="566"/>
      <c r="I46" s="566"/>
      <c r="J46" s="566"/>
      <c r="K46" s="566"/>
      <c r="L46" s="566"/>
      <c r="M46" s="566"/>
      <c r="N46" s="566"/>
      <c r="O46" s="566"/>
      <c r="P46" s="626"/>
    </row>
    <row r="47" spans="3:16" ht="10.199999999999999" customHeight="1" x14ac:dyDescent="0.2">
      <c r="C47" s="572" t="s">
        <v>3686</v>
      </c>
      <c r="D47" s="573"/>
      <c r="E47" s="573"/>
      <c r="F47" s="573"/>
      <c r="G47" s="573"/>
      <c r="H47" s="573"/>
      <c r="I47" s="573"/>
      <c r="J47" s="588"/>
      <c r="K47" s="588"/>
      <c r="L47" s="588"/>
      <c r="M47" s="588"/>
      <c r="N47" s="566"/>
      <c r="O47" s="566"/>
      <c r="P47" s="626"/>
    </row>
    <row r="48" spans="3:16" ht="10.199999999999999" customHeight="1" x14ac:dyDescent="0.2">
      <c r="C48" s="578" t="s">
        <v>3687</v>
      </c>
      <c r="D48" s="588"/>
      <c r="E48" s="588"/>
      <c r="F48" s="588"/>
      <c r="G48" s="588"/>
      <c r="H48" s="588"/>
      <c r="I48" s="588"/>
      <c r="J48" s="588"/>
      <c r="K48" s="588"/>
      <c r="L48" s="588"/>
      <c r="M48" s="588"/>
      <c r="N48" s="566"/>
      <c r="O48" s="566"/>
      <c r="P48" s="626"/>
    </row>
    <row r="49" spans="3:16" ht="10.199999999999999" customHeight="1" x14ac:dyDescent="0.2">
      <c r="C49" s="604"/>
      <c r="D49" s="605"/>
      <c r="E49" s="605"/>
      <c r="F49" s="605"/>
      <c r="G49" s="605"/>
      <c r="H49" s="605"/>
      <c r="I49" s="605"/>
      <c r="J49" s="605"/>
      <c r="K49" s="605"/>
      <c r="L49" s="605"/>
      <c r="M49" s="605"/>
      <c r="N49" s="605"/>
      <c r="O49" s="566"/>
      <c r="P49" s="626"/>
    </row>
    <row r="50" spans="3:16" ht="10.199999999999999" customHeight="1" x14ac:dyDescent="0.2">
      <c r="C50" s="606"/>
      <c r="D50" s="605"/>
      <c r="E50" s="605"/>
      <c r="F50" s="605"/>
      <c r="G50" s="605"/>
      <c r="H50" s="605"/>
      <c r="I50" s="605"/>
      <c r="J50" s="605"/>
      <c r="K50" s="605"/>
      <c r="L50" s="605"/>
      <c r="M50" s="605"/>
      <c r="N50" s="605"/>
      <c r="O50" s="566"/>
      <c r="P50" s="626"/>
    </row>
    <row r="51" spans="3:16" ht="10.199999999999999" customHeight="1" x14ac:dyDescent="0.2">
      <c r="C51" s="607" t="s">
        <v>824</v>
      </c>
      <c r="D51" s="608" t="s">
        <v>1006</v>
      </c>
      <c r="E51" s="608" t="s">
        <v>467</v>
      </c>
      <c r="F51" s="609"/>
      <c r="G51" s="609"/>
      <c r="H51" s="609"/>
      <c r="I51" s="609"/>
      <c r="J51" s="609"/>
      <c r="K51" s="609"/>
      <c r="L51" s="609"/>
      <c r="M51" s="609"/>
      <c r="N51" s="566"/>
      <c r="O51" s="566"/>
      <c r="P51" s="626"/>
    </row>
    <row r="52" spans="3:16" ht="10.199999999999999" customHeight="1" x14ac:dyDescent="0.2">
      <c r="C52" s="610" t="s">
        <v>3688</v>
      </c>
      <c r="D52" s="611" t="s">
        <v>3673</v>
      </c>
      <c r="E52" s="611" t="s">
        <v>3673</v>
      </c>
      <c r="F52" s="612"/>
      <c r="G52" s="613"/>
      <c r="H52" s="613"/>
      <c r="I52" s="613"/>
      <c r="J52" s="613"/>
      <c r="K52" s="613"/>
      <c r="L52" s="613"/>
      <c r="M52" s="613"/>
      <c r="N52" s="566"/>
      <c r="O52" s="566"/>
      <c r="P52" s="626"/>
    </row>
    <row r="53" spans="3:16" ht="10.199999999999999" customHeight="1" x14ac:dyDescent="0.2">
      <c r="C53" s="610" t="s">
        <v>3689</v>
      </c>
      <c r="D53" s="614" t="s">
        <v>3673</v>
      </c>
      <c r="E53" s="614" t="s">
        <v>3673</v>
      </c>
      <c r="F53" s="613"/>
      <c r="G53" s="613"/>
      <c r="H53" s="613"/>
      <c r="I53" s="613"/>
      <c r="J53" s="613"/>
      <c r="K53" s="613"/>
      <c r="L53" s="613"/>
      <c r="M53" s="613"/>
      <c r="N53" s="566"/>
      <c r="O53" s="566"/>
      <c r="P53" s="626"/>
    </row>
    <row r="54" spans="3:16" ht="10.199999999999999" customHeight="1" x14ac:dyDescent="0.2">
      <c r="C54" s="603"/>
      <c r="D54" s="566"/>
      <c r="E54" s="566"/>
      <c r="F54" s="615"/>
      <c r="G54" s="615"/>
      <c r="H54" s="615"/>
      <c r="I54" s="615"/>
      <c r="J54" s="615"/>
      <c r="K54" s="615"/>
      <c r="L54" s="615"/>
      <c r="M54" s="615"/>
      <c r="N54" s="566"/>
      <c r="O54" s="566"/>
      <c r="P54" s="626"/>
    </row>
    <row r="55" spans="3:16" ht="10.199999999999999" customHeight="1" x14ac:dyDescent="0.2">
      <c r="C55" s="616"/>
      <c r="D55" s="617"/>
      <c r="E55" s="617"/>
      <c r="F55" s="617"/>
      <c r="G55" s="617"/>
      <c r="H55" s="617"/>
      <c r="I55" s="617"/>
      <c r="J55" s="617"/>
      <c r="K55" s="617"/>
      <c r="L55" s="617"/>
      <c r="M55" s="588"/>
      <c r="N55" s="566"/>
      <c r="O55" s="566"/>
      <c r="P55" s="626"/>
    </row>
    <row r="56" spans="3:16" ht="10.199999999999999" customHeight="1" x14ac:dyDescent="0.2">
      <c r="C56" s="572" t="s">
        <v>3690</v>
      </c>
      <c r="D56" s="573"/>
      <c r="E56" s="573"/>
      <c r="F56" s="573"/>
      <c r="G56" s="573"/>
      <c r="H56" s="573"/>
      <c r="I56" s="573"/>
      <c r="J56" s="573"/>
      <c r="K56" s="573"/>
      <c r="L56" s="573"/>
      <c r="M56" s="588"/>
      <c r="N56" s="566"/>
      <c r="O56" s="566"/>
      <c r="P56" s="626"/>
    </row>
    <row r="57" spans="3:16" ht="10.199999999999999" customHeight="1" x14ac:dyDescent="0.2">
      <c r="C57" s="618" t="s">
        <v>3691</v>
      </c>
      <c r="D57" s="619"/>
      <c r="E57" s="619"/>
      <c r="F57" s="619"/>
      <c r="G57" s="619"/>
      <c r="H57" s="619"/>
      <c r="I57" s="619"/>
      <c r="J57" s="619"/>
      <c r="K57" s="619"/>
      <c r="L57" s="619"/>
      <c r="M57" s="588"/>
      <c r="N57" s="566"/>
      <c r="O57" s="566"/>
      <c r="P57" s="626"/>
    </row>
    <row r="58" spans="3:16" ht="10.199999999999999" customHeight="1" x14ac:dyDescent="0.2">
      <c r="C58" s="603"/>
      <c r="D58" s="566"/>
      <c r="E58" s="566"/>
      <c r="F58" s="566"/>
      <c r="G58" s="566"/>
      <c r="H58" s="566"/>
      <c r="I58" s="566"/>
      <c r="J58" s="566"/>
      <c r="K58" s="566"/>
      <c r="L58" s="566"/>
      <c r="M58" s="566"/>
      <c r="N58" s="566"/>
      <c r="O58" s="566"/>
      <c r="P58" s="626"/>
    </row>
    <row r="59" spans="3:16" ht="10.199999999999999" customHeight="1" x14ac:dyDescent="0.2">
      <c r="C59" s="623"/>
      <c r="D59" s="624"/>
      <c r="E59" s="624"/>
      <c r="F59" s="624"/>
      <c r="G59" s="624"/>
      <c r="H59" s="624"/>
      <c r="I59" s="624"/>
      <c r="J59" s="624"/>
      <c r="K59" s="624"/>
      <c r="L59" s="624"/>
      <c r="M59" s="624"/>
      <c r="N59" s="624"/>
      <c r="O59" s="624"/>
      <c r="P59" s="627"/>
    </row>
    <row r="60" spans="3:16" ht="10.199999999999999" customHeight="1" x14ac:dyDescent="0.2"/>
  </sheetData>
  <mergeCells count="24">
    <mergeCell ref="C47:I47"/>
    <mergeCell ref="C49:N50"/>
    <mergeCell ref="F51:M51"/>
    <mergeCell ref="F52:M54"/>
    <mergeCell ref="C56:L56"/>
    <mergeCell ref="C57:L57"/>
    <mergeCell ref="D36:E36"/>
    <mergeCell ref="C40:D40"/>
    <mergeCell ref="C41:L41"/>
    <mergeCell ref="C43:D43"/>
    <mergeCell ref="J43:K43"/>
    <mergeCell ref="C45:G45"/>
    <mergeCell ref="C16:D16"/>
    <mergeCell ref="C17:L17"/>
    <mergeCell ref="C19:D19"/>
    <mergeCell ref="C20:L20"/>
    <mergeCell ref="H22:L22"/>
    <mergeCell ref="D23:M23"/>
    <mergeCell ref="C5:N6"/>
    <mergeCell ref="C7:N9"/>
    <mergeCell ref="C10:F10"/>
    <mergeCell ref="C11:L11"/>
    <mergeCell ref="C13:E13"/>
    <mergeCell ref="C14:L14"/>
  </mergeCells>
  <phoneticPr fontId="0" type="noConversion"/>
  <pageMargins left="0.78740157499999996" right="0.78740157499999996" top="0.984251969" bottom="0.984251969" header="0.4921259845" footer="0.492125984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6A1F0-9379-4951-91D1-551D69FA963A}">
  <sheetPr codeName="Tabelle1">
    <pageSetUpPr autoPageBreaks="0"/>
  </sheetPr>
  <dimension ref="A1:FI1502"/>
  <sheetViews>
    <sheetView showGridLines="0" showRowColHeaders="0" tabSelected="1" topLeftCell="S18" zoomScale="112" zoomScaleNormal="115" workbookViewId="0">
      <selection activeCell="T27" sqref="T27:AA28"/>
    </sheetView>
  </sheetViews>
  <sheetFormatPr baseColWidth="10" defaultRowHeight="10.199999999999999" x14ac:dyDescent="0.2"/>
  <cols>
    <col min="1" max="18" width="11.375" hidden="1" customWidth="1"/>
    <col min="19" max="19" width="1" customWidth="1"/>
    <col min="20" max="20" width="1.75" customWidth="1"/>
    <col min="21" max="21" width="5.375" customWidth="1"/>
    <col min="22" max="22" width="8.75" customWidth="1"/>
    <col min="23" max="23" width="6.75" customWidth="1"/>
    <col min="24" max="24" width="7.75" customWidth="1"/>
    <col min="25" max="25" width="5.75" customWidth="1"/>
    <col min="26" max="26" width="4.75" customWidth="1"/>
    <col min="27" max="28" width="9.75" customWidth="1"/>
    <col min="29" max="29" width="2.375" customWidth="1"/>
    <col min="30" max="31" width="9.75" customWidth="1"/>
    <col min="32" max="32" width="5.125" customWidth="1"/>
    <col min="33" max="33" width="2" customWidth="1"/>
    <col min="34" max="34" width="5.125" customWidth="1"/>
    <col min="35" max="37" width="6.625" hidden="1" customWidth="1"/>
    <col min="38" max="39" width="1.75" customWidth="1"/>
    <col min="40" max="42" width="2.375" customWidth="1"/>
    <col min="43" max="43" width="1.75" customWidth="1"/>
    <col min="44" max="44" width="2.375" customWidth="1"/>
    <col min="45" max="45" width="1.75" customWidth="1"/>
    <col min="46" max="48" width="2.25" customWidth="1"/>
    <col min="49" max="49" width="2.75" customWidth="1"/>
    <col min="50" max="50" width="1.375" customWidth="1"/>
    <col min="51" max="51" width="2.75" customWidth="1"/>
    <col min="52" max="52" width="1.75" customWidth="1"/>
    <col min="53" max="56" width="2.75" customWidth="1"/>
    <col min="57" max="57" width="0.875" customWidth="1"/>
    <col min="58" max="58" width="5.25" customWidth="1"/>
    <col min="59" max="59" width="3.25" customWidth="1"/>
    <col min="60" max="60" width="5.25" customWidth="1"/>
    <col min="61" max="61" width="6.75" customWidth="1"/>
    <col min="62" max="62" width="3.25" customWidth="1"/>
    <col min="63" max="63" width="1.375" customWidth="1"/>
    <col min="64" max="64" width="3.25" customWidth="1"/>
    <col min="65" max="65" width="6.75" customWidth="1"/>
    <col min="66" max="66" width="4.25" customWidth="1"/>
    <col min="67" max="67" width="0.875" customWidth="1"/>
    <col min="68" max="68" width="5.25" customWidth="1"/>
    <col min="69" max="69" width="3.25" customWidth="1"/>
    <col min="70" max="75" width="4.25" hidden="1" customWidth="1"/>
    <col min="76" max="77" width="5.75" hidden="1" customWidth="1"/>
    <col min="78" max="79" width="0" hidden="1" customWidth="1"/>
    <col min="80" max="81" width="4.75" hidden="1" customWidth="1"/>
    <col min="82" max="82" width="0" hidden="1" customWidth="1"/>
    <col min="83" max="100" width="3.75" hidden="1" customWidth="1"/>
    <col min="101" max="106" width="6.75" hidden="1" customWidth="1"/>
    <col min="107" max="119" width="3.75" hidden="1" customWidth="1"/>
    <col min="120" max="132" width="0" hidden="1" customWidth="1"/>
    <col min="133" max="152" width="12.75" hidden="1" customWidth="1"/>
    <col min="153" max="169" width="0" hidden="1" customWidth="1"/>
  </cols>
  <sheetData>
    <row r="1" spans="1:113" hidden="1" x14ac:dyDescent="0.2">
      <c r="A1" s="56">
        <v>-1</v>
      </c>
      <c r="B1" s="57" t="s">
        <v>362</v>
      </c>
      <c r="C1" s="57" t="s">
        <v>363</v>
      </c>
      <c r="D1" s="57" t="s">
        <v>364</v>
      </c>
      <c r="E1" s="57" t="s">
        <v>365</v>
      </c>
      <c r="F1" s="57" t="s">
        <v>366</v>
      </c>
      <c r="G1" s="58" t="s">
        <v>367</v>
      </c>
      <c r="H1" s="58" t="s">
        <v>368</v>
      </c>
      <c r="I1" s="58" t="s">
        <v>369</v>
      </c>
      <c r="J1" s="58" t="s">
        <v>370</v>
      </c>
      <c r="CR1" t="s">
        <v>371</v>
      </c>
      <c r="CS1" s="59">
        <v>0</v>
      </c>
    </row>
    <row r="2" spans="1:113" hidden="1" x14ac:dyDescent="0.2">
      <c r="A2" s="57" t="s">
        <v>372</v>
      </c>
      <c r="B2" s="60"/>
      <c r="C2" s="57">
        <v>1</v>
      </c>
      <c r="D2" s="57">
        <v>1</v>
      </c>
      <c r="E2" s="61">
        <f>IF(LEN(T27)=0,-1,1)</f>
        <v>-1</v>
      </c>
      <c r="F2" s="57">
        <f>IF(LEN(T27)=0,0,T27)</f>
        <v>0</v>
      </c>
      <c r="G2" s="56">
        <v>5</v>
      </c>
      <c r="H2" s="57">
        <f>IF(ISERROR(MATCH(G2,C276:C775,0)),-1,VLOOKUP(G2,C276:D775,2,FALSE))</f>
        <v>3</v>
      </c>
      <c r="I2" s="57">
        <f>IF(H2&lt;=0,0,MATCH(G2,C276:C575,0))</f>
        <v>5</v>
      </c>
      <c r="J2" s="62" t="s">
        <v>373</v>
      </c>
      <c r="AH2" s="62" t="b">
        <v>0</v>
      </c>
      <c r="CR2" t="s">
        <v>374</v>
      </c>
      <c r="CS2" s="59">
        <v>1</v>
      </c>
      <c r="CV2" t="s">
        <v>375</v>
      </c>
      <c r="CW2" t="s">
        <v>376</v>
      </c>
      <c r="CY2" t="s">
        <v>377</v>
      </c>
      <c r="DA2" t="s">
        <v>378</v>
      </c>
      <c r="DD2" t="s">
        <v>378</v>
      </c>
    </row>
    <row r="3" spans="1:113" hidden="1" x14ac:dyDescent="0.2">
      <c r="A3" t="s">
        <v>379</v>
      </c>
      <c r="B3" s="63"/>
      <c r="AH3" t="s">
        <v>380</v>
      </c>
      <c r="AN3" s="64" t="s">
        <v>381</v>
      </c>
      <c r="BG3" t="s">
        <v>382</v>
      </c>
      <c r="CR3" t="s">
        <v>383</v>
      </c>
      <c r="CS3" s="59" t="b">
        <v>0</v>
      </c>
      <c r="CY3" t="s">
        <v>384</v>
      </c>
      <c r="DA3" s="65" t="s">
        <v>385</v>
      </c>
    </row>
    <row r="4" spans="1:113" hidden="1" x14ac:dyDescent="0.2">
      <c r="A4" s="55" t="s">
        <v>386</v>
      </c>
      <c r="B4" t="b">
        <v>1</v>
      </c>
      <c r="C4" s="57">
        <v>2</v>
      </c>
      <c r="D4" s="57">
        <v>3</v>
      </c>
      <c r="E4" s="66">
        <v>4</v>
      </c>
      <c r="F4" s="67">
        <v>5</v>
      </c>
      <c r="G4" s="57">
        <v>6</v>
      </c>
      <c r="H4" s="57">
        <v>7</v>
      </c>
      <c r="M4" t="s">
        <v>387</v>
      </c>
      <c r="O4" t="s">
        <v>388</v>
      </c>
      <c r="AH4" s="62" t="b">
        <v>0</v>
      </c>
      <c r="AN4" t="s">
        <v>389</v>
      </c>
      <c r="BG4">
        <v>1</v>
      </c>
      <c r="BH4">
        <v>40</v>
      </c>
      <c r="CR4" t="s">
        <v>390</v>
      </c>
      <c r="CS4" s="59">
        <v>0</v>
      </c>
      <c r="CU4" t="s">
        <v>391</v>
      </c>
      <c r="CV4" s="68" t="str">
        <f>IF($CS$5=0,"",IF(CP5&lt;=0,"","2+"))</f>
        <v/>
      </c>
      <c r="CW4" t="str">
        <f>IF(CS4=0,"",IF(CS4=3,"",IF(CS4=1,"•","TS")))</f>
        <v/>
      </c>
      <c r="CY4" t="s">
        <v>392</v>
      </c>
      <c r="DA4" s="65" t="s">
        <v>393</v>
      </c>
    </row>
    <row r="5" spans="1:113" hidden="1" x14ac:dyDescent="0.2">
      <c r="A5" t="s">
        <v>394</v>
      </c>
      <c r="B5" t="s">
        <v>395</v>
      </c>
      <c r="C5" s="57" t="s">
        <v>396</v>
      </c>
      <c r="D5" s="57"/>
      <c r="E5" s="66" t="s">
        <v>397</v>
      </c>
      <c r="F5" s="67"/>
      <c r="G5" s="57" t="s">
        <v>398</v>
      </c>
      <c r="H5" s="57"/>
      <c r="I5" t="s">
        <v>399</v>
      </c>
      <c r="M5" t="s">
        <v>400</v>
      </c>
      <c r="N5" t="s">
        <v>401</v>
      </c>
      <c r="O5" t="s">
        <v>402</v>
      </c>
      <c r="P5" t="s">
        <v>403</v>
      </c>
      <c r="Q5" t="s">
        <v>404</v>
      </c>
      <c r="AN5" t="s">
        <v>405</v>
      </c>
      <c r="BG5">
        <v>2</v>
      </c>
      <c r="BH5">
        <v>47</v>
      </c>
      <c r="CP5">
        <f>settings!C12</f>
        <v>0</v>
      </c>
      <c r="CQ5">
        <f>settings!C13</f>
        <v>0</v>
      </c>
      <c r="CR5" t="s">
        <v>391</v>
      </c>
      <c r="CS5" s="59">
        <v>0</v>
      </c>
      <c r="CV5" s="68" t="str">
        <f>IF($CS$5=0,"",IF(CQ5&lt;=0,"","3+"))</f>
        <v/>
      </c>
    </row>
    <row r="6" spans="1:113" hidden="1" x14ac:dyDescent="0.2">
      <c r="A6" t="s">
        <v>406</v>
      </c>
      <c r="B6">
        <v>37</v>
      </c>
      <c r="C6" s="57" t="str">
        <f t="shared" ref="C6:D13" si="0">IF(AND(NOT($B$4),VLOOKUP($B6,$B$99:$D$120,C$4,FALSE)=FALSE)," - ",IF(VLOOKUP($A6,$E$99:$K$155,C$4,FALSE)&lt;=0," - ",INDEX(teams_k,VLOOKUP($A6,$E$99:$K$155,C$4,FALSE))))</f>
        <v>SCO</v>
      </c>
      <c r="D6" s="57" t="str">
        <f t="shared" si="0"/>
        <v>CRO</v>
      </c>
      <c r="E6" s="66" t="str">
        <f t="shared" ref="E6:H20" si="1">IF(VLOOKUP($A6,$E$99:$K$155,E$4,FALSE)&lt;=0," - ",INDEX(teams_k,VLOOKUP($A6,$E$99:$K$155,E$4,FALSE)))</f>
        <v>SCO</v>
      </c>
      <c r="F6" s="67" t="str">
        <f t="shared" si="1"/>
        <v>CRO</v>
      </c>
      <c r="G6" s="57" t="str">
        <f t="shared" si="1"/>
        <v>SCO</v>
      </c>
      <c r="H6" s="57" t="str">
        <f t="shared" si="1"/>
        <v>CRO</v>
      </c>
      <c r="I6" s="69" t="str">
        <f t="shared" ref="I6:I13" si="2">INDEX($C6:$F6,N6)</f>
        <v>SCO</v>
      </c>
      <c r="J6" s="69" t="str">
        <f t="shared" ref="J6:J13" si="3">INDEX($C6:$F6,N6+1)</f>
        <v>CRO</v>
      </c>
      <c r="K6" t="str">
        <f t="shared" ref="K6:L13" si="4">IF(I6=" - "," - ",INDEX(etauswahl_vgl,MATCH(I6,kuerzel,0)))</f>
        <v>SCHOTTLAND (SCO)</v>
      </c>
      <c r="L6" t="str">
        <f t="shared" si="4"/>
        <v>KROATIEN (CRO)</v>
      </c>
      <c r="M6" t="b">
        <f t="shared" ref="M6:M13" si="5">AND(VLOOKUP(B6,$B$99:$C$120,2,FALSE),VLOOKUP(B6,$B$99:$D$120,3,FALSE))</f>
        <v>0</v>
      </c>
      <c r="N6">
        <f t="shared" ref="N6:N13" si="6">IF($CS$2=2,3,IF($AH$4,3,1))</f>
        <v>1</v>
      </c>
      <c r="O6" t="b">
        <f>VLOOKUP(B6,tabbermsp!$F$395:$P$402,10,FALSE)</f>
        <v>0</v>
      </c>
      <c r="P6" t="b">
        <f>VLOOKUP(B6,tabbermsp!$F$395:$P$402,11,FALSE)</f>
        <v>0</v>
      </c>
      <c r="Q6">
        <f>tabbermsp!C335</f>
        <v>1</v>
      </c>
      <c r="U6" t="s">
        <v>407</v>
      </c>
      <c r="AN6" t="s">
        <v>408</v>
      </c>
      <c r="BG6">
        <v>3</v>
      </c>
      <c r="BH6">
        <v>59</v>
      </c>
      <c r="CR6" t="s">
        <v>409</v>
      </c>
      <c r="CS6" s="59">
        <v>0</v>
      </c>
    </row>
    <row r="7" spans="1:113" hidden="1" x14ac:dyDescent="0.2">
      <c r="A7" t="s">
        <v>410</v>
      </c>
      <c r="B7">
        <v>38</v>
      </c>
      <c r="C7" s="57" t="str">
        <f t="shared" si="0"/>
        <v>GER</v>
      </c>
      <c r="D7" s="57" t="str">
        <f t="shared" si="0"/>
        <v>DEN</v>
      </c>
      <c r="E7" s="66" t="str">
        <f t="shared" si="1"/>
        <v>GER</v>
      </c>
      <c r="F7" s="67" t="str">
        <f t="shared" si="1"/>
        <v>DEN</v>
      </c>
      <c r="G7" s="57" t="str">
        <f t="shared" si="1"/>
        <v>GER</v>
      </c>
      <c r="H7" s="57" t="str">
        <f t="shared" si="1"/>
        <v>DEN</v>
      </c>
      <c r="I7" s="69" t="str">
        <f t="shared" si="2"/>
        <v>GER</v>
      </c>
      <c r="J7" s="69" t="str">
        <f t="shared" si="3"/>
        <v>DEN</v>
      </c>
      <c r="K7" t="str">
        <f t="shared" si="4"/>
        <v>DEUTSCHLAND (GER)</v>
      </c>
      <c r="L7" t="str">
        <f t="shared" si="4"/>
        <v>DÄNEMARK (DEN)</v>
      </c>
      <c r="M7" t="b">
        <f t="shared" si="5"/>
        <v>0</v>
      </c>
      <c r="N7">
        <f t="shared" si="6"/>
        <v>1</v>
      </c>
      <c r="O7" t="b">
        <f>VLOOKUP(B7,tabbermsp!$F$395:$P$402,10,FALSE)</f>
        <v>0</v>
      </c>
      <c r="P7" t="b">
        <f>VLOOKUP(B7,tabbermsp!$F$395:$P$402,11,FALSE)</f>
        <v>0</v>
      </c>
      <c r="Q7">
        <f>tabbermsp!C336</f>
        <v>2</v>
      </c>
      <c r="AN7" t="s">
        <v>411</v>
      </c>
      <c r="BG7">
        <v>4</v>
      </c>
      <c r="BH7">
        <v>66</v>
      </c>
      <c r="CR7" t="s">
        <v>412</v>
      </c>
      <c r="CS7" s="59">
        <v>1</v>
      </c>
    </row>
    <row r="8" spans="1:113" hidden="1" x14ac:dyDescent="0.2">
      <c r="A8" t="s">
        <v>413</v>
      </c>
      <c r="B8">
        <v>39</v>
      </c>
      <c r="C8" s="57" t="str">
        <f t="shared" si="0"/>
        <v>SLO</v>
      </c>
      <c r="D8" s="57" t="str">
        <f t="shared" si="0"/>
        <v>AUT</v>
      </c>
      <c r="E8" s="66" t="str">
        <f t="shared" si="1"/>
        <v>SLO</v>
      </c>
      <c r="F8" s="67" t="str">
        <f t="shared" si="1"/>
        <v>AUT</v>
      </c>
      <c r="G8" s="57" t="str">
        <f t="shared" si="1"/>
        <v>SLO</v>
      </c>
      <c r="H8" s="57" t="str">
        <f t="shared" si="1"/>
        <v>AUT</v>
      </c>
      <c r="I8" s="69" t="str">
        <f t="shared" si="2"/>
        <v>SLO</v>
      </c>
      <c r="J8" s="69" t="str">
        <f t="shared" si="3"/>
        <v>AUT</v>
      </c>
      <c r="K8" t="str">
        <f t="shared" si="4"/>
        <v>SLOWENIEN (SLO)</v>
      </c>
      <c r="L8" t="str">
        <f t="shared" si="4"/>
        <v>ÖSTERREICH (AUT)</v>
      </c>
      <c r="M8" t="b">
        <f t="shared" si="5"/>
        <v>0</v>
      </c>
      <c r="N8">
        <f t="shared" si="6"/>
        <v>1</v>
      </c>
      <c r="O8" t="b">
        <f>VLOOKUP(B8,tabbermsp!$F$395:$P$402,10,FALSE)</f>
        <v>0</v>
      </c>
      <c r="P8" t="b">
        <f>VLOOKUP(B8,tabbermsp!$F$395:$P$402,11,FALSE)</f>
        <v>0</v>
      </c>
      <c r="Q8">
        <f>tabbermsp!C337</f>
        <v>3</v>
      </c>
      <c r="AH8" s="62"/>
      <c r="AN8" s="62" t="s">
        <v>389</v>
      </c>
      <c r="BG8">
        <v>5</v>
      </c>
      <c r="BH8">
        <v>78</v>
      </c>
      <c r="CR8" t="s">
        <v>414</v>
      </c>
      <c r="CS8" s="59">
        <v>1</v>
      </c>
    </row>
    <row r="9" spans="1:113" hidden="1" x14ac:dyDescent="0.2">
      <c r="A9" t="s">
        <v>415</v>
      </c>
      <c r="B9">
        <v>40</v>
      </c>
      <c r="C9" s="57" t="str">
        <f t="shared" si="0"/>
        <v>ESP</v>
      </c>
      <c r="D9" s="57" t="str">
        <f t="shared" si="0"/>
        <v>HUN</v>
      </c>
      <c r="E9" s="66" t="str">
        <f t="shared" si="1"/>
        <v>ESP</v>
      </c>
      <c r="F9" s="67" t="str">
        <f t="shared" si="1"/>
        <v>HUN</v>
      </c>
      <c r="G9" s="57" t="str">
        <f t="shared" si="1"/>
        <v>ESP</v>
      </c>
      <c r="H9" s="57" t="str">
        <f t="shared" si="1"/>
        <v>HUN</v>
      </c>
      <c r="I9" s="69" t="str">
        <f t="shared" si="2"/>
        <v>ESP</v>
      </c>
      <c r="J9" s="69" t="str">
        <f t="shared" si="3"/>
        <v>HUN</v>
      </c>
      <c r="K9" t="str">
        <f t="shared" si="4"/>
        <v>SPANIEN (ESP)</v>
      </c>
      <c r="L9" t="str">
        <f t="shared" si="4"/>
        <v>UNGARN (HUN)</v>
      </c>
      <c r="M9" t="b">
        <f t="shared" si="5"/>
        <v>0</v>
      </c>
      <c r="N9">
        <f t="shared" si="6"/>
        <v>1</v>
      </c>
      <c r="O9" t="b">
        <f>VLOOKUP(B9,tabbermsp!$F$395:$P$402,10,FALSE)</f>
        <v>0</v>
      </c>
      <c r="P9" t="b">
        <f>VLOOKUP(B9,tabbermsp!$F$395:$P$402,11,FALSE)</f>
        <v>0</v>
      </c>
      <c r="Q9">
        <f>tabbermsp!C338</f>
        <v>4</v>
      </c>
      <c r="BG9">
        <v>6</v>
      </c>
      <c r="BH9">
        <v>85</v>
      </c>
      <c r="CP9" t="s">
        <v>416</v>
      </c>
      <c r="CS9" s="57">
        <v>1</v>
      </c>
      <c r="CT9" s="57">
        <v>2</v>
      </c>
      <c r="CU9" s="57">
        <v>3</v>
      </c>
      <c r="CV9" s="57">
        <v>4</v>
      </c>
      <c r="CW9" s="57">
        <v>5</v>
      </c>
      <c r="CX9" s="57">
        <v>6</v>
      </c>
      <c r="CY9" s="57">
        <v>7</v>
      </c>
      <c r="CZ9" s="57">
        <v>8</v>
      </c>
      <c r="DA9" s="57">
        <v>9</v>
      </c>
      <c r="DB9" s="57">
        <v>10</v>
      </c>
      <c r="DC9" s="57">
        <v>11</v>
      </c>
      <c r="DD9" s="57">
        <v>12</v>
      </c>
      <c r="DE9" s="57">
        <v>13</v>
      </c>
      <c r="DF9" s="57">
        <v>14</v>
      </c>
      <c r="DG9" s="57">
        <v>15</v>
      </c>
      <c r="DH9" s="57">
        <v>16</v>
      </c>
    </row>
    <row r="10" spans="1:113" hidden="1" x14ac:dyDescent="0.2">
      <c r="A10" t="s">
        <v>417</v>
      </c>
      <c r="B10">
        <v>41</v>
      </c>
      <c r="C10" s="57" t="str">
        <f t="shared" si="0"/>
        <v>NED</v>
      </c>
      <c r="D10" s="57" t="str">
        <f t="shared" si="0"/>
        <v>SVK</v>
      </c>
      <c r="E10" s="66" t="str">
        <f t="shared" si="1"/>
        <v>NED</v>
      </c>
      <c r="F10" s="67" t="str">
        <f t="shared" si="1"/>
        <v>SVK</v>
      </c>
      <c r="G10" s="57" t="str">
        <f t="shared" si="1"/>
        <v>NED</v>
      </c>
      <c r="H10" s="57" t="str">
        <f t="shared" si="1"/>
        <v>SVK</v>
      </c>
      <c r="I10" s="69" t="str">
        <f t="shared" si="2"/>
        <v>NED</v>
      </c>
      <c r="J10" s="69" t="str">
        <f t="shared" si="3"/>
        <v>SVK</v>
      </c>
      <c r="K10" t="str">
        <f t="shared" si="4"/>
        <v>NIEDERLANDE (NED)</v>
      </c>
      <c r="L10" t="str">
        <f t="shared" si="4"/>
        <v>SLOWAKEI (SVK)</v>
      </c>
      <c r="M10" t="b">
        <f t="shared" si="5"/>
        <v>0</v>
      </c>
      <c r="N10">
        <f t="shared" si="6"/>
        <v>1</v>
      </c>
      <c r="O10" t="b">
        <f>VLOOKUP(B10,tabbermsp!$F$395:$P$402,10,FALSE)</f>
        <v>0</v>
      </c>
      <c r="P10" t="b">
        <f>VLOOKUP(B10,tabbermsp!$F$395:$P$402,11,FALSE)</f>
        <v>0</v>
      </c>
      <c r="Q10">
        <f>tabbermsp!C339</f>
        <v>5</v>
      </c>
      <c r="BZ10" s="55" t="s">
        <v>418</v>
      </c>
      <c r="CA10" t="b">
        <f>AN8=AN6</f>
        <v>0</v>
      </c>
      <c r="CR10">
        <v>1</v>
      </c>
      <c r="CS10" s="57"/>
      <c r="CT10" s="57"/>
      <c r="CU10" s="57"/>
      <c r="CV10" s="57"/>
      <c r="CW10" s="57"/>
      <c r="CX10" s="57"/>
      <c r="CY10" s="57"/>
      <c r="CZ10" s="57"/>
      <c r="DA10" s="57"/>
      <c r="DB10" s="57"/>
      <c r="DC10" s="57"/>
      <c r="DD10" s="57"/>
      <c r="DE10" s="57"/>
      <c r="DF10" s="57"/>
      <c r="DG10" s="57"/>
      <c r="DH10" s="57"/>
    </row>
    <row r="11" spans="1:113" hidden="1" x14ac:dyDescent="0.2">
      <c r="A11" t="s">
        <v>419</v>
      </c>
      <c r="B11">
        <v>42</v>
      </c>
      <c r="C11" s="57" t="str">
        <f t="shared" si="0"/>
        <v>TUR</v>
      </c>
      <c r="D11" s="57" t="str">
        <f t="shared" si="0"/>
        <v>SRB</v>
      </c>
      <c r="E11" s="66" t="str">
        <f t="shared" si="1"/>
        <v>TUR</v>
      </c>
      <c r="F11" s="67" t="str">
        <f t="shared" si="1"/>
        <v>SRB</v>
      </c>
      <c r="G11" s="57" t="str">
        <f t="shared" si="1"/>
        <v>TUR</v>
      </c>
      <c r="H11" s="57" t="str">
        <f t="shared" si="1"/>
        <v>SRB</v>
      </c>
      <c r="I11" s="69" t="str">
        <f t="shared" si="2"/>
        <v>TUR</v>
      </c>
      <c r="J11" s="69" t="str">
        <f t="shared" si="3"/>
        <v>SRB</v>
      </c>
      <c r="K11" t="str">
        <f t="shared" si="4"/>
        <v>TÜRKEI (TUR)</v>
      </c>
      <c r="L11" t="str">
        <f t="shared" si="4"/>
        <v>SERBIEN (SRB)</v>
      </c>
      <c r="M11" t="b">
        <f t="shared" si="5"/>
        <v>0</v>
      </c>
      <c r="N11">
        <f t="shared" si="6"/>
        <v>1</v>
      </c>
      <c r="O11" t="b">
        <f>VLOOKUP(B11,tabbermsp!$F$395:$P$402,10,FALSE)</f>
        <v>0</v>
      </c>
      <c r="P11" t="b">
        <f>VLOOKUP(B11,tabbermsp!$F$395:$P$402,11,FALSE)</f>
        <v>0</v>
      </c>
      <c r="Q11">
        <f>tabbermsp!C340</f>
        <v>6</v>
      </c>
      <c r="BZ11" s="55" t="s">
        <v>420</v>
      </c>
      <c r="CA11" t="b">
        <v>0</v>
      </c>
      <c r="CR11">
        <v>2</v>
      </c>
      <c r="CS11" s="57" t="str">
        <f t="shared" ref="CS11:DH11" si="7">IF($CS$6=0,"",IF(OR($CS$6=1,$CS$6=3),"EW",CS15))</f>
        <v/>
      </c>
      <c r="CT11" s="57" t="str">
        <f t="shared" si="7"/>
        <v/>
      </c>
      <c r="CU11" s="57" t="str">
        <f t="shared" si="7"/>
        <v/>
      </c>
      <c r="CV11" s="57" t="str">
        <f t="shared" si="7"/>
        <v/>
      </c>
      <c r="CW11" s="57" t="str">
        <f t="shared" si="7"/>
        <v/>
      </c>
      <c r="CX11" s="57" t="str">
        <f t="shared" si="7"/>
        <v/>
      </c>
      <c r="CY11" s="57" t="str">
        <f t="shared" si="7"/>
        <v/>
      </c>
      <c r="CZ11" s="57" t="str">
        <f t="shared" si="7"/>
        <v/>
      </c>
      <c r="DA11" s="57" t="str">
        <f t="shared" si="7"/>
        <v/>
      </c>
      <c r="DB11" s="57" t="str">
        <f t="shared" si="7"/>
        <v/>
      </c>
      <c r="DC11" s="57" t="str">
        <f t="shared" si="7"/>
        <v/>
      </c>
      <c r="DD11" s="57" t="str">
        <f t="shared" si="7"/>
        <v/>
      </c>
      <c r="DE11" s="57" t="str">
        <f t="shared" si="7"/>
        <v/>
      </c>
      <c r="DF11" s="57" t="str">
        <f t="shared" si="7"/>
        <v/>
      </c>
      <c r="DG11" s="57" t="str">
        <f t="shared" si="7"/>
        <v/>
      </c>
      <c r="DH11" s="57" t="str">
        <f t="shared" si="7"/>
        <v/>
      </c>
    </row>
    <row r="12" spans="1:113" hidden="1" x14ac:dyDescent="0.2">
      <c r="A12" t="s">
        <v>421</v>
      </c>
      <c r="B12">
        <v>43</v>
      </c>
      <c r="C12" s="57" t="str">
        <f t="shared" si="0"/>
        <v>BEL</v>
      </c>
      <c r="D12" s="57" t="str">
        <f t="shared" si="0"/>
        <v>ITA</v>
      </c>
      <c r="E12" s="66" t="str">
        <f t="shared" si="1"/>
        <v>BEL</v>
      </c>
      <c r="F12" s="67" t="str">
        <f t="shared" si="1"/>
        <v>ITA</v>
      </c>
      <c r="G12" s="57" t="str">
        <f t="shared" si="1"/>
        <v>BEL</v>
      </c>
      <c r="H12" s="57" t="str">
        <f t="shared" si="1"/>
        <v>ITA</v>
      </c>
      <c r="I12" s="69" t="str">
        <f t="shared" si="2"/>
        <v>BEL</v>
      </c>
      <c r="J12" s="69" t="str">
        <f t="shared" si="3"/>
        <v>ITA</v>
      </c>
      <c r="K12" t="str">
        <f t="shared" si="4"/>
        <v>BELGIEN (BEL)</v>
      </c>
      <c r="L12" t="str">
        <f t="shared" si="4"/>
        <v>ITALIEN (ITA)</v>
      </c>
      <c r="M12" t="b">
        <f t="shared" si="5"/>
        <v>0</v>
      </c>
      <c r="N12">
        <f t="shared" si="6"/>
        <v>1</v>
      </c>
      <c r="O12" t="b">
        <f>VLOOKUP(B12,tabbermsp!$F$395:$P$402,10,FALSE)</f>
        <v>0</v>
      </c>
      <c r="P12" t="b">
        <f>VLOOKUP(B12,tabbermsp!$F$395:$P$402,11,FALSE)</f>
        <v>0</v>
      </c>
      <c r="Q12">
        <f>tabbermsp!C341</f>
        <v>7</v>
      </c>
      <c r="CR12">
        <v>3</v>
      </c>
      <c r="CS12" s="57" t="str">
        <f t="shared" ref="CS12:DH12" si="8">IF($CS$6&lt;2,"",IF($CS$6=2,CS16,CS15))</f>
        <v/>
      </c>
      <c r="CT12" s="57" t="str">
        <f t="shared" si="8"/>
        <v/>
      </c>
      <c r="CU12" s="57" t="str">
        <f t="shared" si="8"/>
        <v/>
      </c>
      <c r="CV12" s="57" t="str">
        <f t="shared" si="8"/>
        <v/>
      </c>
      <c r="CW12" s="57" t="str">
        <f t="shared" si="8"/>
        <v/>
      </c>
      <c r="CX12" s="57" t="str">
        <f t="shared" si="8"/>
        <v/>
      </c>
      <c r="CY12" s="57" t="str">
        <f t="shared" si="8"/>
        <v/>
      </c>
      <c r="CZ12" s="57" t="str">
        <f t="shared" si="8"/>
        <v/>
      </c>
      <c r="DA12" s="57" t="str">
        <f t="shared" si="8"/>
        <v/>
      </c>
      <c r="DB12" s="57" t="str">
        <f t="shared" si="8"/>
        <v/>
      </c>
      <c r="DC12" s="57" t="str">
        <f t="shared" si="8"/>
        <v/>
      </c>
      <c r="DD12" s="57" t="str">
        <f t="shared" si="8"/>
        <v/>
      </c>
      <c r="DE12" s="57" t="str">
        <f t="shared" si="8"/>
        <v/>
      </c>
      <c r="DF12" s="57" t="str">
        <f t="shared" si="8"/>
        <v/>
      </c>
      <c r="DG12" s="57" t="str">
        <f t="shared" si="8"/>
        <v/>
      </c>
      <c r="DH12" s="57" t="str">
        <f t="shared" si="8"/>
        <v/>
      </c>
    </row>
    <row r="13" spans="1:113" hidden="1" x14ac:dyDescent="0.2">
      <c r="A13" t="s">
        <v>422</v>
      </c>
      <c r="B13">
        <v>44</v>
      </c>
      <c r="C13" s="57" t="str">
        <f t="shared" si="0"/>
        <v>POL</v>
      </c>
      <c r="D13" s="57" t="str">
        <f t="shared" si="0"/>
        <v>GEO</v>
      </c>
      <c r="E13" s="66" t="str">
        <f t="shared" si="1"/>
        <v>POL</v>
      </c>
      <c r="F13" s="67" t="str">
        <f t="shared" si="1"/>
        <v>GEO</v>
      </c>
      <c r="G13" s="57" t="str">
        <f t="shared" si="1"/>
        <v>POL</v>
      </c>
      <c r="H13" s="57" t="str">
        <f t="shared" si="1"/>
        <v>GEO</v>
      </c>
      <c r="I13" s="69" t="str">
        <f t="shared" si="2"/>
        <v>POL</v>
      </c>
      <c r="J13" s="69" t="str">
        <f t="shared" si="3"/>
        <v>GEO</v>
      </c>
      <c r="K13" t="str">
        <f t="shared" si="4"/>
        <v>POLEN (POL)</v>
      </c>
      <c r="L13" t="str">
        <f t="shared" si="4"/>
        <v>GEORGIEN (GEO)</v>
      </c>
      <c r="M13" t="b">
        <f t="shared" si="5"/>
        <v>0</v>
      </c>
      <c r="N13">
        <f t="shared" si="6"/>
        <v>1</v>
      </c>
      <c r="O13" t="b">
        <f>VLOOKUP(B13,tabbermsp!$F$395:$P$402,10,FALSE)</f>
        <v>0</v>
      </c>
      <c r="P13" t="b">
        <f>VLOOKUP(B13,tabbermsp!$F$395:$P$402,11,FALSE)</f>
        <v>0</v>
      </c>
      <c r="Q13">
        <f>tabbermsp!C342</f>
        <v>8</v>
      </c>
      <c r="CR13">
        <v>4</v>
      </c>
      <c r="CS13" s="57" t="str">
        <f t="shared" ref="CS13:DH13" si="9">IF($CS$6&lt;3,"",CS16)</f>
        <v/>
      </c>
      <c r="CT13" s="57" t="str">
        <f t="shared" si="9"/>
        <v/>
      </c>
      <c r="CU13" s="57" t="str">
        <f t="shared" si="9"/>
        <v/>
      </c>
      <c r="CV13" s="57" t="str">
        <f t="shared" si="9"/>
        <v/>
      </c>
      <c r="CW13" s="57" t="str">
        <f t="shared" si="9"/>
        <v/>
      </c>
      <c r="CX13" s="57" t="str">
        <f t="shared" si="9"/>
        <v/>
      </c>
      <c r="CY13" s="57" t="str">
        <f t="shared" si="9"/>
        <v/>
      </c>
      <c r="CZ13" s="57" t="str">
        <f t="shared" si="9"/>
        <v/>
      </c>
      <c r="DA13" s="57" t="str">
        <f t="shared" si="9"/>
        <v/>
      </c>
      <c r="DB13" s="57" t="str">
        <f t="shared" si="9"/>
        <v/>
      </c>
      <c r="DC13" s="57" t="str">
        <f t="shared" si="9"/>
        <v/>
      </c>
      <c r="DD13" s="57" t="str">
        <f t="shared" si="9"/>
        <v/>
      </c>
      <c r="DE13" s="57" t="str">
        <f t="shared" si="9"/>
        <v/>
      </c>
      <c r="DF13" s="57" t="str">
        <f t="shared" si="9"/>
        <v/>
      </c>
      <c r="DG13" s="57" t="str">
        <f t="shared" si="9"/>
        <v/>
      </c>
      <c r="DH13" s="57" t="str">
        <f t="shared" si="9"/>
        <v/>
      </c>
    </row>
    <row r="14" spans="1:113" hidden="1" x14ac:dyDescent="0.2">
      <c r="A14" t="s">
        <v>423</v>
      </c>
      <c r="B14">
        <v>45</v>
      </c>
      <c r="C14" s="57" t="str">
        <f t="shared" ref="C14:D20" si="10">IF(VLOOKUP($A14,$E$99:$K$155,C$4,FALSE)&lt;=0," - ",INDEX(teams_k,VLOOKUP($A14,$E$99:$K$155,C$4,FALSE)))</f>
        <v xml:space="preserve"> - </v>
      </c>
      <c r="D14" s="57" t="str">
        <f t="shared" si="10"/>
        <v xml:space="preserve"> - </v>
      </c>
      <c r="E14" s="66" t="str">
        <f t="shared" ca="1" si="1"/>
        <v xml:space="preserve"> - </v>
      </c>
      <c r="F14" s="67" t="str">
        <f t="shared" ca="1" si="1"/>
        <v xml:space="preserve"> - </v>
      </c>
      <c r="G14" s="57" t="str">
        <f t="shared" ca="1" si="1"/>
        <v xml:space="preserve"> - </v>
      </c>
      <c r="H14" s="57" t="str">
        <f t="shared" ca="1" si="1"/>
        <v xml:space="preserve"> - </v>
      </c>
      <c r="I14" s="69" t="str">
        <f>IF(settings!$C$5=1,C14,E14)</f>
        <v xml:space="preserve"> - </v>
      </c>
      <c r="J14" s="69" t="str">
        <f>IF(settings!$C$5=1,D14,F14)</f>
        <v xml:space="preserve"> - </v>
      </c>
      <c r="K14" t="str">
        <f t="shared" ref="K14:K20" si="11">IF(I14=" - ",UPPER("Sieger "&amp;$N14&amp;" "&amp;SUMIF($E$130:$E$155,"="&amp;$A14,$A$130:$A$155)),INDEX(etauswahl_vgl,MATCH(I14,kuerzel,0)))</f>
        <v>SIEGER AF 4</v>
      </c>
      <c r="L14" t="str">
        <f t="shared" ref="L14:L20" si="12">IF(J14=" - ",UPPER("Sieger "&amp;$N14&amp;" "&amp;SUMIF($E$130:$E$155,"="&amp;$A14,$B$130:$B$155)),INDEX(etauswahl_vgl,MATCH(J14,kuerzel,0)))</f>
        <v>SIEGER AF 2</v>
      </c>
      <c r="N14" t="s">
        <v>424</v>
      </c>
      <c r="O14" t="b">
        <f t="shared" ref="O14:P20" ca="1" si="13">LEN(E14)&gt;4</f>
        <v>0</v>
      </c>
      <c r="P14" t="b">
        <f t="shared" ca="1" si="13"/>
        <v>0</v>
      </c>
      <c r="Q14">
        <f>tabbermsp!C343</f>
        <v>9</v>
      </c>
      <c r="CS14" s="57"/>
      <c r="CT14" s="57"/>
      <c r="CU14" s="57"/>
      <c r="CV14" s="57"/>
      <c r="CW14" s="57"/>
      <c r="CX14" s="57"/>
      <c r="CY14" s="57"/>
      <c r="CZ14" s="57"/>
      <c r="DA14" s="57"/>
      <c r="DB14" s="57"/>
      <c r="DC14" s="57"/>
      <c r="DD14" s="57"/>
      <c r="DE14" s="57"/>
      <c r="DF14" s="57"/>
      <c r="DG14" s="57"/>
      <c r="DH14" s="57"/>
    </row>
    <row r="15" spans="1:113" hidden="1" x14ac:dyDescent="0.2">
      <c r="A15" t="s">
        <v>425</v>
      </c>
      <c r="B15">
        <v>46</v>
      </c>
      <c r="C15" s="57" t="str">
        <f t="shared" si="10"/>
        <v xml:space="preserve"> - </v>
      </c>
      <c r="D15" s="57" t="str">
        <f t="shared" si="10"/>
        <v xml:space="preserve"> - </v>
      </c>
      <c r="E15" s="66" t="str">
        <f t="shared" ca="1" si="1"/>
        <v xml:space="preserve"> - </v>
      </c>
      <c r="F15" s="67" t="str">
        <f t="shared" ca="1" si="1"/>
        <v xml:space="preserve"> - </v>
      </c>
      <c r="G15" s="57" t="str">
        <f t="shared" ca="1" si="1"/>
        <v xml:space="preserve"> - </v>
      </c>
      <c r="H15" s="57" t="str">
        <f t="shared" ca="1" si="1"/>
        <v xml:space="preserve"> - </v>
      </c>
      <c r="I15" s="69" t="str">
        <f>IF(settings!$C$5=1,C15,E15)</f>
        <v xml:space="preserve"> - </v>
      </c>
      <c r="J15" s="69" t="str">
        <f>IF(settings!$C$5=1,D15,F15)</f>
        <v xml:space="preserve"> - </v>
      </c>
      <c r="K15" t="str">
        <f t="shared" si="11"/>
        <v>SIEGER AF 6</v>
      </c>
      <c r="L15" t="str">
        <f t="shared" si="12"/>
        <v>SIEGER AF 5</v>
      </c>
      <c r="N15" t="s">
        <v>424</v>
      </c>
      <c r="O15" t="b">
        <f t="shared" ca="1" si="13"/>
        <v>0</v>
      </c>
      <c r="P15" t="b">
        <f t="shared" ca="1" si="13"/>
        <v>0</v>
      </c>
      <c r="Q15">
        <f>tabbermsp!C344</f>
        <v>10</v>
      </c>
      <c r="CO15" t="s">
        <v>426</v>
      </c>
      <c r="CS15" s="57" t="s">
        <v>402</v>
      </c>
      <c r="CT15" s="57" t="s">
        <v>402</v>
      </c>
      <c r="CU15" s="57" t="s">
        <v>402</v>
      </c>
      <c r="CV15" s="57" t="s">
        <v>402</v>
      </c>
      <c r="CW15" s="57" t="s">
        <v>402</v>
      </c>
      <c r="CX15" s="57" t="s">
        <v>402</v>
      </c>
      <c r="CY15" s="57" t="s">
        <v>402</v>
      </c>
      <c r="CZ15" s="57" t="s">
        <v>402</v>
      </c>
      <c r="DA15" s="57" t="s">
        <v>402</v>
      </c>
      <c r="DB15" s="57" t="s">
        <v>402</v>
      </c>
      <c r="DC15" s="57" t="s">
        <v>402</v>
      </c>
      <c r="DD15" s="57" t="s">
        <v>402</v>
      </c>
      <c r="DE15" s="57" t="s">
        <v>402</v>
      </c>
      <c r="DF15" s="57" t="s">
        <v>402</v>
      </c>
      <c r="DG15" s="57" t="s">
        <v>402</v>
      </c>
      <c r="DH15" s="57" t="s">
        <v>402</v>
      </c>
      <c r="DI15" s="57" t="s">
        <v>402</v>
      </c>
    </row>
    <row r="16" spans="1:113" hidden="1" x14ac:dyDescent="0.2">
      <c r="A16" t="s">
        <v>427</v>
      </c>
      <c r="B16">
        <v>47</v>
      </c>
      <c r="C16" s="57" t="str">
        <f t="shared" si="10"/>
        <v xml:space="preserve"> - </v>
      </c>
      <c r="D16" s="57" t="str">
        <f t="shared" si="10"/>
        <v xml:space="preserve"> - </v>
      </c>
      <c r="E16" s="66" t="str">
        <f t="shared" ca="1" si="1"/>
        <v xml:space="preserve"> - </v>
      </c>
      <c r="F16" s="67" t="str">
        <f t="shared" ca="1" si="1"/>
        <v xml:space="preserve"> - </v>
      </c>
      <c r="G16" s="57" t="str">
        <f t="shared" ca="1" si="1"/>
        <v xml:space="preserve"> - </v>
      </c>
      <c r="H16" s="57" t="str">
        <f t="shared" ca="1" si="1"/>
        <v xml:space="preserve"> - </v>
      </c>
      <c r="I16" s="69" t="str">
        <f>IF(settings!$C$5=1,C16,E16)</f>
        <v xml:space="preserve"> - </v>
      </c>
      <c r="J16" s="69" t="str">
        <f>IF(settings!$C$5=1,D16,F16)</f>
        <v xml:space="preserve"> - </v>
      </c>
      <c r="K16" t="str">
        <f t="shared" si="11"/>
        <v>SIEGER AF 3</v>
      </c>
      <c r="L16" t="str">
        <f t="shared" si="12"/>
        <v>SIEGER AF 1</v>
      </c>
      <c r="N16" t="s">
        <v>424</v>
      </c>
      <c r="O16" t="b">
        <f t="shared" ca="1" si="13"/>
        <v>0</v>
      </c>
      <c r="P16" t="b">
        <f t="shared" ca="1" si="13"/>
        <v>0</v>
      </c>
      <c r="Q16">
        <f>tabbermsp!C345</f>
        <v>11</v>
      </c>
      <c r="CS16" s="57" t="s">
        <v>403</v>
      </c>
      <c r="CT16" s="57" t="s">
        <v>403</v>
      </c>
      <c r="CU16" s="57" t="s">
        <v>403</v>
      </c>
      <c r="CV16" s="57" t="s">
        <v>403</v>
      </c>
      <c r="CW16" s="57" t="s">
        <v>403</v>
      </c>
      <c r="CX16" s="57" t="s">
        <v>403</v>
      </c>
      <c r="CY16" s="57" t="s">
        <v>403</v>
      </c>
      <c r="CZ16" s="57" t="s">
        <v>403</v>
      </c>
      <c r="DA16" s="57" t="s">
        <v>403</v>
      </c>
      <c r="DB16" s="57" t="s">
        <v>403</v>
      </c>
      <c r="DC16" s="57" t="s">
        <v>403</v>
      </c>
      <c r="DD16" s="57" t="s">
        <v>403</v>
      </c>
      <c r="DE16" s="57" t="s">
        <v>403</v>
      </c>
      <c r="DF16" s="57" t="s">
        <v>403</v>
      </c>
      <c r="DG16" s="57" t="s">
        <v>403</v>
      </c>
      <c r="DH16" s="57" t="s">
        <v>403</v>
      </c>
      <c r="DI16" s="57" t="s">
        <v>403</v>
      </c>
    </row>
    <row r="17" spans="1:138" hidden="1" x14ac:dyDescent="0.2">
      <c r="A17" t="s">
        <v>428</v>
      </c>
      <c r="B17">
        <v>48</v>
      </c>
      <c r="C17" s="57" t="str">
        <f t="shared" si="10"/>
        <v xml:space="preserve"> - </v>
      </c>
      <c r="D17" s="57" t="str">
        <f t="shared" si="10"/>
        <v xml:space="preserve"> - </v>
      </c>
      <c r="E17" s="66" t="str">
        <f t="shared" ca="1" si="1"/>
        <v xml:space="preserve"> - </v>
      </c>
      <c r="F17" s="67" t="str">
        <f t="shared" ca="1" si="1"/>
        <v xml:space="preserve"> - </v>
      </c>
      <c r="G17" s="57" t="str">
        <f t="shared" ca="1" si="1"/>
        <v xml:space="preserve"> - </v>
      </c>
      <c r="H17" s="57" t="str">
        <f t="shared" ca="1" si="1"/>
        <v xml:space="preserve"> - </v>
      </c>
      <c r="I17" s="69" t="str">
        <f>IF(settings!$C$5=1,C17,E17)</f>
        <v xml:space="preserve"> - </v>
      </c>
      <c r="J17" s="69" t="str">
        <f>IF(settings!$C$5=1,D17,F17)</f>
        <v xml:space="preserve"> - </v>
      </c>
      <c r="K17" t="str">
        <f t="shared" si="11"/>
        <v>SIEGER AF 7</v>
      </c>
      <c r="L17" t="str">
        <f t="shared" si="12"/>
        <v>SIEGER AF 8</v>
      </c>
      <c r="N17" t="s">
        <v>424</v>
      </c>
      <c r="O17" t="b">
        <f t="shared" ca="1" si="13"/>
        <v>0</v>
      </c>
      <c r="P17" t="b">
        <f t="shared" ca="1" si="13"/>
        <v>0</v>
      </c>
      <c r="Q17">
        <f>tabbermsp!C346</f>
        <v>12</v>
      </c>
    </row>
    <row r="18" spans="1:138" ht="5.0999999999999996" customHeight="1" x14ac:dyDescent="0.2">
      <c r="A18" t="s">
        <v>429</v>
      </c>
      <c r="B18">
        <v>49</v>
      </c>
      <c r="C18" s="57" t="str">
        <f t="shared" si="10"/>
        <v xml:space="preserve"> - </v>
      </c>
      <c r="D18" s="57" t="str">
        <f t="shared" si="10"/>
        <v xml:space="preserve"> - </v>
      </c>
      <c r="E18" s="66" t="str">
        <f t="shared" ca="1" si="1"/>
        <v xml:space="preserve"> - </v>
      </c>
      <c r="F18" s="67" t="str">
        <f t="shared" ca="1" si="1"/>
        <v xml:space="preserve"> - </v>
      </c>
      <c r="G18" s="57" t="str">
        <f t="shared" si="1"/>
        <v xml:space="preserve"> - </v>
      </c>
      <c r="H18" s="57" t="str">
        <f t="shared" si="1"/>
        <v xml:space="preserve"> - </v>
      </c>
      <c r="I18" s="69" t="str">
        <f>IF(settings!$C$5=1,C18,E18)</f>
        <v xml:space="preserve"> - </v>
      </c>
      <c r="J18" s="69" t="str">
        <f>IF(settings!$C$5=1,D18,F18)</f>
        <v xml:space="preserve"> - </v>
      </c>
      <c r="K18" t="str">
        <f t="shared" si="11"/>
        <v>SIEGER VF 1</v>
      </c>
      <c r="L18" t="str">
        <f t="shared" si="12"/>
        <v>SIEGER VF 2</v>
      </c>
      <c r="N18" t="s">
        <v>430</v>
      </c>
      <c r="O18" t="b">
        <f t="shared" ca="1" si="13"/>
        <v>0</v>
      </c>
      <c r="P18" t="b">
        <f t="shared" ca="1" si="13"/>
        <v>0</v>
      </c>
      <c r="Q18">
        <f>tabbermsp!C347</f>
        <v>13</v>
      </c>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R18" s="55" t="s">
        <v>431</v>
      </c>
      <c r="CS18" t="b">
        <f t="shared" ref="CS18:DH18" si="14">OR($CS$6=0,VLOOKUP(CS9+36,$CC$99:$CD$166,2,FALSE))</f>
        <v>1</v>
      </c>
      <c r="CT18" t="b">
        <f t="shared" si="14"/>
        <v>1</v>
      </c>
      <c r="CU18" t="b">
        <f t="shared" si="14"/>
        <v>1</v>
      </c>
      <c r="CV18" t="b">
        <f t="shared" si="14"/>
        <v>1</v>
      </c>
      <c r="CW18" t="b">
        <f t="shared" si="14"/>
        <v>1</v>
      </c>
      <c r="CX18" t="b">
        <f t="shared" si="14"/>
        <v>1</v>
      </c>
      <c r="CY18" t="b">
        <f t="shared" si="14"/>
        <v>1</v>
      </c>
      <c r="CZ18" t="b">
        <f t="shared" si="14"/>
        <v>1</v>
      </c>
      <c r="DA18" t="b">
        <f t="shared" si="14"/>
        <v>1</v>
      </c>
      <c r="DB18" t="b">
        <f t="shared" si="14"/>
        <v>1</v>
      </c>
      <c r="DC18" t="b">
        <f t="shared" si="14"/>
        <v>1</v>
      </c>
      <c r="DD18" t="b">
        <f t="shared" si="14"/>
        <v>1</v>
      </c>
      <c r="DE18" t="b">
        <f t="shared" si="14"/>
        <v>1</v>
      </c>
      <c r="DF18" t="b">
        <f t="shared" si="14"/>
        <v>1</v>
      </c>
      <c r="DG18" t="b">
        <f t="shared" si="14"/>
        <v>1</v>
      </c>
      <c r="DH18" t="e">
        <f t="shared" si="14"/>
        <v>#N/A</v>
      </c>
    </row>
    <row r="19" spans="1:138" ht="14.1" customHeight="1" x14ac:dyDescent="0.2">
      <c r="A19" t="s">
        <v>432</v>
      </c>
      <c r="B19">
        <v>50</v>
      </c>
      <c r="C19" s="57" t="str">
        <f t="shared" si="10"/>
        <v xml:space="preserve"> - </v>
      </c>
      <c r="D19" s="57" t="str">
        <f t="shared" si="10"/>
        <v xml:space="preserve"> - </v>
      </c>
      <c r="E19" s="66" t="str">
        <f t="shared" ca="1" si="1"/>
        <v xml:space="preserve"> - </v>
      </c>
      <c r="F19" s="67" t="str">
        <f t="shared" ca="1" si="1"/>
        <v xml:space="preserve"> - </v>
      </c>
      <c r="G19" s="57" t="str">
        <f t="shared" si="1"/>
        <v xml:space="preserve"> - </v>
      </c>
      <c r="H19" s="57" t="str">
        <f t="shared" si="1"/>
        <v xml:space="preserve"> - </v>
      </c>
      <c r="I19" s="69" t="str">
        <f>IF(settings!$C$5=1,C19,E19)</f>
        <v xml:space="preserve"> - </v>
      </c>
      <c r="J19" s="69" t="str">
        <f>IF(settings!$C$5=1,D19,F19)</f>
        <v xml:space="preserve"> - </v>
      </c>
      <c r="K19" t="str">
        <f t="shared" si="11"/>
        <v>SIEGER VF 4</v>
      </c>
      <c r="L19" t="str">
        <f t="shared" si="12"/>
        <v>SIEGER VF 3</v>
      </c>
      <c r="N19" t="s">
        <v>430</v>
      </c>
      <c r="O19" t="b">
        <f t="shared" ca="1" si="13"/>
        <v>0</v>
      </c>
      <c r="P19" t="b">
        <f t="shared" ca="1" si="13"/>
        <v>0</v>
      </c>
      <c r="Q19">
        <f>tabbermsp!C348</f>
        <v>14</v>
      </c>
      <c r="S19" s="70"/>
      <c r="T19" s="70"/>
      <c r="U19" s="423" t="s">
        <v>433</v>
      </c>
      <c r="V19" s="424"/>
      <c r="W19" s="424"/>
      <c r="X19" s="425" t="s">
        <v>216</v>
      </c>
      <c r="Y19" s="425"/>
      <c r="Z19" s="426" t="s">
        <v>749</v>
      </c>
      <c r="AA19" s="427"/>
      <c r="AB19" s="427"/>
      <c r="AC19" s="426" t="s">
        <v>218</v>
      </c>
      <c r="AD19" s="427"/>
      <c r="AE19" s="427"/>
      <c r="AF19" s="70"/>
      <c r="AG19" s="70"/>
      <c r="AH19" s="70"/>
      <c r="AI19" s="70"/>
      <c r="AJ19" s="70"/>
      <c r="AK19" s="70"/>
      <c r="AL19" s="70"/>
      <c r="AM19" s="70"/>
      <c r="AN19" s="70"/>
      <c r="AO19" s="70"/>
      <c r="AP19" s="70"/>
      <c r="AQ19" s="70"/>
      <c r="AR19" s="70"/>
      <c r="AS19" s="70"/>
      <c r="AT19" s="70"/>
      <c r="AU19" s="70"/>
      <c r="AV19" s="70"/>
      <c r="AW19" s="70"/>
      <c r="AX19" s="70"/>
      <c r="AY19" s="70"/>
      <c r="AZ19" s="70"/>
      <c r="BA19" s="71"/>
      <c r="BB19" s="71"/>
      <c r="BC19" s="71"/>
      <c r="BD19" s="364" t="s">
        <v>1112</v>
      </c>
      <c r="BE19" s="71"/>
      <c r="BF19" s="71"/>
      <c r="BG19" s="71"/>
      <c r="BH19" s="71"/>
      <c r="BI19" s="71"/>
      <c r="BJ19" s="71"/>
      <c r="BK19" s="71"/>
      <c r="BL19" s="71"/>
      <c r="BM19" s="71"/>
      <c r="BN19" s="71"/>
      <c r="BO19" s="71"/>
      <c r="BP19" s="71"/>
      <c r="BQ19" s="71"/>
      <c r="BR19" s="71"/>
      <c r="BS19" s="53"/>
      <c r="BT19" s="53"/>
      <c r="BU19" s="53"/>
      <c r="BV19" s="53"/>
      <c r="BW19" s="53"/>
      <c r="BX19" s="53"/>
      <c r="BY19" s="53"/>
      <c r="BZ19" s="53"/>
      <c r="CA19" s="53"/>
      <c r="CB19" s="53"/>
      <c r="CC19" s="53"/>
      <c r="CD19" s="72" t="s">
        <v>434</v>
      </c>
      <c r="CE19" s="73" t="s">
        <v>435</v>
      </c>
      <c r="CR19" s="55" t="s">
        <v>436</v>
      </c>
      <c r="CS19" t="b">
        <f t="shared" ref="CS19:DH19" si="15">VLOOKUP(CS9+36,$CC$99:$CD$166,2,FALSE)</f>
        <v>0</v>
      </c>
      <c r="CT19" t="b">
        <f t="shared" si="15"/>
        <v>0</v>
      </c>
      <c r="CU19" t="b">
        <f t="shared" si="15"/>
        <v>0</v>
      </c>
      <c r="CV19" t="b">
        <f t="shared" si="15"/>
        <v>0</v>
      </c>
      <c r="CW19" t="b">
        <f t="shared" si="15"/>
        <v>0</v>
      </c>
      <c r="CX19" t="b">
        <f t="shared" si="15"/>
        <v>0</v>
      </c>
      <c r="CY19" t="b">
        <f t="shared" si="15"/>
        <v>0</v>
      </c>
      <c r="CZ19" t="b">
        <f t="shared" si="15"/>
        <v>0</v>
      </c>
      <c r="DA19" t="b">
        <f t="shared" si="15"/>
        <v>0</v>
      </c>
      <c r="DB19" t="b">
        <f t="shared" si="15"/>
        <v>0</v>
      </c>
      <c r="DC19" t="b">
        <f t="shared" si="15"/>
        <v>0</v>
      </c>
      <c r="DD19" t="b">
        <f t="shared" si="15"/>
        <v>0</v>
      </c>
      <c r="DE19" t="b">
        <f t="shared" si="15"/>
        <v>0</v>
      </c>
      <c r="DF19" t="b">
        <f t="shared" si="15"/>
        <v>0</v>
      </c>
      <c r="DG19" t="b">
        <f t="shared" si="15"/>
        <v>0</v>
      </c>
      <c r="DH19" t="e">
        <f t="shared" si="15"/>
        <v>#N/A</v>
      </c>
    </row>
    <row r="20" spans="1:138" ht="12" customHeight="1" x14ac:dyDescent="0.2">
      <c r="A20" t="s">
        <v>437</v>
      </c>
      <c r="B20">
        <v>51</v>
      </c>
      <c r="C20" s="57" t="str">
        <f t="shared" si="10"/>
        <v xml:space="preserve"> - </v>
      </c>
      <c r="D20" s="57" t="str">
        <f t="shared" si="10"/>
        <v xml:space="preserve"> - </v>
      </c>
      <c r="E20" s="66" t="str">
        <f t="shared" ca="1" si="1"/>
        <v xml:space="preserve"> - </v>
      </c>
      <c r="F20" s="67" t="str">
        <f t="shared" ca="1" si="1"/>
        <v xml:space="preserve"> - </v>
      </c>
      <c r="G20" s="57" t="str">
        <f t="shared" ca="1" si="1"/>
        <v xml:space="preserve"> - </v>
      </c>
      <c r="H20" s="57" t="str">
        <f t="shared" ca="1" si="1"/>
        <v xml:space="preserve"> - </v>
      </c>
      <c r="I20" s="69" t="str">
        <f>IF(settings!$C$5=1,C20,E20)</f>
        <v xml:space="preserve"> - </v>
      </c>
      <c r="J20" s="69" t="str">
        <f>IF(settings!$C$5=1,D20,F20)</f>
        <v xml:space="preserve"> - </v>
      </c>
      <c r="K20" t="str">
        <f t="shared" si="11"/>
        <v>SIEGER HF 1</v>
      </c>
      <c r="L20" t="str">
        <f t="shared" si="12"/>
        <v>SIEGER HF 2</v>
      </c>
      <c r="N20" t="s">
        <v>438</v>
      </c>
      <c r="O20" t="b">
        <f t="shared" ca="1" si="13"/>
        <v>0</v>
      </c>
      <c r="P20" t="b">
        <f t="shared" ca="1" si="13"/>
        <v>0</v>
      </c>
      <c r="Q20">
        <f>tabbermsp!C349</f>
        <v>15</v>
      </c>
      <c r="S20" s="70"/>
      <c r="T20" s="74" t="s">
        <v>806</v>
      </c>
      <c r="U20" s="70"/>
      <c r="V20" s="70"/>
      <c r="W20" s="70"/>
      <c r="X20" s="70"/>
      <c r="Y20" s="70"/>
      <c r="Z20" s="70"/>
      <c r="AA20" s="70"/>
      <c r="AB20" s="70"/>
      <c r="AC20" s="75"/>
      <c r="AD20" s="70"/>
      <c r="AE20" s="70"/>
      <c r="AF20" s="70"/>
      <c r="AG20" s="70"/>
      <c r="AH20" s="70"/>
      <c r="AI20" s="70"/>
      <c r="AJ20" s="70"/>
      <c r="AK20" s="70"/>
      <c r="AL20" s="70"/>
      <c r="AM20" s="70"/>
      <c r="AN20" s="70"/>
      <c r="AO20" s="70"/>
      <c r="AP20" s="70"/>
      <c r="AQ20" s="70"/>
      <c r="AR20" s="70"/>
      <c r="AS20" s="70"/>
      <c r="AT20" s="70"/>
      <c r="AU20" s="76"/>
      <c r="AV20" s="70"/>
      <c r="AW20" s="70"/>
      <c r="AX20" s="70"/>
      <c r="AY20" s="70"/>
      <c r="AZ20" s="434" t="s">
        <v>439</v>
      </c>
      <c r="BA20" s="434"/>
      <c r="BB20" s="434"/>
      <c r="BC20" s="434"/>
      <c r="BD20" s="434"/>
      <c r="BE20" s="434"/>
      <c r="BF20" s="434"/>
      <c r="BG20" s="434"/>
      <c r="BH20" s="434"/>
      <c r="BI20" s="434"/>
      <c r="BJ20" s="434"/>
      <c r="BK20" s="434"/>
      <c r="BL20" s="434"/>
      <c r="BM20" s="434"/>
      <c r="BN20" s="434"/>
      <c r="BO20" s="434"/>
      <c r="BP20" s="441"/>
      <c r="BQ20" s="77" t="s">
        <v>435</v>
      </c>
      <c r="BR20" s="71"/>
      <c r="BS20" s="53"/>
      <c r="BT20" s="53"/>
      <c r="BU20" s="53"/>
      <c r="BV20" s="53"/>
      <c r="BW20" s="53"/>
      <c r="BX20" s="53"/>
      <c r="BY20" s="53"/>
      <c r="BZ20" s="53"/>
      <c r="CA20" s="53"/>
      <c r="CB20" s="53"/>
      <c r="CC20" s="53"/>
      <c r="CD20" s="72" t="s">
        <v>440</v>
      </c>
      <c r="CE20" s="73" t="s">
        <v>435</v>
      </c>
      <c r="DI20" t="s">
        <v>441</v>
      </c>
    </row>
    <row r="21" spans="1:138" ht="3.9" customHeight="1" x14ac:dyDescent="0.2">
      <c r="Q21">
        <f>tabbermsp!C350</f>
        <v>16</v>
      </c>
      <c r="S21" s="70"/>
      <c r="T21" s="70"/>
      <c r="U21" s="70"/>
      <c r="V21" s="70"/>
      <c r="W21" s="70"/>
      <c r="X21" s="70"/>
      <c r="Y21" s="70"/>
      <c r="Z21" s="70"/>
      <c r="AA21" s="70"/>
      <c r="AB21" s="78"/>
      <c r="AC21" s="70"/>
      <c r="AD21" s="70"/>
      <c r="AE21" s="70"/>
      <c r="AF21" s="70"/>
      <c r="AG21" s="70"/>
      <c r="AH21" s="70"/>
      <c r="AI21" s="70"/>
      <c r="AJ21" s="70"/>
      <c r="AK21" s="70"/>
      <c r="AL21" s="70"/>
      <c r="AM21" s="70"/>
      <c r="AN21" s="70"/>
      <c r="AO21" s="70"/>
      <c r="AP21" s="70"/>
      <c r="AQ21" s="70"/>
      <c r="AR21" s="70"/>
      <c r="AS21" s="70"/>
      <c r="AT21" s="70"/>
      <c r="AU21" s="76"/>
      <c r="AV21" s="76"/>
      <c r="AW21" s="76"/>
      <c r="AX21" s="76"/>
      <c r="AY21" s="76"/>
      <c r="AZ21" s="76"/>
      <c r="BA21" s="79"/>
      <c r="BB21" s="79"/>
      <c r="BC21" s="79"/>
      <c r="BD21" s="79"/>
      <c r="BE21" s="79"/>
      <c r="BF21" s="79"/>
      <c r="BG21" s="79"/>
      <c r="BH21" s="79"/>
      <c r="BI21" s="79"/>
      <c r="BJ21" s="79"/>
      <c r="BK21" s="79"/>
      <c r="BL21" s="79"/>
      <c r="BM21" s="79"/>
      <c r="BN21" s="79"/>
      <c r="BO21" s="79"/>
      <c r="BP21" s="79"/>
      <c r="BQ21" s="79"/>
      <c r="BR21" s="71"/>
      <c r="BS21" s="53"/>
      <c r="BT21" s="53"/>
      <c r="BU21" s="53"/>
      <c r="BV21" s="53"/>
      <c r="BW21" s="53"/>
      <c r="BX21" s="53"/>
      <c r="BY21" s="53"/>
      <c r="BZ21" s="53"/>
      <c r="CA21" s="53"/>
      <c r="CB21" s="53"/>
      <c r="CC21" s="53"/>
      <c r="CD21" s="72" t="s">
        <v>442</v>
      </c>
      <c r="CE21" s="73" t="s">
        <v>435</v>
      </c>
      <c r="CR21" s="55" t="s">
        <v>443</v>
      </c>
      <c r="CS21">
        <v>1623.75</v>
      </c>
      <c r="CT21">
        <v>1623.75</v>
      </c>
      <c r="CU21">
        <v>1623.75</v>
      </c>
      <c r="CV21">
        <v>1623.75</v>
      </c>
      <c r="CW21">
        <v>1623.75</v>
      </c>
      <c r="CX21">
        <v>1623.75</v>
      </c>
      <c r="CY21">
        <v>1623.75</v>
      </c>
      <c r="CZ21">
        <v>1623.75</v>
      </c>
      <c r="DA21">
        <v>1623.75</v>
      </c>
      <c r="DB21">
        <v>1623.75</v>
      </c>
      <c r="DC21">
        <v>1623.75</v>
      </c>
      <c r="DD21">
        <v>1623.75</v>
      </c>
      <c r="DE21">
        <v>1623.75</v>
      </c>
      <c r="DF21">
        <v>1623.75</v>
      </c>
      <c r="DG21">
        <v>1623.75</v>
      </c>
      <c r="DH21">
        <v>1623.75</v>
      </c>
      <c r="DI21">
        <v>1312.5</v>
      </c>
      <c r="DL21" t="s">
        <v>444</v>
      </c>
      <c r="DP21">
        <v>37.5</v>
      </c>
      <c r="DQ21">
        <v>37.5</v>
      </c>
      <c r="DR21">
        <v>37.5</v>
      </c>
      <c r="DS21">
        <v>37.5</v>
      </c>
      <c r="DT21">
        <v>37.5</v>
      </c>
      <c r="DU21">
        <v>37.5</v>
      </c>
      <c r="DV21">
        <v>37.5</v>
      </c>
      <c r="DW21">
        <v>37.5</v>
      </c>
      <c r="DX21">
        <v>37.5</v>
      </c>
      <c r="DY21">
        <v>37.5</v>
      </c>
      <c r="DZ21">
        <v>37.5</v>
      </c>
      <c r="EA21">
        <v>37.5</v>
      </c>
      <c r="EB21">
        <v>37.5</v>
      </c>
      <c r="EC21">
        <v>37.5</v>
      </c>
      <c r="ED21">
        <v>37.5</v>
      </c>
      <c r="EE21">
        <v>37.5</v>
      </c>
    </row>
    <row r="22" spans="1:138" ht="11.1" customHeight="1" x14ac:dyDescent="0.2">
      <c r="C22" s="57"/>
      <c r="D22" s="57"/>
      <c r="E22" s="66"/>
      <c r="F22" s="67"/>
      <c r="G22" s="57"/>
      <c r="H22" s="57"/>
      <c r="Q22">
        <f>tabbermsp!C351</f>
        <v>17</v>
      </c>
      <c r="S22" s="80" t="str">
        <f>"  Erg.tipp = Ergebnistipp"&amp;IF(CS4=0,"",IF(CS4=3,"",IF(CS4=2,", TS = Topspiel",", J = Joker")))&amp;IF(CS4=3,", E = Einsatz","")&amp;IF(CS5=0,"",", HCW = Handicapwette (2+: Sieg mit 2 oder mehr Toren Unterschied, 3+: Sieg mit 3 oder mehr Toren Unterschied)")</f>
        <v xml:space="preserve">  Erg.tipp = Ergebnistipp</v>
      </c>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6"/>
      <c r="AV22" s="76"/>
      <c r="AW22" s="76"/>
      <c r="AX22" s="76"/>
      <c r="AY22" s="76"/>
      <c r="AZ22" s="76"/>
      <c r="BA22" s="434" t="s">
        <v>445</v>
      </c>
      <c r="BB22" s="434"/>
      <c r="BC22" s="434"/>
      <c r="BD22" s="434"/>
      <c r="BE22" s="434"/>
      <c r="BF22" s="435"/>
      <c r="BG22" s="81" t="s">
        <v>435</v>
      </c>
      <c r="BH22" s="79"/>
      <c r="BI22" s="79"/>
      <c r="BJ22" s="82"/>
      <c r="BK22" s="434" t="s">
        <v>446</v>
      </c>
      <c r="BL22" s="434"/>
      <c r="BM22" s="434"/>
      <c r="BN22" s="434"/>
      <c r="BO22" s="434"/>
      <c r="BP22" s="435"/>
      <c r="BQ22" s="81" t="s">
        <v>435</v>
      </c>
      <c r="BR22" s="71"/>
      <c r="BS22" s="53"/>
      <c r="BT22" s="53"/>
      <c r="BU22" s="53"/>
      <c r="BV22" s="53"/>
      <c r="BW22" s="53"/>
      <c r="BX22" s="53"/>
      <c r="BY22" s="53"/>
      <c r="BZ22" s="53"/>
      <c r="CA22" s="53"/>
      <c r="CB22" s="53"/>
      <c r="CC22" s="53"/>
      <c r="CD22" s="40"/>
      <c r="CE22" s="40"/>
      <c r="CR22" s="55" t="s">
        <v>447</v>
      </c>
      <c r="CS22">
        <v>966.75</v>
      </c>
      <c r="CT22">
        <v>991.5</v>
      </c>
      <c r="CU22">
        <v>1016.25</v>
      </c>
      <c r="CV22">
        <v>1041</v>
      </c>
      <c r="CW22">
        <v>1065.75</v>
      </c>
      <c r="CX22">
        <v>1090.5</v>
      </c>
      <c r="CY22">
        <v>1115.25</v>
      </c>
      <c r="CZ22">
        <v>1140</v>
      </c>
      <c r="DA22">
        <v>1226.25</v>
      </c>
      <c r="DB22">
        <v>1251</v>
      </c>
      <c r="DC22">
        <v>1275.75</v>
      </c>
      <c r="DD22">
        <v>1300.5</v>
      </c>
      <c r="DE22">
        <v>1386.75</v>
      </c>
      <c r="DF22">
        <v>1411.5</v>
      </c>
      <c r="DG22">
        <v>1497.75</v>
      </c>
      <c r="DH22">
        <v>1522.5</v>
      </c>
      <c r="DI22">
        <v>1578.75</v>
      </c>
      <c r="DL22" t="s">
        <v>448</v>
      </c>
      <c r="DP22">
        <v>16.5</v>
      </c>
      <c r="DQ22">
        <v>16.5</v>
      </c>
      <c r="DR22">
        <v>16.5</v>
      </c>
      <c r="DS22">
        <v>16.5</v>
      </c>
      <c r="DT22">
        <v>16.5</v>
      </c>
      <c r="DU22">
        <v>16.5</v>
      </c>
      <c r="DV22">
        <v>16.5</v>
      </c>
      <c r="DW22">
        <v>16.5</v>
      </c>
      <c r="DX22">
        <v>16.5</v>
      </c>
      <c r="DY22">
        <v>16.5</v>
      </c>
      <c r="DZ22">
        <v>16.5</v>
      </c>
      <c r="EA22">
        <v>16.5</v>
      </c>
      <c r="EB22">
        <v>16.5</v>
      </c>
      <c r="EC22">
        <v>16.5</v>
      </c>
      <c r="ED22">
        <v>16.5</v>
      </c>
      <c r="EE22">
        <v>16.5</v>
      </c>
    </row>
    <row r="23" spans="1:138" ht="11.1" customHeight="1" x14ac:dyDescent="0.2">
      <c r="Q23">
        <f>tabbermsp!C352</f>
        <v>18</v>
      </c>
      <c r="S23" s="80" t="str">
        <f>IF(CS6=0,"","  EW = Elfmeterwette. " &amp; IF(CS6=0,"Diese Option wurde nicht aktiviert",IF(CS6=1,"Ein Ausgang im Elfmeterschießen wird vorhergesagt",IF(CS6=2,"Es ist der Sieger eines Elfmeterschießens zu tippen (T1,T2)","Das Elfmeterschießen selbst (EW) oder der Sieger eines Elfmeterschießens (T1,T2) ist zu tippen.")))&amp;". "&amp;IF(CS6=0,"",IF(CS1=1,"Die EW wird pauschal für jedes KO-Spiel abgegeben.","Die EW kann als Risikowette optional aktiviert werden.")))</f>
        <v/>
      </c>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83"/>
      <c r="AW23" s="83"/>
      <c r="AX23" s="83"/>
      <c r="AY23" s="83"/>
      <c r="AZ23" s="83"/>
      <c r="BA23" s="79"/>
      <c r="BB23" s="79"/>
      <c r="BC23" s="79"/>
      <c r="BD23" s="79"/>
      <c r="BE23" s="79"/>
      <c r="BF23" s="79"/>
      <c r="BG23" s="79"/>
      <c r="BH23" s="434" t="s">
        <v>449</v>
      </c>
      <c r="BI23" s="434"/>
      <c r="BJ23" s="434"/>
      <c r="BK23" s="434"/>
      <c r="BL23" s="434"/>
      <c r="BM23" s="434"/>
      <c r="BN23" s="434"/>
      <c r="BO23" s="434"/>
      <c r="BP23" s="436"/>
      <c r="BQ23" s="81" t="s">
        <v>435</v>
      </c>
      <c r="BR23" s="71"/>
      <c r="BS23" s="53"/>
      <c r="BT23" s="53"/>
      <c r="BU23" s="53"/>
      <c r="BV23" s="53"/>
      <c r="BW23" s="53"/>
      <c r="BX23" s="53"/>
      <c r="BY23" s="53"/>
      <c r="BZ23" s="53"/>
      <c r="CA23" s="53"/>
      <c r="CB23" s="53"/>
      <c r="CC23" s="53"/>
      <c r="CD23" s="72" t="s">
        <v>450</v>
      </c>
      <c r="CE23" s="73" t="s">
        <v>435</v>
      </c>
      <c r="CR23" s="55" t="s">
        <v>451</v>
      </c>
      <c r="CS23">
        <v>1666.5</v>
      </c>
      <c r="CT23">
        <v>1666.5</v>
      </c>
      <c r="CU23">
        <v>1666.5</v>
      </c>
      <c r="CV23">
        <v>1666.5</v>
      </c>
      <c r="CW23">
        <v>1666.5</v>
      </c>
      <c r="CX23">
        <v>1666.5</v>
      </c>
      <c r="CY23">
        <v>1666.5</v>
      </c>
      <c r="CZ23">
        <v>1666.5</v>
      </c>
      <c r="DA23">
        <v>1666.5</v>
      </c>
      <c r="DB23">
        <v>1666.5</v>
      </c>
      <c r="DC23">
        <v>1666.5</v>
      </c>
      <c r="DD23">
        <v>1666.5</v>
      </c>
      <c r="DE23">
        <v>1666.5</v>
      </c>
      <c r="DF23">
        <v>1666.5</v>
      </c>
      <c r="DG23">
        <v>1666.5</v>
      </c>
      <c r="DH23">
        <v>1666.5</v>
      </c>
      <c r="DI23">
        <v>1350.75</v>
      </c>
      <c r="DL23" t="s">
        <v>452</v>
      </c>
      <c r="DP23">
        <v>39</v>
      </c>
      <c r="DQ23">
        <v>39</v>
      </c>
      <c r="DR23">
        <v>39</v>
      </c>
      <c r="DS23">
        <v>39</v>
      </c>
      <c r="DT23">
        <v>39</v>
      </c>
      <c r="DU23">
        <v>39</v>
      </c>
      <c r="DV23">
        <v>39</v>
      </c>
      <c r="DW23">
        <v>39</v>
      </c>
      <c r="DX23">
        <v>39</v>
      </c>
      <c r="DY23">
        <v>39</v>
      </c>
      <c r="DZ23">
        <v>39</v>
      </c>
      <c r="EA23">
        <v>39</v>
      </c>
      <c r="EB23">
        <v>39</v>
      </c>
      <c r="EC23">
        <v>39</v>
      </c>
      <c r="ED23">
        <v>39</v>
      </c>
      <c r="EE23">
        <v>39</v>
      </c>
    </row>
    <row r="24" spans="1:138" ht="11.1" customHeight="1" x14ac:dyDescent="0.2">
      <c r="Q24">
        <f>tabbermsp!C353</f>
        <v>19</v>
      </c>
      <c r="S24" s="80" t="s">
        <v>1101</v>
      </c>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9"/>
      <c r="BB24" s="79"/>
      <c r="BC24" s="79"/>
      <c r="BD24" s="79"/>
      <c r="BE24" s="79"/>
      <c r="BF24" s="79"/>
      <c r="BG24" s="79"/>
      <c r="BH24" s="79"/>
      <c r="BI24" s="79"/>
      <c r="BJ24" s="79"/>
      <c r="BK24" s="79"/>
      <c r="BL24" s="79"/>
      <c r="BM24" s="79"/>
      <c r="BN24" s="79"/>
      <c r="BO24" s="79"/>
      <c r="BP24" s="79"/>
      <c r="BQ24" s="79"/>
      <c r="BR24" s="71"/>
      <c r="BS24" s="53"/>
      <c r="BT24" s="53"/>
      <c r="BU24" s="53"/>
      <c r="BV24" s="53"/>
      <c r="BW24" s="53"/>
      <c r="BX24" s="53"/>
      <c r="BY24" s="53"/>
      <c r="BZ24" s="53"/>
      <c r="CA24" s="53"/>
      <c r="CB24" s="53"/>
      <c r="CC24" s="53"/>
      <c r="CD24" s="72" t="s">
        <v>453</v>
      </c>
      <c r="CE24" s="73" t="s">
        <v>435</v>
      </c>
      <c r="CR24" s="55" t="s">
        <v>454</v>
      </c>
      <c r="CS24">
        <v>966.75</v>
      </c>
      <c r="CT24">
        <v>991.5</v>
      </c>
      <c r="CU24">
        <v>1016.25</v>
      </c>
      <c r="CV24">
        <v>1041</v>
      </c>
      <c r="CW24">
        <v>1065.75</v>
      </c>
      <c r="CX24">
        <v>1090.5</v>
      </c>
      <c r="CY24">
        <v>1115.25</v>
      </c>
      <c r="CZ24">
        <v>1140</v>
      </c>
      <c r="DA24">
        <v>1226.25</v>
      </c>
      <c r="DB24">
        <v>1251</v>
      </c>
      <c r="DC24">
        <v>1275.75</v>
      </c>
      <c r="DD24">
        <v>1300.5</v>
      </c>
      <c r="DE24">
        <v>1386.75</v>
      </c>
      <c r="DF24">
        <v>1411.5</v>
      </c>
      <c r="DG24">
        <v>1497.75</v>
      </c>
      <c r="DH24">
        <v>1522.5</v>
      </c>
      <c r="DI24">
        <v>282.75</v>
      </c>
      <c r="DL24" t="s">
        <v>455</v>
      </c>
      <c r="DP24">
        <v>16.5</v>
      </c>
      <c r="DQ24">
        <v>16.5</v>
      </c>
      <c r="DR24">
        <v>16.5</v>
      </c>
      <c r="DS24">
        <v>16.5</v>
      </c>
      <c r="DT24">
        <v>16.5</v>
      </c>
      <c r="DU24">
        <v>16.5</v>
      </c>
      <c r="DV24">
        <v>16.5</v>
      </c>
      <c r="DW24">
        <v>16.5</v>
      </c>
      <c r="DX24">
        <v>16.5</v>
      </c>
      <c r="DY24">
        <v>16.5</v>
      </c>
      <c r="DZ24">
        <v>16.5</v>
      </c>
      <c r="EA24">
        <v>16.5</v>
      </c>
      <c r="EB24">
        <v>16.5</v>
      </c>
      <c r="EC24">
        <v>16.5</v>
      </c>
      <c r="ED24">
        <v>16.5</v>
      </c>
      <c r="EE24">
        <v>16.5</v>
      </c>
    </row>
    <row r="25" spans="1:138" ht="11.1" customHeight="1" x14ac:dyDescent="0.2">
      <c r="Q25">
        <f>tabbermsp!C354</f>
        <v>20</v>
      </c>
      <c r="S25" s="84"/>
      <c r="T25" s="85" t="s">
        <v>1102</v>
      </c>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86"/>
      <c r="BB25" s="86"/>
      <c r="BC25" s="86"/>
      <c r="BD25" s="86"/>
      <c r="BE25" s="86"/>
      <c r="BF25" s="86"/>
      <c r="BG25" s="86"/>
      <c r="BH25" s="86"/>
      <c r="BI25" s="86"/>
      <c r="BJ25" s="86"/>
      <c r="BK25" s="86"/>
      <c r="BL25" s="86"/>
      <c r="BM25" s="86"/>
      <c r="BN25" s="86"/>
      <c r="BO25" s="86"/>
      <c r="BP25" s="86"/>
      <c r="BQ25" s="86"/>
      <c r="BR25" s="70"/>
      <c r="CR25" s="55" t="s">
        <v>456</v>
      </c>
      <c r="CS25">
        <f t="shared" ref="CS25:DH25" si="16">MATCH(CS9+36,$CC$1:$CC$166,0)</f>
        <v>99</v>
      </c>
      <c r="CT25">
        <f t="shared" si="16"/>
        <v>102</v>
      </c>
      <c r="CU25">
        <f t="shared" si="16"/>
        <v>105</v>
      </c>
      <c r="CV25">
        <f t="shared" si="16"/>
        <v>108</v>
      </c>
      <c r="CW25">
        <f t="shared" si="16"/>
        <v>111</v>
      </c>
      <c r="CX25">
        <f t="shared" si="16"/>
        <v>114</v>
      </c>
      <c r="CY25">
        <f t="shared" si="16"/>
        <v>117</v>
      </c>
      <c r="CZ25">
        <f t="shared" si="16"/>
        <v>120</v>
      </c>
      <c r="DA25">
        <f t="shared" si="16"/>
        <v>130</v>
      </c>
      <c r="DB25">
        <f t="shared" si="16"/>
        <v>133</v>
      </c>
      <c r="DC25">
        <f t="shared" si="16"/>
        <v>136</v>
      </c>
      <c r="DD25">
        <f t="shared" si="16"/>
        <v>139</v>
      </c>
      <c r="DE25">
        <f t="shared" si="16"/>
        <v>149</v>
      </c>
      <c r="DF25">
        <f t="shared" si="16"/>
        <v>152</v>
      </c>
      <c r="DG25">
        <f t="shared" si="16"/>
        <v>155</v>
      </c>
      <c r="DH25" t="e">
        <f t="shared" si="16"/>
        <v>#N/A</v>
      </c>
    </row>
    <row r="26" spans="1:138" ht="8.1" customHeight="1" thickBot="1" x14ac:dyDescent="0.25">
      <c r="Q26">
        <f>tabbermsp!C355</f>
        <v>21</v>
      </c>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6"/>
      <c r="AU26" s="76"/>
      <c r="AV26" s="76"/>
      <c r="AW26" s="76"/>
      <c r="AX26" s="76"/>
      <c r="AY26" s="76"/>
      <c r="AZ26" s="76"/>
      <c r="BA26" s="76"/>
      <c r="BB26" s="76"/>
      <c r="BC26" s="76"/>
      <c r="BD26" s="76"/>
      <c r="BE26" s="76"/>
      <c r="BF26" s="71"/>
      <c r="BG26" s="71"/>
      <c r="BH26" s="71"/>
      <c r="BI26" s="71"/>
      <c r="BJ26" s="71"/>
      <c r="BK26" s="71"/>
      <c r="BL26" s="71"/>
      <c r="BM26" s="71"/>
      <c r="BN26" s="71"/>
      <c r="BO26" s="71"/>
      <c r="BP26" s="87"/>
      <c r="BQ26" s="70"/>
      <c r="BR26" s="70"/>
    </row>
    <row r="27" spans="1:138" x14ac:dyDescent="0.2">
      <c r="Q27">
        <f>tabbermsp!C356</f>
        <v>22</v>
      </c>
      <c r="S27" s="70"/>
      <c r="T27" s="501"/>
      <c r="U27" s="502"/>
      <c r="V27" s="502"/>
      <c r="W27" s="502"/>
      <c r="X27" s="502"/>
      <c r="Y27" s="502"/>
      <c r="Z27" s="502"/>
      <c r="AA27" s="503"/>
      <c r="AB27" s="495" t="str">
        <f>IF(F2=0,"&lt;&lt;&lt; Mitspieler editieren","")</f>
        <v>&lt;&lt;&lt; Mitspieler editieren</v>
      </c>
      <c r="AC27" s="496"/>
      <c r="AD27" s="496"/>
      <c r="AE27" s="496"/>
      <c r="AF27" s="497"/>
      <c r="AG27" s="88"/>
      <c r="AH27" s="88"/>
      <c r="AI27" s="88"/>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DM27">
        <v>1086</v>
      </c>
      <c r="DN27">
        <v>284.25</v>
      </c>
      <c r="DO27">
        <v>222</v>
      </c>
      <c r="DP27">
        <v>18</v>
      </c>
    </row>
    <row r="28" spans="1:138" ht="10.8" thickBot="1" x14ac:dyDescent="0.25">
      <c r="Q28">
        <f>tabbermsp!C357</f>
        <v>23</v>
      </c>
      <c r="S28" s="70"/>
      <c r="T28" s="504"/>
      <c r="U28" s="505"/>
      <c r="V28" s="505"/>
      <c r="W28" s="505"/>
      <c r="X28" s="505"/>
      <c r="Y28" s="505"/>
      <c r="Z28" s="505"/>
      <c r="AA28" s="506"/>
      <c r="AB28" s="498"/>
      <c r="AC28" s="499"/>
      <c r="AD28" s="499"/>
      <c r="AE28" s="499"/>
      <c r="AF28" s="500"/>
      <c r="AG28" s="88"/>
      <c r="AH28" s="88"/>
      <c r="AI28" s="88"/>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87"/>
      <c r="BQ28" s="70"/>
      <c r="BR28" s="89"/>
      <c r="BS28" s="363"/>
      <c r="BT28" s="363"/>
      <c r="BU28" s="363"/>
      <c r="BV28" s="363"/>
      <c r="BW28" s="363"/>
      <c r="BX28" s="363"/>
      <c r="BY28" s="363"/>
      <c r="EG28" t="s">
        <v>457</v>
      </c>
      <c r="EH28">
        <f>IF(settings!C4&lt;3,0,1)</f>
        <v>0</v>
      </c>
    </row>
    <row r="29" spans="1:138" ht="3.9" customHeight="1" thickBot="1" x14ac:dyDescent="0.25">
      <c r="Q29">
        <f>tabbermsp!C358</f>
        <v>24</v>
      </c>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89"/>
      <c r="BS29" s="363"/>
      <c r="BT29" s="363"/>
      <c r="BU29" s="363"/>
      <c r="BV29" s="363"/>
      <c r="BW29" s="363"/>
      <c r="BX29" s="363"/>
      <c r="BY29" s="363"/>
    </row>
    <row r="30" spans="1:138" ht="3.9" customHeight="1" x14ac:dyDescent="0.2">
      <c r="Q30">
        <f>tabbermsp!C359</f>
        <v>0</v>
      </c>
      <c r="S30" s="89"/>
      <c r="T30" s="90"/>
      <c r="U30" s="90"/>
      <c r="V30" s="90"/>
      <c r="W30" s="90"/>
      <c r="X30" s="90"/>
      <c r="Y30" s="90"/>
      <c r="Z30" s="90"/>
      <c r="AA30" s="90"/>
      <c r="AB30" s="90"/>
      <c r="AC30" s="90"/>
      <c r="AD30" s="90"/>
      <c r="AE30" s="90"/>
      <c r="AF30" s="90"/>
      <c r="AG30" s="90"/>
      <c r="AH30" s="90"/>
      <c r="AI30" s="90"/>
      <c r="AJ30" s="90"/>
      <c r="AK30" s="90"/>
      <c r="AL30" s="90"/>
      <c r="AM30" s="90"/>
      <c r="AN30" s="90"/>
      <c r="AO30" s="90"/>
      <c r="AP30" s="90"/>
      <c r="AQ30" s="90"/>
      <c r="AR30" s="90"/>
      <c r="AS30" s="90"/>
      <c r="AT30" s="90"/>
      <c r="AU30" s="90"/>
      <c r="AV30" s="90"/>
      <c r="AW30" s="90"/>
      <c r="AX30" s="90"/>
      <c r="AY30" s="90"/>
      <c r="AZ30" s="90"/>
      <c r="BA30" s="90"/>
      <c r="BB30" s="90"/>
      <c r="BC30" s="90"/>
      <c r="BD30" s="90"/>
      <c r="BE30" s="90"/>
      <c r="BF30" s="90"/>
      <c r="BG30" s="90"/>
      <c r="BH30" s="90"/>
      <c r="BI30" s="90"/>
      <c r="BJ30" s="90"/>
      <c r="BK30" s="90"/>
      <c r="BL30" s="90"/>
      <c r="BM30" s="90"/>
      <c r="BN30" s="90"/>
      <c r="BO30" s="90"/>
      <c r="BP30" s="90"/>
      <c r="BQ30" s="90"/>
      <c r="BR30" s="89"/>
      <c r="BS30" s="363"/>
      <c r="BT30" s="363"/>
      <c r="BU30" s="363"/>
      <c r="BV30" s="363"/>
      <c r="BW30" s="363"/>
      <c r="BX30" s="363"/>
      <c r="BY30" s="363"/>
    </row>
    <row r="31" spans="1:138" ht="14.1" customHeight="1" x14ac:dyDescent="0.2">
      <c r="R31" s="91"/>
      <c r="S31" s="92" t="s">
        <v>458</v>
      </c>
      <c r="T31" s="78"/>
      <c r="U31" s="70"/>
      <c r="V31" s="70"/>
      <c r="W31" s="93" t="s">
        <v>459</v>
      </c>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89"/>
      <c r="BS31" s="363"/>
      <c r="BT31" s="363"/>
      <c r="BU31" s="363"/>
      <c r="BV31" s="363"/>
      <c r="BW31" s="363"/>
      <c r="BX31" s="363"/>
      <c r="BY31" s="363"/>
      <c r="DB31" t="s">
        <v>460</v>
      </c>
      <c r="DP31" t="s">
        <v>461</v>
      </c>
      <c r="EG31" t="s">
        <v>462</v>
      </c>
      <c r="EH31" t="b">
        <f>AND(settings!C30=1,settings!C29&lt;&gt;1)</f>
        <v>0</v>
      </c>
    </row>
    <row r="32" spans="1:138" ht="3.9" customHeight="1" thickBot="1" x14ac:dyDescent="0.25">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DP32" s="94" t="b">
        <v>1</v>
      </c>
    </row>
    <row r="33" spans="3:165" ht="3" customHeight="1" x14ac:dyDescent="0.2">
      <c r="S33" s="70"/>
      <c r="T33" s="95"/>
      <c r="U33" s="96"/>
      <c r="V33" s="96"/>
      <c r="W33" s="96"/>
      <c r="X33" s="96"/>
      <c r="Y33" s="96"/>
      <c r="Z33" s="96"/>
      <c r="AA33" s="96"/>
      <c r="AB33" s="96"/>
      <c r="AC33" s="96"/>
      <c r="AD33" s="96"/>
      <c r="AE33" s="96"/>
      <c r="AF33" s="96"/>
      <c r="AG33" s="96"/>
      <c r="AH33" s="96"/>
      <c r="AI33" s="96"/>
      <c r="AJ33" s="96"/>
      <c r="AK33" s="96"/>
      <c r="AL33" s="97"/>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DP33" s="98"/>
    </row>
    <row r="34" spans="3:165" ht="15" customHeight="1" x14ac:dyDescent="0.2">
      <c r="S34" s="70"/>
      <c r="T34" s="99"/>
      <c r="U34" s="100" t="s">
        <v>463</v>
      </c>
      <c r="V34" s="101"/>
      <c r="W34" s="101"/>
      <c r="X34" s="101"/>
      <c r="Y34" s="101"/>
      <c r="Z34" s="101"/>
      <c r="AA34" s="101"/>
      <c r="AB34" s="101"/>
      <c r="AC34" s="101"/>
      <c r="AD34" s="101"/>
      <c r="AE34" s="101"/>
      <c r="AF34" s="102"/>
      <c r="AG34" s="102"/>
      <c r="AH34" s="102"/>
      <c r="AI34" s="102"/>
      <c r="AJ34" s="102"/>
      <c r="AK34" s="102"/>
      <c r="AL34" s="103"/>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CE34" t="s">
        <v>464</v>
      </c>
      <c r="CM34" t="s">
        <v>465</v>
      </c>
      <c r="DB34" s="62" t="b">
        <v>0</v>
      </c>
      <c r="DT34" t="s">
        <v>466</v>
      </c>
      <c r="DU34" t="s">
        <v>396</v>
      </c>
      <c r="EL34" t="s">
        <v>467</v>
      </c>
      <c r="EU34" t="s">
        <v>468</v>
      </c>
      <c r="FG34" s="57"/>
      <c r="FH34" s="57"/>
      <c r="FI34" s="57"/>
    </row>
    <row r="35" spans="3:165" ht="12" hidden="1" customHeight="1" thickBot="1" x14ac:dyDescent="0.25">
      <c r="S35" s="70"/>
      <c r="T35" s="99"/>
      <c r="U35" s="481" t="s">
        <v>469</v>
      </c>
      <c r="V35" s="481"/>
      <c r="W35" s="482"/>
      <c r="X35" s="104">
        <f>INDEX(settings!$I$18:$P$18,DE39)</f>
        <v>80</v>
      </c>
      <c r="Y35" s="481" t="s">
        <v>470</v>
      </c>
      <c r="Z35" s="482"/>
      <c r="AA35" s="105">
        <f>DF39</f>
        <v>1</v>
      </c>
      <c r="AB35" s="104">
        <f>DG39</f>
        <v>10</v>
      </c>
      <c r="AC35" s="481" t="s">
        <v>471</v>
      </c>
      <c r="AD35" s="482"/>
      <c r="AE35" s="104">
        <f>X35-AJ35</f>
        <v>68</v>
      </c>
      <c r="AF35" s="483"/>
      <c r="AG35" s="484"/>
      <c r="AH35" s="484"/>
      <c r="AI35" s="102"/>
      <c r="AJ35" s="107">
        <f>SUM(FG39:FG50)</f>
        <v>12</v>
      </c>
      <c r="AK35" s="101"/>
      <c r="AL35" s="108"/>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CX35" t="s">
        <v>472</v>
      </c>
      <c r="DB35" s="62" t="b">
        <v>0</v>
      </c>
      <c r="DE35" s="55" t="s">
        <v>383</v>
      </c>
      <c r="DT35" s="109" t="b">
        <f>AN8=AN5</f>
        <v>0</v>
      </c>
      <c r="DU35" s="109" t="b">
        <f>AN8=AN6</f>
        <v>0</v>
      </c>
      <c r="DV35" s="55" t="s">
        <v>473</v>
      </c>
      <c r="DW35" s="109">
        <v>1</v>
      </c>
      <c r="EC35" s="57" t="s">
        <v>474</v>
      </c>
      <c r="ED35" s="57" t="s">
        <v>475</v>
      </c>
      <c r="EE35" s="57" t="s">
        <v>476</v>
      </c>
      <c r="EF35" s="57" t="s">
        <v>477</v>
      </c>
      <c r="EG35" s="57" t="s">
        <v>475</v>
      </c>
      <c r="EH35" s="57" t="s">
        <v>478</v>
      </c>
      <c r="EI35" s="57" t="s">
        <v>477</v>
      </c>
      <c r="EJ35" s="57" t="s">
        <v>467</v>
      </c>
      <c r="EK35" s="57" t="s">
        <v>479</v>
      </c>
      <c r="EL35" s="57" t="s">
        <v>480</v>
      </c>
      <c r="EM35" s="57" t="s">
        <v>481</v>
      </c>
      <c r="EU35">
        <f>IF(C2&lt;=0,0,SUM(EU39:EU155))</f>
        <v>0</v>
      </c>
      <c r="FG35" s="57"/>
      <c r="FH35" s="57"/>
      <c r="FI35" s="57"/>
    </row>
    <row r="36" spans="3:165" ht="3.9" customHeight="1" thickBot="1" x14ac:dyDescent="0.25">
      <c r="S36" s="70"/>
      <c r="T36" s="99"/>
      <c r="U36" s="106"/>
      <c r="V36" s="106"/>
      <c r="W36" s="106"/>
      <c r="X36" s="110"/>
      <c r="Y36" s="106"/>
      <c r="Z36" s="106"/>
      <c r="AA36" s="110"/>
      <c r="AB36" s="110"/>
      <c r="AC36" s="106"/>
      <c r="AD36" s="106"/>
      <c r="AE36" s="110"/>
      <c r="AF36" s="101"/>
      <c r="AG36" s="101"/>
      <c r="AH36" s="101"/>
      <c r="AI36" s="101"/>
      <c r="AJ36" s="101"/>
      <c r="AK36" s="101"/>
      <c r="AL36" s="108"/>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FG36" s="57" t="s">
        <v>482</v>
      </c>
      <c r="FH36" s="57" t="s">
        <v>483</v>
      </c>
      <c r="FI36" s="57" t="s">
        <v>484</v>
      </c>
    </row>
    <row r="37" spans="3:165" ht="12" customHeight="1" thickBot="1" x14ac:dyDescent="0.25">
      <c r="C37" t="s">
        <v>1153</v>
      </c>
      <c r="Q37" t="s">
        <v>485</v>
      </c>
      <c r="S37" s="70"/>
      <c r="T37" s="99"/>
      <c r="U37" s="111" t="str">
        <f>IF($CS$4&lt;&gt;3,"","Für Spiele OHNE Einsatz gilt automatisch der Mindesteinsatz. ROT: Eintrag wird auf min. bzw. max. erlaubte Werte korrigiert.")</f>
        <v/>
      </c>
      <c r="V37" s="101"/>
      <c r="W37" s="101"/>
      <c r="X37" s="101"/>
      <c r="Y37" s="101"/>
      <c r="Z37" s="101"/>
      <c r="AA37" s="101"/>
      <c r="AB37" s="101"/>
      <c r="AC37" s="101"/>
      <c r="AD37" s="101"/>
      <c r="AE37" s="101"/>
      <c r="AF37" s="422" t="s">
        <v>486</v>
      </c>
      <c r="AG37" s="422"/>
      <c r="AH37" s="422"/>
      <c r="AI37" s="102" t="str">
        <f>IF($CS$4=2,"TS","J")</f>
        <v>J</v>
      </c>
      <c r="AJ37" s="102" t="s">
        <v>487</v>
      </c>
      <c r="AK37" s="102" t="s">
        <v>488</v>
      </c>
      <c r="AL37" s="103"/>
      <c r="AM37" s="70"/>
      <c r="AN37" s="71" t="s">
        <v>489</v>
      </c>
      <c r="AO37" s="70"/>
      <c r="AP37" s="70"/>
      <c r="AQ37" s="70"/>
      <c r="AR37" s="112" t="s">
        <v>381</v>
      </c>
      <c r="AS37" s="113"/>
      <c r="AT37" s="114"/>
      <c r="AU37" s="114"/>
      <c r="AV37" s="114"/>
      <c r="AW37" s="114"/>
      <c r="AX37" s="114"/>
      <c r="AY37" s="114"/>
      <c r="AZ37" s="114"/>
      <c r="BA37" s="114"/>
      <c r="BB37" s="114"/>
      <c r="BC37" s="114"/>
      <c r="BD37" s="114"/>
      <c r="BE37" s="114"/>
      <c r="BF37" s="114"/>
      <c r="BG37" s="114"/>
      <c r="BH37" s="115" t="s">
        <v>490</v>
      </c>
      <c r="BJ37" s="114"/>
      <c r="BK37" s="114"/>
      <c r="BL37" s="114"/>
      <c r="BM37" s="114"/>
      <c r="BN37" s="114"/>
      <c r="BO37" s="114"/>
      <c r="BP37" s="114"/>
      <c r="BQ37" s="114"/>
      <c r="BR37" s="70" t="s">
        <v>491</v>
      </c>
      <c r="BS37" t="s">
        <v>492</v>
      </c>
      <c r="BT37" t="s">
        <v>493</v>
      </c>
      <c r="CB37" t="s">
        <v>596</v>
      </c>
      <c r="CC37" t="s">
        <v>494</v>
      </c>
      <c r="CD37" t="s">
        <v>384</v>
      </c>
      <c r="CE37" s="116" t="s">
        <v>495</v>
      </c>
      <c r="CF37" s="117" t="s">
        <v>485</v>
      </c>
      <c r="CG37" s="117" t="s">
        <v>496</v>
      </c>
      <c r="CH37" s="117" t="s">
        <v>487</v>
      </c>
      <c r="CI37" s="117" t="s">
        <v>391</v>
      </c>
      <c r="CJ37" s="117" t="s">
        <v>409</v>
      </c>
      <c r="CK37" s="117" t="s">
        <v>497</v>
      </c>
      <c r="CL37" s="118" t="s">
        <v>498</v>
      </c>
      <c r="CM37" s="117" t="s">
        <v>495</v>
      </c>
      <c r="CN37" s="117" t="s">
        <v>485</v>
      </c>
      <c r="CO37" s="117" t="s">
        <v>496</v>
      </c>
      <c r="CP37" s="117" t="s">
        <v>487</v>
      </c>
      <c r="CQ37" s="117" t="s">
        <v>391</v>
      </c>
      <c r="CR37" s="117" t="s">
        <v>409</v>
      </c>
      <c r="CS37" s="117" t="s">
        <v>497</v>
      </c>
      <c r="CT37" s="118" t="s">
        <v>498</v>
      </c>
      <c r="CV37" s="55" t="s">
        <v>499</v>
      </c>
      <c r="CX37" s="55" t="s">
        <v>500</v>
      </c>
      <c r="CY37" s="55" t="s">
        <v>501</v>
      </c>
      <c r="DA37" s="55" t="s">
        <v>502</v>
      </c>
      <c r="DB37" s="55" t="s">
        <v>503</v>
      </c>
      <c r="DC37" s="55" t="s">
        <v>504</v>
      </c>
      <c r="DE37" s="55" t="s">
        <v>505</v>
      </c>
      <c r="DF37" s="55" t="s">
        <v>483</v>
      </c>
      <c r="DG37" s="55" t="s">
        <v>484</v>
      </c>
      <c r="DH37" s="55" t="s">
        <v>487</v>
      </c>
      <c r="DI37" t="s">
        <v>506</v>
      </c>
      <c r="DM37" t="s">
        <v>507</v>
      </c>
      <c r="DT37" s="55" t="s">
        <v>508</v>
      </c>
      <c r="DV37" s="55" t="s">
        <v>278</v>
      </c>
      <c r="EC37" s="57" t="s">
        <v>509</v>
      </c>
      <c r="ED37" s="57" t="s">
        <v>574</v>
      </c>
      <c r="EE37" s="57" t="s">
        <v>575</v>
      </c>
      <c r="EF37" s="57" t="s">
        <v>509</v>
      </c>
      <c r="EG37" s="57" t="s">
        <v>574</v>
      </c>
      <c r="EH37" s="57"/>
      <c r="EI37" s="57"/>
      <c r="EJ37" s="57"/>
      <c r="EK37" s="57"/>
      <c r="EL37" t="b">
        <f>OR(settings!C9=2,settings!C35&gt;0)</f>
        <v>1</v>
      </c>
      <c r="EM37" s="57" t="s">
        <v>508</v>
      </c>
      <c r="EN37" s="57"/>
      <c r="EO37" s="57" t="s">
        <v>496</v>
      </c>
      <c r="EP37" s="57" t="s">
        <v>487</v>
      </c>
      <c r="EQ37" s="57" t="s">
        <v>391</v>
      </c>
      <c r="ER37" s="57" t="s">
        <v>409</v>
      </c>
      <c r="ES37" s="57" t="s">
        <v>576</v>
      </c>
      <c r="ET37" s="57" t="s">
        <v>577</v>
      </c>
      <c r="EU37" s="57" t="s">
        <v>468</v>
      </c>
      <c r="FD37">
        <v>1</v>
      </c>
      <c r="FE37" t="s">
        <v>578</v>
      </c>
      <c r="FG37" s="57">
        <f>INDEX(settings!$I$18:$P$20,1,FD37)</f>
        <v>80</v>
      </c>
      <c r="FH37" s="57">
        <f>INDEX(settings!$I$18:$P$20,2,FD37)</f>
        <v>1</v>
      </c>
      <c r="FI37" s="57">
        <f>INDEX(settings!$I$18:$P$20,3,FD37)</f>
        <v>10</v>
      </c>
    </row>
    <row r="38" spans="3:165" ht="3.9" customHeight="1" x14ac:dyDescent="0.2">
      <c r="S38" s="70"/>
      <c r="T38" s="99"/>
      <c r="U38" s="101"/>
      <c r="V38" s="119"/>
      <c r="W38" s="119"/>
      <c r="X38" s="119"/>
      <c r="Y38" s="119"/>
      <c r="Z38" s="119"/>
      <c r="AA38" s="119"/>
      <c r="AB38" s="119"/>
      <c r="AC38" s="119"/>
      <c r="AD38" s="119"/>
      <c r="AE38" s="119"/>
      <c r="AF38" s="119"/>
      <c r="AG38" s="119"/>
      <c r="AH38" s="119"/>
      <c r="AI38" s="119"/>
      <c r="AJ38" s="119"/>
      <c r="AK38" s="119"/>
      <c r="AL38" s="108"/>
      <c r="AM38" s="70"/>
      <c r="AN38" s="70"/>
      <c r="AO38" s="70"/>
      <c r="AP38" s="70"/>
      <c r="AQ38" s="70"/>
      <c r="AR38" s="70"/>
      <c r="AS38" s="114"/>
      <c r="AT38" s="114"/>
      <c r="AU38" s="114"/>
      <c r="AV38" s="114"/>
      <c r="AW38" s="114"/>
      <c r="AX38" s="114"/>
      <c r="AY38" s="114"/>
      <c r="AZ38" s="114"/>
      <c r="BA38" s="114"/>
      <c r="BB38" s="114"/>
      <c r="BC38" s="114"/>
      <c r="BD38" s="114"/>
      <c r="BE38" s="114"/>
      <c r="BF38" s="114"/>
      <c r="BG38" s="114"/>
      <c r="BH38" s="114"/>
      <c r="BI38" s="114"/>
      <c r="BJ38" s="114"/>
      <c r="BK38" s="114"/>
      <c r="BL38" s="114"/>
      <c r="BM38" s="114"/>
      <c r="BN38" s="114"/>
      <c r="BO38" s="114"/>
      <c r="BP38" s="114"/>
      <c r="BQ38" s="114"/>
      <c r="BR38" s="70" t="s">
        <v>579</v>
      </c>
      <c r="CE38" s="57"/>
      <c r="CF38" s="57"/>
      <c r="CG38" s="57"/>
      <c r="CH38" s="57"/>
      <c r="CI38" s="57"/>
      <c r="CJ38" s="57"/>
      <c r="CK38" s="57"/>
      <c r="CL38" s="57"/>
      <c r="CM38" s="57"/>
      <c r="CN38" s="57"/>
      <c r="CO38" s="57"/>
      <c r="CP38" s="57"/>
      <c r="CQ38" s="57"/>
      <c r="CR38" s="57"/>
      <c r="CS38" s="57"/>
      <c r="CT38" s="57"/>
      <c r="FB38" t="s">
        <v>580</v>
      </c>
    </row>
    <row r="39" spans="3:165" ht="11.25" customHeight="1" x14ac:dyDescent="0.2">
      <c r="C39" s="91">
        <v>1</v>
      </c>
      <c r="Q39">
        <v>1</v>
      </c>
      <c r="S39" s="70"/>
      <c r="T39" s="120" t="str">
        <f t="shared" ref="T39:T50" si="17">IF(CZ39,zeichen_gesperrt,"")</f>
        <v/>
      </c>
      <c r="U39" s="524">
        <v>45457.875</v>
      </c>
      <c r="V39" s="525"/>
      <c r="W39" s="526">
        <v>0.875</v>
      </c>
      <c r="X39" s="527" t="s">
        <v>1181</v>
      </c>
      <c r="Y39" s="527"/>
      <c r="Z39" s="528" t="s">
        <v>581</v>
      </c>
      <c r="AA39" s="493" t="s">
        <v>190</v>
      </c>
      <c r="AB39" s="493"/>
      <c r="AC39" s="121" t="s">
        <v>583</v>
      </c>
      <c r="AD39" s="494" t="s">
        <v>193</v>
      </c>
      <c r="AE39" s="494"/>
      <c r="AF39" s="122"/>
      <c r="AG39" s="123" t="s">
        <v>583</v>
      </c>
      <c r="AH39" s="124"/>
      <c r="AI39" s="125"/>
      <c r="AJ39" s="125"/>
      <c r="AK39" s="384" t="s">
        <v>411</v>
      </c>
      <c r="AL39" s="126"/>
      <c r="AM39" s="70"/>
      <c r="AN39" s="127"/>
      <c r="AO39" s="128" t="s">
        <v>583</v>
      </c>
      <c r="AP39" s="129"/>
      <c r="AQ39" s="70"/>
      <c r="AR39" s="519" t="s">
        <v>581</v>
      </c>
      <c r="AS39" s="519"/>
      <c r="AT39" s="130" t="str">
        <f>IF(VLOOKUP(AR39,$DM$69:$DN$76,2,FALSE)," Manuell","")</f>
        <v/>
      </c>
      <c r="AU39" s="131"/>
      <c r="AV39" s="131"/>
      <c r="AW39" s="132" t="s">
        <v>585</v>
      </c>
      <c r="AX39" s="132"/>
      <c r="AY39" s="132"/>
      <c r="AZ39" s="131"/>
      <c r="BA39" s="132" t="s">
        <v>586</v>
      </c>
      <c r="BB39" s="132"/>
      <c r="BC39" s="132" t="s">
        <v>587</v>
      </c>
      <c r="BD39" s="132"/>
      <c r="BE39" s="114"/>
      <c r="BF39" s="133" t="s">
        <v>588</v>
      </c>
      <c r="BG39" s="133" t="s">
        <v>589</v>
      </c>
      <c r="BH39" s="134" t="s">
        <v>590</v>
      </c>
      <c r="BI39" s="135" t="str">
        <f>IF(VLOOKUP(AR39,$DM$122:$DN$129,2,FALSE)," Manuell","")</f>
        <v/>
      </c>
      <c r="BJ39" s="429" t="s">
        <v>585</v>
      </c>
      <c r="BK39" s="429"/>
      <c r="BL39" s="429"/>
      <c r="BM39" s="136" t="s">
        <v>586</v>
      </c>
      <c r="BN39" s="136" t="s">
        <v>587</v>
      </c>
      <c r="BO39" s="114"/>
      <c r="BP39" s="133" t="s">
        <v>588</v>
      </c>
      <c r="BQ39" s="133" t="s">
        <v>589</v>
      </c>
      <c r="BR39" s="70"/>
      <c r="BV39" t="s">
        <v>278</v>
      </c>
      <c r="BW39" t="s">
        <v>387</v>
      </c>
      <c r="BX39" t="s">
        <v>591</v>
      </c>
      <c r="BY39" t="s">
        <v>592</v>
      </c>
      <c r="CA39" t="s">
        <v>593</v>
      </c>
      <c r="CB39" s="91" t="str">
        <f>INDEX(daten!$G$59:$G$94,CC39)</f>
        <v>A-1</v>
      </c>
      <c r="CC39" s="59">
        <v>1</v>
      </c>
      <c r="CD39" t="b">
        <v>0</v>
      </c>
      <c r="CE39" s="57" t="str">
        <f t="shared" ref="CE39:CE50" si="18">IF(CD39,IF(COUNT(CM39:CN39)=2,ABS(CM39),""),IF(COUNT(AF39,AH39)=2,ABS(AF39),""))</f>
        <v/>
      </c>
      <c r="CF39" s="57" t="str">
        <f t="shared" ref="CF39:CF50" si="19">IF(CD39,IF(COUNT(CM39:CN39)=2,ABS(CN39),""),IF(COUNT(AF39,AH39)=2,ABS(AH39),""))</f>
        <v/>
      </c>
      <c r="CG39" s="57">
        <f t="shared" ref="CG39:CG50" si="20">IF(SUM($CV$39:$CV$50)&gt;0,CO39,IF($CS$4&lt;&gt;1,CO39,IF(AND(LEN(AI39)&gt;0,$CS$4=1,NOT(DC39)),1,0)))</f>
        <v>0</v>
      </c>
      <c r="CH39" s="57">
        <f t="shared" ref="CH39:CH50" si="21">IF(OR(CD39,$CS$4&lt;&gt;3),CP39,ABS(VALUE(FG39)))</f>
        <v>0</v>
      </c>
      <c r="CI39" s="57">
        <f t="shared" ref="CI39:CI50" si="22">IF(OR(CD39,CY39,NOT(CX39)),CQ39,IF(LEN(AK39)=0,0,IF(AK39=$CV$4,1,IF(AK39=$CV$5,2,0))))</f>
        <v>0</v>
      </c>
      <c r="CJ39" s="57">
        <v>0</v>
      </c>
      <c r="CK39" s="57">
        <v>0</v>
      </c>
      <c r="CL39" s="57">
        <v>0</v>
      </c>
      <c r="CM39" s="57"/>
      <c r="CN39" s="57"/>
      <c r="CO39" s="57">
        <v>0</v>
      </c>
      <c r="CP39" s="57">
        <v>0</v>
      </c>
      <c r="CQ39" s="57">
        <v>0</v>
      </c>
      <c r="CR39" s="57">
        <v>0</v>
      </c>
      <c r="CS39" s="57">
        <v>0</v>
      </c>
      <c r="CT39" s="57">
        <v>0</v>
      </c>
      <c r="CV39">
        <f t="shared" ref="CV39:CV50" si="23">IF(AND(CO39=1,CD39),1,0)</f>
        <v>0</v>
      </c>
      <c r="CX39" t="b">
        <f t="shared" ref="CX39:CX50" si="24">AND($CS$5=1,COUNT(CE39:CF39)=2,CE39&lt;&gt;CF39)</f>
        <v>0</v>
      </c>
      <c r="CY39" t="b">
        <f t="shared" ref="CY39:CY50" si="25">IF(LEN(AK39)=0,FALSE,IF(COUNT(CE39:CF39)&lt;&gt;2,TRUE,IF(AND(CX39,AK39=$CV$4,ABS(CE39-CF39)&gt;=2),FALSE,IF(AND(CX39,AK39=$CV$5,ABS(CE39-CF39)&gt;=3),FALSE,TRUE))))</f>
        <v>0</v>
      </c>
      <c r="CZ39" t="b">
        <v>0</v>
      </c>
      <c r="DA39">
        <f t="shared" ref="DA39:DA50" si="26">IF(SUM($CV$39:$CV$50)&gt;0,CO39,IF(AND(LEN(AI39)&gt;0),1,0))</f>
        <v>0</v>
      </c>
      <c r="DB39">
        <f>SUM($DA$37:$DA39)</f>
        <v>0</v>
      </c>
      <c r="DC39" t="b">
        <f t="shared" ref="DC39:DC50" si="27">OR(AND(DA39=1,OR(DB39&gt;1,$CS$4=3)))</f>
        <v>0</v>
      </c>
      <c r="DE39">
        <v>1</v>
      </c>
      <c r="DF39" s="137">
        <v>1</v>
      </c>
      <c r="DG39" s="137">
        <v>10</v>
      </c>
      <c r="DH39">
        <f t="shared" ref="DH39:DH50" si="28">IF(NOT(ISNUMBER(AJ39)),DF39,IF(LEN(AJ39)=0,DF39,IF(AJ39&gt;DG39,DG39,IF(AJ39&lt;DF39,DF39,AJ39))))</f>
        <v>1</v>
      </c>
      <c r="DI39" s="138" t="str">
        <f t="shared" ref="DI39:DI50" si="29">IF(COUNT(AN39,AP39)&lt;&gt;2,"",AN39)</f>
        <v/>
      </c>
      <c r="DJ39" s="138" t="str">
        <f t="shared" ref="DJ39:DJ50" si="30">IF(COUNT(AN39,AP39)&lt;&gt;2,"",AP39)</f>
        <v/>
      </c>
      <c r="DN39" t="s">
        <v>594</v>
      </c>
      <c r="DO39" t="s">
        <v>595</v>
      </c>
      <c r="DQ39" t="s">
        <v>596</v>
      </c>
      <c r="DR39" t="s">
        <v>395</v>
      </c>
      <c r="DS39" s="55"/>
      <c r="DT39" s="55" t="s">
        <v>597</v>
      </c>
      <c r="DU39" s="55" t="s">
        <v>581</v>
      </c>
      <c r="DV39" s="55" t="s">
        <v>597</v>
      </c>
      <c r="DW39" s="55" t="s">
        <v>581</v>
      </c>
      <c r="DX39" s="55"/>
      <c r="DY39" s="55"/>
      <c r="DZ39" s="55"/>
      <c r="EA39" s="55"/>
      <c r="EB39" s="55"/>
      <c r="ED39" s="57">
        <v>0</v>
      </c>
      <c r="EE39" s="57">
        <f t="shared" ref="EE39:EE50" si="31">IF(COUNT(CE39:CF39)&lt;&gt;2,-1,IF(CE39&gt;CF39,1,IF(CE39&lt;CF39,2,0)))</f>
        <v>-1</v>
      </c>
      <c r="EF39" s="57"/>
      <c r="EG39" s="57">
        <f t="shared" ref="EG39:EG50" ca="1" si="32">IF(CC39&lt;37,0,IF(ISERROR(MATCH(EF39,OFFSET($CR$15:$CR$16,0,CC39-36),0)),0,MATCH(EF39,OFFSET($CR$15:$CR$16,0,CC39-36),0)))</f>
        <v>0</v>
      </c>
      <c r="EH39" s="57">
        <f t="shared" ref="EH39:EH50" ca="1" si="33">IF(OR(CC39&lt;37,NOT($EH$31),$CS$6&lt;2,EG39=0),0,IF(EE39=-1,1,IF(AND(EE39=0,$EH$28&lt;&gt;0),1,IF(AND(EE39&gt;0,$EH$28=0),1,IF(AND(EE39&gt;0,EG39&lt;&gt;EE39),1,0)))))</f>
        <v>0</v>
      </c>
      <c r="EI39" s="57">
        <f t="shared" ref="EI39:EI50" ca="1" si="34">IF(EH39=0,EG39,CS39)</f>
        <v>0</v>
      </c>
      <c r="EJ39" s="57">
        <f t="shared" ref="EJ39:EJ50" ca="1" si="35">IF(EE39&gt;0,EE39,IF(EI39&gt;0,EI39,EE39))</f>
        <v>-1</v>
      </c>
      <c r="EK39" s="57">
        <v>0</v>
      </c>
      <c r="EM39" s="57">
        <f t="shared" ref="EM39:EM50" si="36">IF(EXACT(CE39,CM39),0,1)</f>
        <v>0</v>
      </c>
      <c r="EN39" s="57">
        <f t="shared" ref="EN39:EN50" si="37">IF(EXACT(CF39,CN39),0,1)</f>
        <v>0</v>
      </c>
      <c r="EO39" s="57">
        <f t="shared" ref="EO39:EO50" si="38">IF($CS$400,0,IF(EXACT(CG39,CO39),0,1))</f>
        <v>0</v>
      </c>
      <c r="EP39" s="57">
        <f>IF($CS$4&lt;&gt;3,0,IF(AND(CH39=INDEX(settings!$I$19:$P$19,1),LEN(CP39)=0),0,IF(EXACT(CH39,CP39),0,1)))</f>
        <v>0</v>
      </c>
      <c r="EQ39" s="57">
        <f>IF(settings!$C$1100,0,IF(CI39=CQ39,0,1))</f>
        <v>0</v>
      </c>
      <c r="ER39" s="57">
        <f t="shared" ref="ER39:ER50" si="39">IF($CS$6=0,0,IF(CJ39=CR39,0,1))</f>
        <v>0</v>
      </c>
      <c r="ES39" s="57">
        <f t="shared" ref="ES39:ES50" si="40">IF($CS$6&lt;2,0,IF(CK39=CS39,0,1))</f>
        <v>0</v>
      </c>
      <c r="ET39" s="57">
        <f t="shared" ref="ET39:ET50" si="41">IF(DR40&lt;37,0,IF(CL39=CT39,0,1))</f>
        <v>0</v>
      </c>
      <c r="EU39" s="57">
        <f t="shared" ref="EU39:EU50" si="42">IF(CD39,0,SUM(EM39:ET39))</f>
        <v>0</v>
      </c>
      <c r="FB39">
        <f>IF(DH39&lt;FH37,FH37,DH39)</f>
        <v>1</v>
      </c>
      <c r="FC39">
        <v>1</v>
      </c>
      <c r="FD39">
        <f>FH37</f>
        <v>1</v>
      </c>
      <c r="FE39">
        <f>IF(CD39,CP39,IF(FB39&gt;FI37,FI37,FB39))</f>
        <v>1</v>
      </c>
      <c r="FG39">
        <f>FE39</f>
        <v>1</v>
      </c>
      <c r="FH39">
        <f>FG37-SUM(FG38:FG39)-SUM(FD40:FD51)+FH37</f>
        <v>69</v>
      </c>
      <c r="FI39" t="b">
        <f t="shared" ref="FI39:FI50" si="43">FG39&lt;&gt;AJ39</f>
        <v>1</v>
      </c>
    </row>
    <row r="40" spans="3:165" ht="11.25" customHeight="1" x14ac:dyDescent="0.2">
      <c r="C40" s="91">
        <v>2</v>
      </c>
      <c r="Q40">
        <v>2</v>
      </c>
      <c r="S40" s="70"/>
      <c r="T40" s="120" t="str">
        <f t="shared" si="17"/>
        <v/>
      </c>
      <c r="U40" s="529">
        <v>45458.625</v>
      </c>
      <c r="V40" s="530"/>
      <c r="W40" s="531">
        <v>0.625</v>
      </c>
      <c r="X40" s="532" t="s">
        <v>1182</v>
      </c>
      <c r="Y40" s="532"/>
      <c r="Z40" s="533" t="s">
        <v>581</v>
      </c>
      <c r="AA40" s="493" t="s">
        <v>532</v>
      </c>
      <c r="AB40" s="493"/>
      <c r="AC40" s="121" t="s">
        <v>583</v>
      </c>
      <c r="AD40" s="494" t="s">
        <v>1155</v>
      </c>
      <c r="AE40" s="494"/>
      <c r="AF40" s="122"/>
      <c r="AG40" s="123" t="s">
        <v>583</v>
      </c>
      <c r="AH40" s="124"/>
      <c r="AI40" s="125"/>
      <c r="AJ40" s="125"/>
      <c r="AK40" s="384" t="s">
        <v>411</v>
      </c>
      <c r="AL40" s="126"/>
      <c r="AM40" s="70"/>
      <c r="AN40" s="127"/>
      <c r="AO40" s="128" t="s">
        <v>583</v>
      </c>
      <c r="AP40" s="129"/>
      <c r="AQ40" s="70"/>
      <c r="AR40" s="70"/>
      <c r="AS40" s="139">
        <v>1</v>
      </c>
      <c r="AT40" s="140" t="str">
        <f>VLOOKUP(BT40,tabbermsp!$B$335:$N$358,4,FALSE)</f>
        <v>GER</v>
      </c>
      <c r="AU40" s="141"/>
      <c r="AV40" s="140"/>
      <c r="AW40" s="140">
        <f>VLOOKUP(BT40,tabbermsp!$B$335:$N$358,7,FALSE)</f>
        <v>0</v>
      </c>
      <c r="AX40" s="142" t="s">
        <v>583</v>
      </c>
      <c r="AY40" s="140">
        <f>VLOOKUP(BT40,tabbermsp!$B$335:$N$358,8,FALSE)</f>
        <v>0</v>
      </c>
      <c r="AZ40" s="143"/>
      <c r="BA40" s="144">
        <f>VLOOKUP(BT40,tabbermsp!$B$335:$N$358,9,FALSE)</f>
        <v>0</v>
      </c>
      <c r="BB40" s="140"/>
      <c r="BC40" s="140">
        <f>VLOOKUP(BT40,tabbermsp!$B$335:$N$358,6,FALSE)</f>
        <v>0</v>
      </c>
      <c r="BD40" s="140"/>
      <c r="BE40" s="114"/>
      <c r="BF40" s="145"/>
      <c r="BG40" s="114"/>
      <c r="BH40" s="146" t="str">
        <f>"1 "</f>
        <v xml:space="preserve">1 </v>
      </c>
      <c r="BI40" s="147" t="str">
        <f>VLOOKUP(BT40,tabber!$B$335:$N$358,4,FALSE)</f>
        <v>GER</v>
      </c>
      <c r="BJ40" s="148">
        <f>VLOOKUP(BT40,tabber!$B$335:$N$358,7,FALSE)</f>
        <v>0</v>
      </c>
      <c r="BK40" s="147" t="s">
        <v>583</v>
      </c>
      <c r="BL40" s="149">
        <f>VLOOKUP(BT40,tabber!$B$335:$N$358,8,FALSE)</f>
        <v>0</v>
      </c>
      <c r="BM40" s="150">
        <f>VLOOKUP(BT40,tabber!$B$335:$N$358,9,FALSE)</f>
        <v>0</v>
      </c>
      <c r="BN40" s="147">
        <f>VLOOKUP(BT40,tabber!$B$335:$N$358,6,FALSE)</f>
        <v>0</v>
      </c>
      <c r="BO40" s="114"/>
      <c r="BP40" s="151"/>
      <c r="BQ40" s="114"/>
      <c r="BR40" s="152">
        <f>IF(VLOOKUP(RIGHT(BT40,1),$DM$69:$DN$74,2,FALSE),1,IF(COUNTA(BF40:BF43)&lt;&gt;4,0,-1))</f>
        <v>0</v>
      </c>
      <c r="BS40" s="57">
        <f>IF(VLOOKUP(RIGHT(BT40,1),$DM$122:$DN$127,2,FALSE),1,IF(COUNTA(BP40:BP43)&lt;&gt;4,0,-1))</f>
        <v>0</v>
      </c>
      <c r="BT40" t="s">
        <v>599</v>
      </c>
      <c r="BU40" t="str">
        <f>VLOOKUP(BZ40,daten!$T$8:$U$31,2,FALSE)</f>
        <v>GER</v>
      </c>
      <c r="BV40">
        <f>IF(ISERROR(MATCH(BF40,BU40:BU43,0)),0,IF(COUNTIF(BF40:BF43,"="&amp;BF40)&gt;1,0,MATCH(BF40,kuerzel,0)))</f>
        <v>0</v>
      </c>
      <c r="BW40">
        <f>IF(ISERROR(MATCH(BP40,BU40:BU43,0)),0,IF(COUNTIF(BP40:BP43,"="&amp;BP40)&gt;1,0,MATCH(BP40,kuerzel,0)))</f>
        <v>0</v>
      </c>
      <c r="BZ40" t="s">
        <v>599</v>
      </c>
      <c r="CA40" s="153">
        <f>VLOOKUP(BZ40,tabbermsp!$B$335:$O$358,14,FALSE)</f>
        <v>1</v>
      </c>
      <c r="CB40" s="91" t="str">
        <f>INDEX(daten!$G$59:$G$94,CC40)</f>
        <v>A-2</v>
      </c>
      <c r="CC40" s="59">
        <v>2</v>
      </c>
      <c r="CD40" t="b">
        <v>0</v>
      </c>
      <c r="CE40" s="57" t="str">
        <f t="shared" si="18"/>
        <v/>
      </c>
      <c r="CF40" s="57" t="str">
        <f t="shared" si="19"/>
        <v/>
      </c>
      <c r="CG40" s="57">
        <f t="shared" si="20"/>
        <v>0</v>
      </c>
      <c r="CH40" s="57">
        <f t="shared" si="21"/>
        <v>0</v>
      </c>
      <c r="CI40" s="57">
        <f t="shared" si="22"/>
        <v>0</v>
      </c>
      <c r="CJ40" s="57">
        <v>0</v>
      </c>
      <c r="CK40" s="57">
        <v>0</v>
      </c>
      <c r="CL40" s="57">
        <v>0</v>
      </c>
      <c r="CM40" s="57"/>
      <c r="CN40" s="57"/>
      <c r="CO40" s="57">
        <v>0</v>
      </c>
      <c r="CP40" s="57">
        <v>0</v>
      </c>
      <c r="CQ40" s="57">
        <v>0</v>
      </c>
      <c r="CR40" s="57">
        <v>0</v>
      </c>
      <c r="CS40" s="57">
        <v>0</v>
      </c>
      <c r="CT40" s="57">
        <v>0</v>
      </c>
      <c r="CV40">
        <f t="shared" si="23"/>
        <v>0</v>
      </c>
      <c r="CX40" t="b">
        <f t="shared" si="24"/>
        <v>0</v>
      </c>
      <c r="CY40" t="b">
        <f t="shared" si="25"/>
        <v>0</v>
      </c>
      <c r="CZ40" t="b">
        <v>0</v>
      </c>
      <c r="DA40">
        <f t="shared" si="26"/>
        <v>0</v>
      </c>
      <c r="DB40">
        <f>SUM($DA$37:$DA40)</f>
        <v>0</v>
      </c>
      <c r="DC40" t="b">
        <f t="shared" si="27"/>
        <v>0</v>
      </c>
      <c r="DE40">
        <v>1</v>
      </c>
      <c r="DF40" s="137">
        <v>1</v>
      </c>
      <c r="DG40" s="137">
        <v>10</v>
      </c>
      <c r="DH40">
        <f t="shared" si="28"/>
        <v>1</v>
      </c>
      <c r="DI40" s="138" t="str">
        <f t="shared" si="29"/>
        <v/>
      </c>
      <c r="DJ40" s="138" t="str">
        <f t="shared" si="30"/>
        <v/>
      </c>
      <c r="DL40" t="s">
        <v>581</v>
      </c>
      <c r="DM40" t="s">
        <v>599</v>
      </c>
      <c r="DN40">
        <f t="shared" ref="DN40:DN63" si="44">VLOOKUP(DM40,$BT$40:$BW$88,3,FALSE)</f>
        <v>0</v>
      </c>
      <c r="DO40">
        <f>IF(DN40=0,0,INDEX(daten!$N$9:$N$32,DN40))</f>
        <v>0</v>
      </c>
      <c r="DQ40" t="s">
        <v>600</v>
      </c>
      <c r="DR40" s="59">
        <v>1</v>
      </c>
      <c r="DT40" s="154" t="str">
        <f>VLOOKUP(DQ40,$CB$39:$DJ$88,34,FALSE)</f>
        <v/>
      </c>
      <c r="DU40" s="154" t="str">
        <f t="shared" ref="DU40:DU75" si="45">VLOOKUP(DQ40,$CB$39:$DJ$88,35,FALSE)</f>
        <v/>
      </c>
      <c r="DV40" s="155" t="str">
        <f>VLOOKUP(DQ40,$CB$39:$CF$88,4,FALSE)</f>
        <v/>
      </c>
      <c r="DW40" s="155" t="str">
        <f>VLOOKUP(DQ40,$CB$39:$CF$88,5,FALSE)</f>
        <v/>
      </c>
      <c r="ED40" s="57">
        <v>0</v>
      </c>
      <c r="EE40" s="57">
        <f t="shared" si="31"/>
        <v>-1</v>
      </c>
      <c r="EF40" s="57"/>
      <c r="EG40" s="57">
        <f t="shared" ca="1" si="32"/>
        <v>0</v>
      </c>
      <c r="EH40" s="57">
        <f t="shared" ca="1" si="33"/>
        <v>0</v>
      </c>
      <c r="EI40" s="57">
        <f t="shared" ca="1" si="34"/>
        <v>0</v>
      </c>
      <c r="EJ40" s="57">
        <f t="shared" ca="1" si="35"/>
        <v>-1</v>
      </c>
      <c r="EK40" s="57">
        <v>0</v>
      </c>
      <c r="EM40" s="57">
        <f t="shared" si="36"/>
        <v>0</v>
      </c>
      <c r="EN40" s="57">
        <f t="shared" si="37"/>
        <v>0</v>
      </c>
      <c r="EO40" s="57">
        <f t="shared" si="38"/>
        <v>0</v>
      </c>
      <c r="EP40" s="57">
        <f>IF($CS$4&lt;&gt;3,0,IF(AND(CH40=INDEX(settings!$I$19:$P$19,1),LEN(CP40)=0),0,IF(EXACT(CH40,CP40),0,1)))</f>
        <v>0</v>
      </c>
      <c r="EQ40" s="57">
        <f>IF(settings!$C$1100,0,IF(CI40=CQ40,0,1))</f>
        <v>0</v>
      </c>
      <c r="ER40" s="57">
        <f t="shared" si="39"/>
        <v>0</v>
      </c>
      <c r="ES40" s="57">
        <f t="shared" si="40"/>
        <v>0</v>
      </c>
      <c r="ET40" s="57">
        <f t="shared" si="41"/>
        <v>0</v>
      </c>
      <c r="EU40" s="57">
        <f t="shared" si="42"/>
        <v>0</v>
      </c>
      <c r="FB40">
        <f>IF(DH40&lt;FH37,FH37,DH40)</f>
        <v>1</v>
      </c>
      <c r="FC40">
        <v>2</v>
      </c>
      <c r="FD40">
        <f t="shared" ref="FD40:FD50" si="46">FD39</f>
        <v>1</v>
      </c>
      <c r="FE40">
        <f>IF(CD40,CP40,IF(FB40&gt;FI37,FI37,FB40))</f>
        <v>1</v>
      </c>
      <c r="FG40">
        <f t="shared" ref="FG40:FG50" si="47">IF(CD40,FE40,IF(FE40&lt;=FH39,FE40,IF(FH39&lt;0,0,FH39)))</f>
        <v>1</v>
      </c>
      <c r="FH40">
        <f>FG37-SUM(FG38:FG40)-SUM(FD41:FD51)+FH37</f>
        <v>69</v>
      </c>
      <c r="FI40" t="b">
        <f t="shared" si="43"/>
        <v>1</v>
      </c>
    </row>
    <row r="41" spans="3:165" ht="11.25" customHeight="1" thickBot="1" x14ac:dyDescent="0.25">
      <c r="C41" s="91">
        <v>3</v>
      </c>
      <c r="Q41">
        <v>3</v>
      </c>
      <c r="S41" s="70"/>
      <c r="T41" s="120" t="str">
        <f t="shared" si="17"/>
        <v/>
      </c>
      <c r="U41" s="529">
        <v>45458.75</v>
      </c>
      <c r="V41" s="530"/>
      <c r="W41" s="531">
        <v>0.75</v>
      </c>
      <c r="X41" s="532" t="s">
        <v>1183</v>
      </c>
      <c r="Y41" s="532"/>
      <c r="Z41" s="533" t="s">
        <v>601</v>
      </c>
      <c r="AA41" s="493" t="s">
        <v>200</v>
      </c>
      <c r="AB41" s="493"/>
      <c r="AC41" s="121" t="s">
        <v>583</v>
      </c>
      <c r="AD41" s="494" t="s">
        <v>1156</v>
      </c>
      <c r="AE41" s="494"/>
      <c r="AF41" s="122"/>
      <c r="AG41" s="123" t="s">
        <v>583</v>
      </c>
      <c r="AH41" s="124"/>
      <c r="AI41" s="125"/>
      <c r="AJ41" s="125"/>
      <c r="AK41" s="384" t="s">
        <v>411</v>
      </c>
      <c r="AL41" s="126"/>
      <c r="AM41" s="70"/>
      <c r="AN41" s="127"/>
      <c r="AO41" s="128" t="s">
        <v>583</v>
      </c>
      <c r="AP41" s="129"/>
      <c r="AQ41" s="70"/>
      <c r="AR41" s="70"/>
      <c r="AS41" s="156" t="str">
        <f>IF(CA41=CA40,"",CA41)</f>
        <v/>
      </c>
      <c r="AT41" s="140" t="str">
        <f>VLOOKUP(BT41,tabbermsp!$B$335:$N$358,4,FALSE)</f>
        <v>SCO</v>
      </c>
      <c r="AU41" s="141"/>
      <c r="AV41" s="140"/>
      <c r="AW41" s="140">
        <f>VLOOKUP(BT41,tabbermsp!$B$335:$N$358,7,FALSE)</f>
        <v>0</v>
      </c>
      <c r="AX41" s="142" t="s">
        <v>583</v>
      </c>
      <c r="AY41" s="140">
        <f>VLOOKUP(BT41,tabbermsp!$B$335:$N$358,8,FALSE)</f>
        <v>0</v>
      </c>
      <c r="AZ41" s="143"/>
      <c r="BA41" s="144">
        <f>VLOOKUP(BT41,tabbermsp!$B$335:$N$358,9,FALSE)</f>
        <v>0</v>
      </c>
      <c r="BB41" s="140"/>
      <c r="BC41" s="140">
        <f>VLOOKUP(BT41,tabbermsp!$B$335:$N$358,6,FALSE)</f>
        <v>0</v>
      </c>
      <c r="BD41" s="140"/>
      <c r="BE41" s="114"/>
      <c r="BF41" s="145"/>
      <c r="BG41" s="114"/>
      <c r="BH41" s="146" t="str">
        <f>IF(VLOOKUP(BZ41,tabber!$B$335:$O$358,14,FALSE)=VLOOKUP(BZ40,tabber!$B$335:$O$358,14,FALSE),"",VLOOKUP(BZ41,tabber!$B$335:$O$358,14,FALSE))&amp;" "</f>
        <v xml:space="preserve"> </v>
      </c>
      <c r="BI41" s="157" t="str">
        <f>VLOOKUP(BT41,tabber!$B$335:$N$358,4,FALSE)</f>
        <v>SCO</v>
      </c>
      <c r="BJ41" s="158">
        <f>VLOOKUP(BT41,tabber!$B$335:$N$358,7,FALSE)</f>
        <v>0</v>
      </c>
      <c r="BK41" s="159" t="s">
        <v>583</v>
      </c>
      <c r="BL41" s="160">
        <f>VLOOKUP(BT41,tabber!$B$335:$N$358,8,FALSE)</f>
        <v>0</v>
      </c>
      <c r="BM41" s="161">
        <f>VLOOKUP(BT41,tabber!$B$335:$N$358,9,FALSE)</f>
        <v>0</v>
      </c>
      <c r="BN41" s="157">
        <f>VLOOKUP(BT41,tabber!$B$335:$N$358,6,FALSE)</f>
        <v>0</v>
      </c>
      <c r="BO41" s="114"/>
      <c r="BP41" s="151"/>
      <c r="BQ41" s="114"/>
      <c r="BR41" s="152">
        <f>IF(VLOOKUP(RIGHT(BT41,1),$DM$69:$DN$74,2,FALSE),1,IF(COUNTA(BF40:BF43)&lt;&gt;4,0,-1))</f>
        <v>0</v>
      </c>
      <c r="BS41" s="57">
        <f>IF(VLOOKUP(RIGHT(BT41,1),$DM$122:$DN$127,2,FALSE),1,IF(COUNTA(BP40:BP43)&lt;&gt;4,0,-1))</f>
        <v>0</v>
      </c>
      <c r="BT41" t="s">
        <v>603</v>
      </c>
      <c r="BU41" t="str">
        <f>VLOOKUP(BZ41,daten!$T$8:$U$31,2,FALSE)</f>
        <v>SCO</v>
      </c>
      <c r="BV41">
        <f>IF(ISERROR(MATCH(BF41,BU40:BU43,0)),0,IF(COUNTIF(BF40:BF43,"="&amp;BF41)&gt;1,0,MATCH(BF41,kuerzel,0)))</f>
        <v>0</v>
      </c>
      <c r="BW41">
        <f>IF(ISERROR(MATCH(BP41,BU40:BU43,0)),0,IF(COUNTIF(BP40:BP43,"="&amp;BP41)&gt;1,0,MATCH(BP41,kuerzel,0)))</f>
        <v>0</v>
      </c>
      <c r="BZ41" t="s">
        <v>603</v>
      </c>
      <c r="CA41" s="153">
        <f>VLOOKUP(BZ41,tabbermsp!$B$335:$O$358,14,FALSE)</f>
        <v>1</v>
      </c>
      <c r="CB41" s="91" t="str">
        <f>INDEX(daten!$G$59:$G$94,CC41)</f>
        <v>B-1</v>
      </c>
      <c r="CC41" s="59">
        <v>3</v>
      </c>
      <c r="CD41" t="b">
        <v>0</v>
      </c>
      <c r="CE41" s="57" t="str">
        <f t="shared" si="18"/>
        <v/>
      </c>
      <c r="CF41" s="57" t="str">
        <f t="shared" si="19"/>
        <v/>
      </c>
      <c r="CG41" s="57">
        <f t="shared" si="20"/>
        <v>0</v>
      </c>
      <c r="CH41" s="57">
        <f t="shared" si="21"/>
        <v>0</v>
      </c>
      <c r="CI41" s="57">
        <f t="shared" si="22"/>
        <v>0</v>
      </c>
      <c r="CJ41" s="57">
        <v>0</v>
      </c>
      <c r="CK41" s="57">
        <v>0</v>
      </c>
      <c r="CL41" s="57">
        <v>0</v>
      </c>
      <c r="CM41" s="57"/>
      <c r="CN41" s="57"/>
      <c r="CO41" s="57">
        <v>0</v>
      </c>
      <c r="CP41" s="57">
        <v>0</v>
      </c>
      <c r="CQ41" s="57">
        <v>0</v>
      </c>
      <c r="CR41" s="57">
        <v>0</v>
      </c>
      <c r="CS41" s="57">
        <v>0</v>
      </c>
      <c r="CT41" s="57">
        <v>0</v>
      </c>
      <c r="CV41">
        <f t="shared" si="23"/>
        <v>0</v>
      </c>
      <c r="CX41" t="b">
        <f t="shared" si="24"/>
        <v>0</v>
      </c>
      <c r="CY41" t="b">
        <f t="shared" si="25"/>
        <v>0</v>
      </c>
      <c r="CZ41" t="b">
        <v>0</v>
      </c>
      <c r="DA41">
        <f t="shared" si="26"/>
        <v>0</v>
      </c>
      <c r="DB41">
        <f>SUM($DA$37:$DA41)</f>
        <v>0</v>
      </c>
      <c r="DC41" t="b">
        <f t="shared" si="27"/>
        <v>0</v>
      </c>
      <c r="DE41">
        <v>1</v>
      </c>
      <c r="DF41" s="137">
        <v>1</v>
      </c>
      <c r="DG41" s="137">
        <v>10</v>
      </c>
      <c r="DH41">
        <f t="shared" si="28"/>
        <v>1</v>
      </c>
      <c r="DI41" s="138" t="str">
        <f t="shared" si="29"/>
        <v/>
      </c>
      <c r="DJ41" s="138" t="str">
        <f t="shared" si="30"/>
        <v/>
      </c>
      <c r="DL41" t="s">
        <v>581</v>
      </c>
      <c r="DM41" t="s">
        <v>603</v>
      </c>
      <c r="DN41">
        <f t="shared" si="44"/>
        <v>0</v>
      </c>
      <c r="DO41">
        <f>IF(DN41=0,0,INDEX(daten!$N$9:$N$32,DN41))</f>
        <v>0</v>
      </c>
      <c r="DQ41" t="s">
        <v>604</v>
      </c>
      <c r="DR41" s="59">
        <v>2</v>
      </c>
      <c r="DT41" s="154" t="str">
        <f t="shared" ref="DT41:DT75" si="48">VLOOKUP(DQ41,$CB$39:$DJ$88,34,FALSE)</f>
        <v/>
      </c>
      <c r="DU41" s="154" t="str">
        <f t="shared" si="45"/>
        <v/>
      </c>
      <c r="DV41" s="155" t="str">
        <f t="shared" ref="DV41:DV75" si="49">VLOOKUP(DQ41,$CB$39:$CF$88,4,FALSE)</f>
        <v/>
      </c>
      <c r="DW41" s="155" t="str">
        <f t="shared" ref="DW41:DW75" si="50">VLOOKUP(DQ41,$CB$39:$CF$88,5,FALSE)</f>
        <v/>
      </c>
      <c r="ED41" s="57">
        <v>0</v>
      </c>
      <c r="EE41" s="57">
        <f t="shared" si="31"/>
        <v>-1</v>
      </c>
      <c r="EF41" s="57"/>
      <c r="EG41" s="57">
        <f t="shared" ca="1" si="32"/>
        <v>0</v>
      </c>
      <c r="EH41" s="57">
        <f t="shared" ca="1" si="33"/>
        <v>0</v>
      </c>
      <c r="EI41" s="57">
        <f t="shared" ca="1" si="34"/>
        <v>0</v>
      </c>
      <c r="EJ41" s="57">
        <f t="shared" ca="1" si="35"/>
        <v>-1</v>
      </c>
      <c r="EK41" s="57">
        <v>0</v>
      </c>
      <c r="EM41" s="57">
        <f t="shared" si="36"/>
        <v>0</v>
      </c>
      <c r="EN41" s="57">
        <f t="shared" si="37"/>
        <v>0</v>
      </c>
      <c r="EO41" s="57">
        <f t="shared" si="38"/>
        <v>0</v>
      </c>
      <c r="EP41" s="57">
        <f>IF($CS$4&lt;&gt;3,0,IF(AND(CH41=INDEX(settings!$I$19:$P$19,1),LEN(CP41)=0),0,IF(EXACT(CH41,CP41),0,1)))</f>
        <v>0</v>
      </c>
      <c r="EQ41" s="57">
        <f>IF(settings!$C$1100,0,IF(CI41=CQ41,0,1))</f>
        <v>0</v>
      </c>
      <c r="ER41" s="57">
        <f t="shared" si="39"/>
        <v>0</v>
      </c>
      <c r="ES41" s="57">
        <f t="shared" si="40"/>
        <v>0</v>
      </c>
      <c r="ET41" s="57">
        <f t="shared" si="41"/>
        <v>0</v>
      </c>
      <c r="EU41" s="57">
        <f t="shared" si="42"/>
        <v>0</v>
      </c>
      <c r="FB41">
        <f>IF(DH41&lt;FH37,FH37,DH41)</f>
        <v>1</v>
      </c>
      <c r="FC41">
        <v>3</v>
      </c>
      <c r="FD41">
        <f t="shared" si="46"/>
        <v>1</v>
      </c>
      <c r="FE41">
        <f>IF(CD41,CP41,IF(FB41&gt;FI37,FI37,FB41))</f>
        <v>1</v>
      </c>
      <c r="FG41">
        <f t="shared" si="47"/>
        <v>1</v>
      </c>
      <c r="FH41">
        <f>FG37-SUM(FG38:FG41)-SUM(FD42:FD51)+FH37</f>
        <v>69</v>
      </c>
      <c r="FI41" t="b">
        <f t="shared" si="43"/>
        <v>1</v>
      </c>
    </row>
    <row r="42" spans="3:165" ht="11.25" customHeight="1" thickBot="1" x14ac:dyDescent="0.25">
      <c r="C42" s="91">
        <v>4</v>
      </c>
      <c r="Q42">
        <v>4</v>
      </c>
      <c r="S42" s="70"/>
      <c r="T42" s="120" t="str">
        <f t="shared" si="17"/>
        <v/>
      </c>
      <c r="U42" s="529">
        <v>45458.875</v>
      </c>
      <c r="V42" s="530"/>
      <c r="W42" s="531">
        <v>0.875</v>
      </c>
      <c r="X42" s="532" t="s">
        <v>1184</v>
      </c>
      <c r="Y42" s="532"/>
      <c r="Z42" s="533" t="s">
        <v>601</v>
      </c>
      <c r="AA42" s="493" t="s">
        <v>1154</v>
      </c>
      <c r="AB42" s="493"/>
      <c r="AC42" s="121" t="s">
        <v>583</v>
      </c>
      <c r="AD42" s="494" t="s">
        <v>545</v>
      </c>
      <c r="AE42" s="494"/>
      <c r="AF42" s="122"/>
      <c r="AG42" s="123" t="s">
        <v>583</v>
      </c>
      <c r="AH42" s="124"/>
      <c r="AI42" s="125"/>
      <c r="AJ42" s="125"/>
      <c r="AK42" s="384" t="s">
        <v>411</v>
      </c>
      <c r="AL42" s="126"/>
      <c r="AM42" s="70"/>
      <c r="AN42" s="127"/>
      <c r="AO42" s="128" t="s">
        <v>583</v>
      </c>
      <c r="AP42" s="129"/>
      <c r="AQ42" s="70"/>
      <c r="AR42" s="70"/>
      <c r="AS42" s="156" t="str">
        <f>IF(CA42=CA41,"",CA42)</f>
        <v/>
      </c>
      <c r="AT42" s="162" t="str">
        <f>VLOOKUP(BT42,tabbermsp!$B$335:$N$358,4,FALSE)</f>
        <v>HUN</v>
      </c>
      <c r="AU42" s="162"/>
      <c r="AV42" s="162"/>
      <c r="AW42" s="162">
        <f>VLOOKUP(BT42,tabbermsp!$B$335:$N$358,7,FALSE)</f>
        <v>0</v>
      </c>
      <c r="AX42" s="163" t="s">
        <v>583</v>
      </c>
      <c r="AY42" s="162">
        <f>VLOOKUP(BT42,tabbermsp!$B$335:$N$358,8,FALSE)</f>
        <v>0</v>
      </c>
      <c r="AZ42" s="164"/>
      <c r="BA42" s="165">
        <f>VLOOKUP(BT42,tabbermsp!$B$335:$N$358,9,FALSE)</f>
        <v>0</v>
      </c>
      <c r="BB42" s="162"/>
      <c r="BC42" s="162">
        <f>VLOOKUP(BT42,tabbermsp!$B$335:$N$358,6,FALSE)</f>
        <v>0</v>
      </c>
      <c r="BD42" s="162"/>
      <c r="BE42" s="114"/>
      <c r="BF42" s="145"/>
      <c r="BG42" s="151"/>
      <c r="BH42" s="146" t="str">
        <f>IF(VLOOKUP(BZ42,tabber!$B$335:$O$358,14,FALSE)=VLOOKUP(BZ41,tabber!$B$335:$O$358,14,FALSE),"",VLOOKUP(BZ42,tabber!$B$335:$O$358,14,FALSE))&amp;" "</f>
        <v xml:space="preserve"> </v>
      </c>
      <c r="BI42" s="166" t="str">
        <f>VLOOKUP(BT42,tabber!$B$335:$N$358,4,FALSE)</f>
        <v>HUN</v>
      </c>
      <c r="BJ42" s="167">
        <f>VLOOKUP(BT42,tabber!$B$335:$N$358,7,FALSE)</f>
        <v>0</v>
      </c>
      <c r="BK42" s="166" t="s">
        <v>583</v>
      </c>
      <c r="BL42" s="168">
        <f>VLOOKUP(BT42,tabber!$B$335:$N$358,8,FALSE)</f>
        <v>0</v>
      </c>
      <c r="BM42" s="169">
        <f>VLOOKUP(BT42,tabber!$B$335:$N$358,9,FALSE)</f>
        <v>0</v>
      </c>
      <c r="BN42" s="166">
        <f>VLOOKUP(BT42,tabber!$B$335:$N$358,6,FALSE)</f>
        <v>0</v>
      </c>
      <c r="BO42" s="114"/>
      <c r="BP42" s="151"/>
      <c r="BQ42" s="151"/>
      <c r="BR42" s="152">
        <f>IF(VLOOKUP(RIGHT(BT42,1),$DM$69:$DN$74,2,FALSE),1,IF(COUNTA(BF40:BF43)&lt;&gt;4,0,-1))</f>
        <v>0</v>
      </c>
      <c r="BS42" s="57">
        <f>IF(VLOOKUP(RIGHT(BT42,1),$DM$122:$DN$127,2,FALSE),1,IF(COUNTA(BP40:BP43)&lt;&gt;4,0,-1))</f>
        <v>0</v>
      </c>
      <c r="BT42" t="s">
        <v>606</v>
      </c>
      <c r="BU42" t="str">
        <f>VLOOKUP(BZ42,daten!$T$8:$U$31,2,FALSE)</f>
        <v>HUN</v>
      </c>
      <c r="BV42">
        <f>IF(ISERROR(MATCH(BF42,BU40:BU43,0)),0,IF(COUNTIF(BF40:BF43,"="&amp;BF42)&gt;1,0,MATCH(BF42,kuerzel,0)))</f>
        <v>0</v>
      </c>
      <c r="BW42">
        <f>IF(ISERROR(MATCH(BP42,BU40:BU43,0)),0,IF(COUNTIF(BP40:BP43,"="&amp;BP42)&gt;1,0,MATCH(BP42,kuerzel,0)))</f>
        <v>0</v>
      </c>
      <c r="BX42" t="e">
        <f>MATCH(AT42,tabbermsp!$H$392:$K$392,0)</f>
        <v>#N/A</v>
      </c>
      <c r="BY42">
        <f>MATCH(BI42,tabber!$H$392:$K$392,0)</f>
        <v>1</v>
      </c>
      <c r="BZ42" t="s">
        <v>606</v>
      </c>
      <c r="CA42" s="153">
        <f>VLOOKUP(BZ42,tabbermsp!$B$335:$O$358,14,FALSE)</f>
        <v>1</v>
      </c>
      <c r="CB42" s="91" t="str">
        <f>INDEX(daten!$G$59:$G$94,CC42)</f>
        <v>B-2</v>
      </c>
      <c r="CC42" s="59">
        <v>4</v>
      </c>
      <c r="CD42" t="b">
        <v>0</v>
      </c>
      <c r="CE42" s="57" t="str">
        <f t="shared" si="18"/>
        <v/>
      </c>
      <c r="CF42" s="57" t="str">
        <f t="shared" si="19"/>
        <v/>
      </c>
      <c r="CG42" s="57">
        <f t="shared" si="20"/>
        <v>0</v>
      </c>
      <c r="CH42" s="57">
        <f t="shared" si="21"/>
        <v>0</v>
      </c>
      <c r="CI42" s="57">
        <f t="shared" si="22"/>
        <v>0</v>
      </c>
      <c r="CJ42" s="57">
        <v>0</v>
      </c>
      <c r="CK42" s="57">
        <v>0</v>
      </c>
      <c r="CL42" s="57">
        <v>0</v>
      </c>
      <c r="CM42" s="57"/>
      <c r="CN42" s="57"/>
      <c r="CO42" s="57">
        <v>0</v>
      </c>
      <c r="CP42" s="57">
        <v>0</v>
      </c>
      <c r="CQ42" s="57">
        <v>0</v>
      </c>
      <c r="CR42" s="57">
        <v>0</v>
      </c>
      <c r="CS42" s="57">
        <v>0</v>
      </c>
      <c r="CT42" s="57">
        <v>0</v>
      </c>
      <c r="CV42">
        <f t="shared" si="23"/>
        <v>0</v>
      </c>
      <c r="CX42" t="b">
        <f t="shared" si="24"/>
        <v>0</v>
      </c>
      <c r="CY42" t="b">
        <f t="shared" si="25"/>
        <v>0</v>
      </c>
      <c r="CZ42" t="b">
        <v>0</v>
      </c>
      <c r="DA42">
        <f t="shared" si="26"/>
        <v>0</v>
      </c>
      <c r="DB42">
        <f>SUM($DA$37:$DA42)</f>
        <v>0</v>
      </c>
      <c r="DC42" t="b">
        <f t="shared" si="27"/>
        <v>0</v>
      </c>
      <c r="DE42">
        <v>1</v>
      </c>
      <c r="DF42" s="137">
        <v>1</v>
      </c>
      <c r="DG42" s="137">
        <v>10</v>
      </c>
      <c r="DH42">
        <f t="shared" si="28"/>
        <v>1</v>
      </c>
      <c r="DI42" s="138" t="str">
        <f t="shared" si="29"/>
        <v/>
      </c>
      <c r="DJ42" s="138" t="str">
        <f t="shared" si="30"/>
        <v/>
      </c>
      <c r="DL42" t="s">
        <v>581</v>
      </c>
      <c r="DM42" t="s">
        <v>606</v>
      </c>
      <c r="DN42">
        <f t="shared" si="44"/>
        <v>0</v>
      </c>
      <c r="DO42">
        <f>IF(DN42=0,0,INDEX(daten!$N$9:$N$32,DN42))</f>
        <v>0</v>
      </c>
      <c r="DQ42" t="s">
        <v>607</v>
      </c>
      <c r="DR42" s="59">
        <v>14</v>
      </c>
      <c r="DT42" s="154" t="str">
        <f t="shared" si="48"/>
        <v/>
      </c>
      <c r="DU42" s="154" t="str">
        <f t="shared" si="45"/>
        <v/>
      </c>
      <c r="DV42" s="155" t="str">
        <f t="shared" si="49"/>
        <v/>
      </c>
      <c r="DW42" s="155" t="str">
        <f t="shared" si="50"/>
        <v/>
      </c>
      <c r="ED42" s="57">
        <v>0</v>
      </c>
      <c r="EE42" s="57">
        <f t="shared" si="31"/>
        <v>-1</v>
      </c>
      <c r="EF42" s="57"/>
      <c r="EG42" s="57">
        <f t="shared" ca="1" si="32"/>
        <v>0</v>
      </c>
      <c r="EH42" s="57">
        <f t="shared" ca="1" si="33"/>
        <v>0</v>
      </c>
      <c r="EI42" s="57">
        <f t="shared" ca="1" si="34"/>
        <v>0</v>
      </c>
      <c r="EJ42" s="57">
        <f t="shared" ca="1" si="35"/>
        <v>-1</v>
      </c>
      <c r="EK42" s="57">
        <v>0</v>
      </c>
      <c r="EM42" s="57">
        <f t="shared" si="36"/>
        <v>0</v>
      </c>
      <c r="EN42" s="57">
        <f t="shared" si="37"/>
        <v>0</v>
      </c>
      <c r="EO42" s="57">
        <f t="shared" si="38"/>
        <v>0</v>
      </c>
      <c r="EP42" s="57">
        <f>IF($CS$4&lt;&gt;3,0,IF(AND(CH42=INDEX(settings!$I$19:$P$19,1),LEN(CP42)=0),0,IF(EXACT(CH42,CP42),0,1)))</f>
        <v>0</v>
      </c>
      <c r="EQ42" s="57">
        <f>IF(settings!$C$1100,0,IF(CI42=CQ42,0,1))</f>
        <v>0</v>
      </c>
      <c r="ER42" s="57">
        <f t="shared" si="39"/>
        <v>0</v>
      </c>
      <c r="ES42" s="57">
        <f t="shared" si="40"/>
        <v>0</v>
      </c>
      <c r="ET42" s="57">
        <f t="shared" si="41"/>
        <v>0</v>
      </c>
      <c r="EU42" s="57">
        <f t="shared" si="42"/>
        <v>0</v>
      </c>
      <c r="FB42">
        <f>IF(DH42&lt;FH37,FH37,DH42)</f>
        <v>1</v>
      </c>
      <c r="FC42">
        <v>4</v>
      </c>
      <c r="FD42">
        <f t="shared" si="46"/>
        <v>1</v>
      </c>
      <c r="FE42">
        <f>IF(CD42,CP42,IF(FB42&gt;FI37,FI37,FB42))</f>
        <v>1</v>
      </c>
      <c r="FG42">
        <f t="shared" si="47"/>
        <v>1</v>
      </c>
      <c r="FH42">
        <f>FG37-SUM(FG38:FG42)-SUM(FD43:FD51)+FH37</f>
        <v>69</v>
      </c>
      <c r="FI42" t="b">
        <f t="shared" si="43"/>
        <v>1</v>
      </c>
    </row>
    <row r="43" spans="3:165" ht="11.25" customHeight="1" x14ac:dyDescent="0.2">
      <c r="C43" s="91">
        <v>5</v>
      </c>
      <c r="Q43">
        <v>5</v>
      </c>
      <c r="S43" s="70"/>
      <c r="T43" s="120" t="str">
        <f t="shared" si="17"/>
        <v/>
      </c>
      <c r="U43" s="529">
        <v>45459.625</v>
      </c>
      <c r="V43" s="530"/>
      <c r="W43" s="531">
        <v>0.625</v>
      </c>
      <c r="X43" s="532" t="s">
        <v>1185</v>
      </c>
      <c r="Y43" s="532"/>
      <c r="Z43" s="533" t="s">
        <v>608</v>
      </c>
      <c r="AA43" s="493" t="s">
        <v>195</v>
      </c>
      <c r="AB43" s="493"/>
      <c r="AC43" s="121" t="s">
        <v>583</v>
      </c>
      <c r="AD43" s="494" t="s">
        <v>197</v>
      </c>
      <c r="AE43" s="494"/>
      <c r="AF43" s="122"/>
      <c r="AG43" s="123" t="s">
        <v>583</v>
      </c>
      <c r="AH43" s="124"/>
      <c r="AI43" s="125"/>
      <c r="AJ43" s="125"/>
      <c r="AK43" s="384" t="s">
        <v>411</v>
      </c>
      <c r="AL43" s="126"/>
      <c r="AM43" s="70"/>
      <c r="AN43" s="127"/>
      <c r="AO43" s="128" t="s">
        <v>583</v>
      </c>
      <c r="AP43" s="129"/>
      <c r="AQ43" s="70"/>
      <c r="AR43" s="70"/>
      <c r="AS43" s="156" t="str">
        <f>IF(CA43=CA42,"",CA43)</f>
        <v/>
      </c>
      <c r="AT43" s="170" t="str">
        <f>VLOOKUP(BT43,tabbermsp!$B$335:$N$358,4,FALSE)</f>
        <v>SUI</v>
      </c>
      <c r="AU43" s="170"/>
      <c r="AV43" s="170"/>
      <c r="AW43" s="170">
        <f>VLOOKUP(BT43,tabbermsp!$B$335:$N$358,7,FALSE)</f>
        <v>0</v>
      </c>
      <c r="AX43" s="171" t="s">
        <v>583</v>
      </c>
      <c r="AY43" s="170">
        <f>VLOOKUP(BT43,tabbermsp!$B$335:$N$358,8,FALSE)</f>
        <v>0</v>
      </c>
      <c r="AZ43" s="172"/>
      <c r="BA43" s="173">
        <f>VLOOKUP(BT43,tabbermsp!$B$335:$N$358,9,FALSE)</f>
        <v>0</v>
      </c>
      <c r="BB43" s="170"/>
      <c r="BC43" s="170">
        <f>VLOOKUP(BT43,tabbermsp!$B$335:$N$358,6,FALSE)</f>
        <v>0</v>
      </c>
      <c r="BD43" s="170"/>
      <c r="BE43" s="114"/>
      <c r="BF43" s="145"/>
      <c r="BG43" s="114"/>
      <c r="BH43" s="146" t="str">
        <f>IF(VLOOKUP(BZ43,tabber!$B$335:$O$358,14,FALSE)=VLOOKUP(BZ42,tabber!$B$335:$O$358,14,FALSE),"",VLOOKUP(BZ43,tabber!$B$335:$O$358,14,FALSE))&amp;" "</f>
        <v xml:space="preserve"> </v>
      </c>
      <c r="BI43" s="174" t="str">
        <f>VLOOKUP(BT43,tabber!$B$335:$N$358,4,FALSE)</f>
        <v>SUI</v>
      </c>
      <c r="BJ43" s="175">
        <f>VLOOKUP(BT43,tabber!$B$335:$N$358,7,FALSE)</f>
        <v>0</v>
      </c>
      <c r="BK43" s="174" t="s">
        <v>583</v>
      </c>
      <c r="BL43" s="176">
        <f>VLOOKUP(BT43,tabber!$B$335:$N$358,8,FALSE)</f>
        <v>0</v>
      </c>
      <c r="BM43" s="177">
        <f>VLOOKUP(BT43,tabber!$B$335:$N$358,9,FALSE)</f>
        <v>0</v>
      </c>
      <c r="BN43" s="174">
        <f>VLOOKUP(BT43,tabber!$B$335:$N$358,6,FALSE)</f>
        <v>0</v>
      </c>
      <c r="BO43" s="114"/>
      <c r="BP43" s="151"/>
      <c r="BQ43" s="114"/>
      <c r="BR43" s="152">
        <f>IF(VLOOKUP(RIGHT(BT43,1),$DM$69:$DN$74,2,FALSE),1,IF(COUNTA(BF40:BF43)&lt;&gt;4,0,-1))</f>
        <v>0</v>
      </c>
      <c r="BS43" s="57">
        <f>IF(VLOOKUP(RIGHT(BT43,1),$DM$122:$DN$127,2,FALSE),1,IF(COUNTA(BP40:BP43)&lt;&gt;4,0,-1))</f>
        <v>0</v>
      </c>
      <c r="BT43" t="s">
        <v>611</v>
      </c>
      <c r="BU43" t="str">
        <f>VLOOKUP(BZ43,daten!$T$8:$U$31,2,FALSE)</f>
        <v>SUI</v>
      </c>
      <c r="BV43">
        <f>IF(ISERROR(MATCH(BF43,BU40:BU43,0)),0,IF(COUNTIF(BF40:BF43,"="&amp;BF43)&gt;1,0,MATCH(BF43,kuerzel,0)))</f>
        <v>0</v>
      </c>
      <c r="BW43">
        <f>IF(ISERROR(MATCH(BP43,BU40:BU43,0)),0,IF(COUNTIF(BP40:BP43,"="&amp;BP43)&gt;1,0,MATCH(BP43,kuerzel,0)))</f>
        <v>0</v>
      </c>
      <c r="BZ43" t="s">
        <v>611</v>
      </c>
      <c r="CA43" s="153">
        <f>VLOOKUP(BZ43,tabbermsp!$B$335:$O$358,14,FALSE)</f>
        <v>1</v>
      </c>
      <c r="CB43" s="91" t="str">
        <f>INDEX(daten!$G$59:$G$94,CC43)</f>
        <v>D-1</v>
      </c>
      <c r="CC43" s="59">
        <v>5</v>
      </c>
      <c r="CD43" t="b">
        <v>0</v>
      </c>
      <c r="CE43" s="57" t="str">
        <f t="shared" si="18"/>
        <v/>
      </c>
      <c r="CF43" s="57" t="str">
        <f t="shared" si="19"/>
        <v/>
      </c>
      <c r="CG43" s="57">
        <f t="shared" si="20"/>
        <v>0</v>
      </c>
      <c r="CH43" s="57">
        <f t="shared" si="21"/>
        <v>0</v>
      </c>
      <c r="CI43" s="57">
        <f t="shared" si="22"/>
        <v>0</v>
      </c>
      <c r="CJ43" s="57">
        <v>0</v>
      </c>
      <c r="CK43" s="57">
        <v>0</v>
      </c>
      <c r="CL43" s="57">
        <v>0</v>
      </c>
      <c r="CM43" s="57"/>
      <c r="CN43" s="57"/>
      <c r="CO43" s="57">
        <v>0</v>
      </c>
      <c r="CP43" s="57">
        <v>0</v>
      </c>
      <c r="CQ43" s="57">
        <v>0</v>
      </c>
      <c r="CR43" s="57">
        <v>0</v>
      </c>
      <c r="CS43" s="57">
        <v>0</v>
      </c>
      <c r="CT43" s="57">
        <v>0</v>
      </c>
      <c r="CV43">
        <f t="shared" si="23"/>
        <v>0</v>
      </c>
      <c r="CX43" t="b">
        <f t="shared" si="24"/>
        <v>0</v>
      </c>
      <c r="CY43" t="b">
        <f t="shared" si="25"/>
        <v>0</v>
      </c>
      <c r="CZ43" t="b">
        <v>0</v>
      </c>
      <c r="DA43">
        <f t="shared" si="26"/>
        <v>0</v>
      </c>
      <c r="DB43">
        <f>SUM($DA$37:$DA43)</f>
        <v>0</v>
      </c>
      <c r="DC43" t="b">
        <f t="shared" si="27"/>
        <v>0</v>
      </c>
      <c r="DE43">
        <v>1</v>
      </c>
      <c r="DF43" s="137">
        <v>1</v>
      </c>
      <c r="DG43" s="137">
        <v>10</v>
      </c>
      <c r="DH43">
        <f t="shared" si="28"/>
        <v>1</v>
      </c>
      <c r="DI43" s="138" t="str">
        <f t="shared" si="29"/>
        <v/>
      </c>
      <c r="DJ43" s="138" t="str">
        <f t="shared" si="30"/>
        <v/>
      </c>
      <c r="DL43" t="s">
        <v>581</v>
      </c>
      <c r="DM43" t="s">
        <v>611</v>
      </c>
      <c r="DN43">
        <f t="shared" si="44"/>
        <v>0</v>
      </c>
      <c r="DO43">
        <f>IF(DN43=0,0,INDEX(daten!$N$9:$N$32,DN43))</f>
        <v>0</v>
      </c>
      <c r="DQ43" t="s">
        <v>612</v>
      </c>
      <c r="DR43" s="59">
        <v>15</v>
      </c>
      <c r="DT43" s="154" t="str">
        <f t="shared" si="48"/>
        <v/>
      </c>
      <c r="DU43" s="154" t="str">
        <f t="shared" si="45"/>
        <v/>
      </c>
      <c r="DV43" s="155" t="str">
        <f t="shared" si="49"/>
        <v/>
      </c>
      <c r="DW43" s="155" t="str">
        <f t="shared" si="50"/>
        <v/>
      </c>
      <c r="ED43" s="57">
        <v>0</v>
      </c>
      <c r="EE43" s="57">
        <f t="shared" si="31"/>
        <v>-1</v>
      </c>
      <c r="EF43" s="57"/>
      <c r="EG43" s="57">
        <f t="shared" ca="1" si="32"/>
        <v>0</v>
      </c>
      <c r="EH43" s="57">
        <f t="shared" ca="1" si="33"/>
        <v>0</v>
      </c>
      <c r="EI43" s="57">
        <f t="shared" ca="1" si="34"/>
        <v>0</v>
      </c>
      <c r="EJ43" s="57">
        <f t="shared" ca="1" si="35"/>
        <v>-1</v>
      </c>
      <c r="EK43" s="57">
        <v>0</v>
      </c>
      <c r="EM43" s="57">
        <f t="shared" si="36"/>
        <v>0</v>
      </c>
      <c r="EN43" s="57">
        <f t="shared" si="37"/>
        <v>0</v>
      </c>
      <c r="EO43" s="57">
        <f t="shared" si="38"/>
        <v>0</v>
      </c>
      <c r="EP43" s="57">
        <f>IF($CS$4&lt;&gt;3,0,IF(AND(CH43=INDEX(settings!$I$19:$P$19,1),LEN(CP43)=0),0,IF(EXACT(CH43,CP43),0,1)))</f>
        <v>0</v>
      </c>
      <c r="EQ43" s="57">
        <f>IF(settings!$C$1100,0,IF(CI43=CQ43,0,1))</f>
        <v>0</v>
      </c>
      <c r="ER43" s="57">
        <f t="shared" si="39"/>
        <v>0</v>
      </c>
      <c r="ES43" s="57">
        <f t="shared" si="40"/>
        <v>0</v>
      </c>
      <c r="ET43" s="57">
        <f t="shared" si="41"/>
        <v>0</v>
      </c>
      <c r="EU43" s="57">
        <f t="shared" si="42"/>
        <v>0</v>
      </c>
      <c r="FB43">
        <f>IF(DH43&lt;FH37,FH37,DH43)</f>
        <v>1</v>
      </c>
      <c r="FC43">
        <v>5</v>
      </c>
      <c r="FD43">
        <f t="shared" si="46"/>
        <v>1</v>
      </c>
      <c r="FE43">
        <f>IF(CD43,CP43,IF(FB43&gt;FI37,FI37,FB43))</f>
        <v>1</v>
      </c>
      <c r="FG43">
        <f t="shared" si="47"/>
        <v>1</v>
      </c>
      <c r="FH43">
        <f>FG37-SUM(FG38:FG43)-SUM(FD44:FD51)+FH37</f>
        <v>69</v>
      </c>
      <c r="FI43" t="b">
        <f t="shared" si="43"/>
        <v>1</v>
      </c>
    </row>
    <row r="44" spans="3:165" ht="11.25" customHeight="1" x14ac:dyDescent="0.2">
      <c r="C44" s="91">
        <v>6</v>
      </c>
      <c r="Q44">
        <v>6</v>
      </c>
      <c r="S44" s="70"/>
      <c r="T44" s="120" t="str">
        <f t="shared" si="17"/>
        <v/>
      </c>
      <c r="U44" s="529">
        <v>45459.75</v>
      </c>
      <c r="V44" s="530"/>
      <c r="W44" s="531">
        <v>0.75</v>
      </c>
      <c r="X44" s="532" t="s">
        <v>1186</v>
      </c>
      <c r="Y44" s="532"/>
      <c r="Z44" s="533" t="s">
        <v>613</v>
      </c>
      <c r="AA44" s="493" t="s">
        <v>546</v>
      </c>
      <c r="AB44" s="493"/>
      <c r="AC44" s="121" t="s">
        <v>583</v>
      </c>
      <c r="AD44" s="494" t="s">
        <v>198</v>
      </c>
      <c r="AE44" s="494"/>
      <c r="AF44" s="122"/>
      <c r="AG44" s="123" t="s">
        <v>583</v>
      </c>
      <c r="AH44" s="124"/>
      <c r="AI44" s="125"/>
      <c r="AJ44" s="125"/>
      <c r="AK44" s="384" t="s">
        <v>411</v>
      </c>
      <c r="AL44" s="126"/>
      <c r="AM44" s="70"/>
      <c r="AN44" s="127"/>
      <c r="AO44" s="128" t="s">
        <v>583</v>
      </c>
      <c r="AP44" s="129"/>
      <c r="AQ44" s="70"/>
      <c r="AR44" s="70"/>
      <c r="AS44" s="114"/>
      <c r="AT44" s="114"/>
      <c r="AU44" s="114"/>
      <c r="AV44" s="114"/>
      <c r="AW44" s="114"/>
      <c r="AX44" s="114"/>
      <c r="AY44" s="114"/>
      <c r="AZ44" s="114"/>
      <c r="BA44" s="114"/>
      <c r="BB44" s="114"/>
      <c r="BC44" s="114"/>
      <c r="BD44" s="114"/>
      <c r="BE44" s="114"/>
      <c r="BF44" s="114"/>
      <c r="BG44" s="114"/>
      <c r="BH44" s="114"/>
      <c r="BI44" s="114"/>
      <c r="BJ44" s="114"/>
      <c r="BK44" s="114"/>
      <c r="BL44" s="114"/>
      <c r="BM44" s="114"/>
      <c r="BN44" s="114"/>
      <c r="BO44" s="114"/>
      <c r="BP44" s="133"/>
      <c r="BQ44" s="114"/>
      <c r="BR44" s="70"/>
      <c r="CB44" s="91" t="str">
        <f>INDEX(daten!$G$59:$G$94,CC44)</f>
        <v>C-1</v>
      </c>
      <c r="CC44" s="59">
        <v>6</v>
      </c>
      <c r="CD44" t="b">
        <v>0</v>
      </c>
      <c r="CE44" s="57" t="str">
        <f t="shared" si="18"/>
        <v/>
      </c>
      <c r="CF44" s="57" t="str">
        <f t="shared" si="19"/>
        <v/>
      </c>
      <c r="CG44" s="57">
        <f t="shared" si="20"/>
        <v>0</v>
      </c>
      <c r="CH44" s="57">
        <f t="shared" si="21"/>
        <v>0</v>
      </c>
      <c r="CI44" s="57">
        <f t="shared" si="22"/>
        <v>0</v>
      </c>
      <c r="CJ44" s="57">
        <v>0</v>
      </c>
      <c r="CK44" s="57">
        <v>0</v>
      </c>
      <c r="CL44" s="57">
        <v>0</v>
      </c>
      <c r="CM44" s="57"/>
      <c r="CN44" s="57"/>
      <c r="CO44" s="57">
        <v>0</v>
      </c>
      <c r="CP44" s="57">
        <v>0</v>
      </c>
      <c r="CQ44" s="57">
        <v>0</v>
      </c>
      <c r="CR44" s="57">
        <v>0</v>
      </c>
      <c r="CS44" s="57">
        <v>0</v>
      </c>
      <c r="CT44" s="57">
        <v>0</v>
      </c>
      <c r="CV44">
        <f t="shared" si="23"/>
        <v>0</v>
      </c>
      <c r="CX44" t="b">
        <f t="shared" si="24"/>
        <v>0</v>
      </c>
      <c r="CY44" t="b">
        <f t="shared" si="25"/>
        <v>0</v>
      </c>
      <c r="CZ44" t="b">
        <v>0</v>
      </c>
      <c r="DA44">
        <f t="shared" si="26"/>
        <v>0</v>
      </c>
      <c r="DB44">
        <f>SUM($DA$37:$DA44)</f>
        <v>0</v>
      </c>
      <c r="DC44" t="b">
        <f t="shared" si="27"/>
        <v>0</v>
      </c>
      <c r="DE44">
        <v>1</v>
      </c>
      <c r="DF44" s="137">
        <v>1</v>
      </c>
      <c r="DG44" s="137">
        <v>10</v>
      </c>
      <c r="DH44">
        <f t="shared" si="28"/>
        <v>1</v>
      </c>
      <c r="DI44" s="138" t="str">
        <f t="shared" si="29"/>
        <v/>
      </c>
      <c r="DJ44" s="138" t="str">
        <f t="shared" si="30"/>
        <v/>
      </c>
      <c r="DL44" t="s">
        <v>601</v>
      </c>
      <c r="DM44" t="s">
        <v>615</v>
      </c>
      <c r="DN44">
        <f t="shared" si="44"/>
        <v>0</v>
      </c>
      <c r="DO44">
        <f>IF(DN44=0,0,INDEX(daten!$N$9:$N$32,DN44))</f>
        <v>0</v>
      </c>
      <c r="DQ44" t="s">
        <v>616</v>
      </c>
      <c r="DR44" s="59">
        <v>25</v>
      </c>
      <c r="DT44" s="154" t="str">
        <f t="shared" si="48"/>
        <v/>
      </c>
      <c r="DU44" s="154" t="str">
        <f t="shared" si="45"/>
        <v/>
      </c>
      <c r="DV44" s="155" t="str">
        <f t="shared" si="49"/>
        <v/>
      </c>
      <c r="DW44" s="155" t="str">
        <f t="shared" si="50"/>
        <v/>
      </c>
      <c r="ED44" s="57">
        <v>0</v>
      </c>
      <c r="EE44" s="57">
        <f t="shared" si="31"/>
        <v>-1</v>
      </c>
      <c r="EF44" s="57"/>
      <c r="EG44" s="57">
        <f t="shared" ca="1" si="32"/>
        <v>0</v>
      </c>
      <c r="EH44" s="57">
        <f t="shared" ca="1" si="33"/>
        <v>0</v>
      </c>
      <c r="EI44" s="57">
        <f t="shared" ca="1" si="34"/>
        <v>0</v>
      </c>
      <c r="EJ44" s="57">
        <f t="shared" ca="1" si="35"/>
        <v>-1</v>
      </c>
      <c r="EK44" s="57">
        <v>0</v>
      </c>
      <c r="EM44" s="57">
        <f t="shared" si="36"/>
        <v>0</v>
      </c>
      <c r="EN44" s="57">
        <f t="shared" si="37"/>
        <v>0</v>
      </c>
      <c r="EO44" s="57">
        <f t="shared" si="38"/>
        <v>0</v>
      </c>
      <c r="EP44" s="57">
        <f>IF($CS$4&lt;&gt;3,0,IF(AND(CH44=INDEX(settings!$I$19:$P$19,1),LEN(CP44)=0),0,IF(EXACT(CH44,CP44),0,1)))</f>
        <v>0</v>
      </c>
      <c r="EQ44" s="57">
        <f>IF(settings!$C$1100,0,IF(CI44=CQ44,0,1))</f>
        <v>0</v>
      </c>
      <c r="ER44" s="57">
        <f t="shared" si="39"/>
        <v>0</v>
      </c>
      <c r="ES44" s="57">
        <f t="shared" si="40"/>
        <v>0</v>
      </c>
      <c r="ET44" s="57">
        <f t="shared" si="41"/>
        <v>0</v>
      </c>
      <c r="EU44" s="57">
        <f t="shared" si="42"/>
        <v>0</v>
      </c>
      <c r="FB44">
        <f>IF(DH44&lt;FH37,FH37,DH44)</f>
        <v>1</v>
      </c>
      <c r="FC44">
        <v>6</v>
      </c>
      <c r="FD44">
        <f t="shared" si="46"/>
        <v>1</v>
      </c>
      <c r="FE44">
        <f>IF(CD44,CP44,IF(FB44&gt;FI37,FI37,FB44))</f>
        <v>1</v>
      </c>
      <c r="FG44">
        <f t="shared" si="47"/>
        <v>1</v>
      </c>
      <c r="FH44">
        <f>FG37-SUM(FG38:FG44)-SUM(FD45:FD51)+FH37</f>
        <v>69</v>
      </c>
      <c r="FI44" t="b">
        <f t="shared" si="43"/>
        <v>1</v>
      </c>
    </row>
    <row r="45" spans="3:165" ht="11.25" customHeight="1" x14ac:dyDescent="0.2">
      <c r="C45" s="91">
        <v>7</v>
      </c>
      <c r="Q45">
        <v>7</v>
      </c>
      <c r="S45" s="70"/>
      <c r="T45" s="120" t="str">
        <f t="shared" si="17"/>
        <v/>
      </c>
      <c r="U45" s="529">
        <v>45459.875</v>
      </c>
      <c r="V45" s="530"/>
      <c r="W45" s="531">
        <v>0.875</v>
      </c>
      <c r="X45" s="532" t="s">
        <v>1187</v>
      </c>
      <c r="Y45" s="532"/>
      <c r="Z45" s="533" t="s">
        <v>613</v>
      </c>
      <c r="AA45" s="493" t="s">
        <v>547</v>
      </c>
      <c r="AB45" s="493"/>
      <c r="AC45" s="121" t="s">
        <v>583</v>
      </c>
      <c r="AD45" s="494" t="s">
        <v>199</v>
      </c>
      <c r="AE45" s="494"/>
      <c r="AF45" s="122"/>
      <c r="AG45" s="123" t="s">
        <v>583</v>
      </c>
      <c r="AH45" s="124"/>
      <c r="AI45" s="125"/>
      <c r="AJ45" s="125"/>
      <c r="AK45" s="384" t="s">
        <v>411</v>
      </c>
      <c r="AL45" s="126"/>
      <c r="AM45" s="70"/>
      <c r="AN45" s="127"/>
      <c r="AO45" s="128" t="s">
        <v>583</v>
      </c>
      <c r="AP45" s="129"/>
      <c r="AQ45" s="70"/>
      <c r="AR45" s="70"/>
      <c r="AS45" s="114"/>
      <c r="AT45" s="114"/>
      <c r="AU45" s="114"/>
      <c r="AV45" s="114"/>
      <c r="AW45" s="114"/>
      <c r="AX45" s="114"/>
      <c r="AY45" s="114"/>
      <c r="AZ45" s="114"/>
      <c r="BA45" s="114"/>
      <c r="BB45" s="114"/>
      <c r="BC45" s="114"/>
      <c r="BD45" s="114"/>
      <c r="BE45" s="114"/>
      <c r="BF45" s="114"/>
      <c r="BG45" s="114"/>
      <c r="BH45" s="114"/>
      <c r="BI45" s="114"/>
      <c r="BJ45" s="114"/>
      <c r="BK45" s="114"/>
      <c r="BL45" s="114"/>
      <c r="BM45" s="114"/>
      <c r="BN45" s="114"/>
      <c r="BO45" s="114"/>
      <c r="BP45" s="133"/>
      <c r="BQ45" s="114"/>
      <c r="BR45" s="70"/>
      <c r="CB45" s="91" t="str">
        <f>INDEX(daten!$G$59:$G$94,CC45)</f>
        <v>C-2</v>
      </c>
      <c r="CC45" s="59">
        <v>7</v>
      </c>
      <c r="CD45" t="b">
        <v>0</v>
      </c>
      <c r="CE45" s="57" t="str">
        <f t="shared" si="18"/>
        <v/>
      </c>
      <c r="CF45" s="57" t="str">
        <f t="shared" si="19"/>
        <v/>
      </c>
      <c r="CG45" s="57">
        <f t="shared" si="20"/>
        <v>0</v>
      </c>
      <c r="CH45" s="57">
        <f t="shared" si="21"/>
        <v>0</v>
      </c>
      <c r="CI45" s="57">
        <f t="shared" si="22"/>
        <v>0</v>
      </c>
      <c r="CJ45" s="57">
        <v>0</v>
      </c>
      <c r="CK45" s="57">
        <v>0</v>
      </c>
      <c r="CL45" s="57">
        <v>0</v>
      </c>
      <c r="CM45" s="57"/>
      <c r="CN45" s="57"/>
      <c r="CO45" s="57">
        <v>0</v>
      </c>
      <c r="CP45" s="57">
        <v>0</v>
      </c>
      <c r="CQ45" s="57">
        <v>0</v>
      </c>
      <c r="CR45" s="57">
        <v>0</v>
      </c>
      <c r="CS45" s="57">
        <v>0</v>
      </c>
      <c r="CT45" s="57">
        <v>0</v>
      </c>
      <c r="CV45">
        <f t="shared" si="23"/>
        <v>0</v>
      </c>
      <c r="CX45" t="b">
        <f t="shared" si="24"/>
        <v>0</v>
      </c>
      <c r="CY45" t="b">
        <f t="shared" si="25"/>
        <v>0</v>
      </c>
      <c r="CZ45" t="b">
        <v>0</v>
      </c>
      <c r="DA45">
        <f t="shared" si="26"/>
        <v>0</v>
      </c>
      <c r="DB45">
        <f>SUM($DA$37:$DA45)</f>
        <v>0</v>
      </c>
      <c r="DC45" t="b">
        <f t="shared" si="27"/>
        <v>0</v>
      </c>
      <c r="DE45">
        <v>1</v>
      </c>
      <c r="DF45" s="137">
        <v>1</v>
      </c>
      <c r="DG45" s="137">
        <v>10</v>
      </c>
      <c r="DH45">
        <f t="shared" si="28"/>
        <v>1</v>
      </c>
      <c r="DI45" s="138" t="str">
        <f t="shared" si="29"/>
        <v/>
      </c>
      <c r="DJ45" s="138" t="str">
        <f t="shared" si="30"/>
        <v/>
      </c>
      <c r="DL45" t="s">
        <v>601</v>
      </c>
      <c r="DM45" t="s">
        <v>619</v>
      </c>
      <c r="DN45">
        <f t="shared" si="44"/>
        <v>0</v>
      </c>
      <c r="DO45">
        <f>IF(DN45=0,0,INDEX(daten!$N$9:$N$32,DN45))</f>
        <v>0</v>
      </c>
      <c r="DQ45" t="s">
        <v>620</v>
      </c>
      <c r="DR45" s="59">
        <v>26</v>
      </c>
      <c r="DT45" s="154" t="str">
        <f t="shared" si="48"/>
        <v/>
      </c>
      <c r="DU45" s="154" t="str">
        <f t="shared" si="45"/>
        <v/>
      </c>
      <c r="DV45" s="155" t="str">
        <f t="shared" si="49"/>
        <v/>
      </c>
      <c r="DW45" s="155" t="str">
        <f t="shared" si="50"/>
        <v/>
      </c>
      <c r="ED45" s="57">
        <v>0</v>
      </c>
      <c r="EE45" s="57">
        <f t="shared" si="31"/>
        <v>-1</v>
      </c>
      <c r="EF45" s="57"/>
      <c r="EG45" s="57">
        <f t="shared" ca="1" si="32"/>
        <v>0</v>
      </c>
      <c r="EH45" s="57">
        <f t="shared" ca="1" si="33"/>
        <v>0</v>
      </c>
      <c r="EI45" s="57">
        <f t="shared" ca="1" si="34"/>
        <v>0</v>
      </c>
      <c r="EJ45" s="57">
        <f t="shared" ca="1" si="35"/>
        <v>-1</v>
      </c>
      <c r="EK45" s="57">
        <v>0</v>
      </c>
      <c r="EM45" s="57">
        <f t="shared" si="36"/>
        <v>0</v>
      </c>
      <c r="EN45" s="57">
        <f t="shared" si="37"/>
        <v>0</v>
      </c>
      <c r="EO45" s="57">
        <f t="shared" si="38"/>
        <v>0</v>
      </c>
      <c r="EP45" s="57">
        <f>IF($CS$4&lt;&gt;3,0,IF(AND(CH45=INDEX(settings!$I$19:$P$19,1),LEN(CP45)=0),0,IF(EXACT(CH45,CP45),0,1)))</f>
        <v>0</v>
      </c>
      <c r="EQ45" s="57">
        <f>IF(settings!$C$1100,0,IF(CI45=CQ45,0,1))</f>
        <v>0</v>
      </c>
      <c r="ER45" s="57">
        <f t="shared" si="39"/>
        <v>0</v>
      </c>
      <c r="ES45" s="57">
        <f t="shared" si="40"/>
        <v>0</v>
      </c>
      <c r="ET45" s="57">
        <f t="shared" si="41"/>
        <v>0</v>
      </c>
      <c r="EU45" s="57">
        <f t="shared" si="42"/>
        <v>0</v>
      </c>
      <c r="FB45">
        <f>IF(DH45&lt;FH37,FH37,DH45)</f>
        <v>1</v>
      </c>
      <c r="FC45">
        <v>7</v>
      </c>
      <c r="FD45">
        <f t="shared" si="46"/>
        <v>1</v>
      </c>
      <c r="FE45">
        <f>IF(CD45,CP45,IF(FB45&gt;FI37,FI37,FB45))</f>
        <v>1</v>
      </c>
      <c r="FG45">
        <f t="shared" si="47"/>
        <v>1</v>
      </c>
      <c r="FH45">
        <f>FG37-SUM(FG38:FG45)-SUM(FD46:FD51)+FH37</f>
        <v>69</v>
      </c>
      <c r="FI45" t="b">
        <f t="shared" si="43"/>
        <v>1</v>
      </c>
    </row>
    <row r="46" spans="3:165" ht="11.25" customHeight="1" x14ac:dyDescent="0.2">
      <c r="C46" s="91">
        <v>8</v>
      </c>
      <c r="Q46">
        <v>8</v>
      </c>
      <c r="S46" s="70"/>
      <c r="T46" s="120" t="str">
        <f t="shared" si="17"/>
        <v/>
      </c>
      <c r="U46" s="529">
        <v>45460.625</v>
      </c>
      <c r="V46" s="530"/>
      <c r="W46" s="531">
        <v>0.625</v>
      </c>
      <c r="X46" s="532" t="s">
        <v>1181</v>
      </c>
      <c r="Y46" s="532"/>
      <c r="Z46" s="533" t="s">
        <v>487</v>
      </c>
      <c r="AA46" s="493" t="s">
        <v>548</v>
      </c>
      <c r="AB46" s="493"/>
      <c r="AC46" s="121" t="s">
        <v>583</v>
      </c>
      <c r="AD46" s="494" t="s">
        <v>186</v>
      </c>
      <c r="AE46" s="494"/>
      <c r="AF46" s="122"/>
      <c r="AG46" s="123" t="s">
        <v>583</v>
      </c>
      <c r="AH46" s="124"/>
      <c r="AI46" s="125"/>
      <c r="AJ46" s="125"/>
      <c r="AK46" s="384" t="s">
        <v>411</v>
      </c>
      <c r="AL46" s="126"/>
      <c r="AM46" s="70"/>
      <c r="AN46" s="127"/>
      <c r="AO46" s="128" t="s">
        <v>583</v>
      </c>
      <c r="AP46" s="129"/>
      <c r="AQ46" s="70"/>
      <c r="AR46" s="519" t="s">
        <v>601</v>
      </c>
      <c r="AS46" s="519"/>
      <c r="AT46" s="130" t="str">
        <f>IF(VLOOKUP(AR46,$DM$69:$DN$76,2,FALSE)," Manuell","")</f>
        <v/>
      </c>
      <c r="AU46" s="131"/>
      <c r="AV46" s="131"/>
      <c r="AW46" s="132" t="s">
        <v>585</v>
      </c>
      <c r="AX46" s="132"/>
      <c r="AY46" s="132"/>
      <c r="AZ46" s="131"/>
      <c r="BA46" s="132" t="s">
        <v>586</v>
      </c>
      <c r="BB46" s="132"/>
      <c r="BC46" s="132" t="s">
        <v>587</v>
      </c>
      <c r="BD46" s="132"/>
      <c r="BE46" s="114"/>
      <c r="BF46" s="133" t="s">
        <v>588</v>
      </c>
      <c r="BG46" s="133" t="s">
        <v>589</v>
      </c>
      <c r="BH46" s="134" t="s">
        <v>622</v>
      </c>
      <c r="BI46" s="135" t="str">
        <f>IF(VLOOKUP(AR46,$DM$122:$DN$129,2,FALSE)," Manuell","")</f>
        <v/>
      </c>
      <c r="BJ46" s="429" t="s">
        <v>585</v>
      </c>
      <c r="BK46" s="429"/>
      <c r="BL46" s="429"/>
      <c r="BM46" s="136" t="s">
        <v>586</v>
      </c>
      <c r="BN46" s="136" t="s">
        <v>587</v>
      </c>
      <c r="BO46" s="114"/>
      <c r="BP46" s="133" t="s">
        <v>588</v>
      </c>
      <c r="BQ46" s="133" t="s">
        <v>589</v>
      </c>
      <c r="BR46" s="70"/>
      <c r="CB46" s="91" t="str">
        <f>INDEX(daten!$G$59:$G$94,CC46)</f>
        <v>E-1</v>
      </c>
      <c r="CC46" s="59">
        <v>8</v>
      </c>
      <c r="CD46" t="b">
        <v>0</v>
      </c>
      <c r="CE46" s="57" t="str">
        <f t="shared" si="18"/>
        <v/>
      </c>
      <c r="CF46" s="57" t="str">
        <f t="shared" si="19"/>
        <v/>
      </c>
      <c r="CG46" s="57">
        <f t="shared" si="20"/>
        <v>0</v>
      </c>
      <c r="CH46" s="57">
        <f t="shared" si="21"/>
        <v>0</v>
      </c>
      <c r="CI46" s="57">
        <f t="shared" si="22"/>
        <v>0</v>
      </c>
      <c r="CJ46" s="57">
        <v>0</v>
      </c>
      <c r="CK46" s="57">
        <v>0</v>
      </c>
      <c r="CL46" s="57">
        <v>0</v>
      </c>
      <c r="CM46" s="57"/>
      <c r="CN46" s="57"/>
      <c r="CO46" s="57">
        <v>0</v>
      </c>
      <c r="CP46" s="57">
        <v>0</v>
      </c>
      <c r="CQ46" s="57">
        <v>0</v>
      </c>
      <c r="CR46" s="57">
        <v>0</v>
      </c>
      <c r="CS46" s="57">
        <v>0</v>
      </c>
      <c r="CT46" s="57">
        <v>0</v>
      </c>
      <c r="CV46">
        <f t="shared" si="23"/>
        <v>0</v>
      </c>
      <c r="CX46" t="b">
        <f t="shared" si="24"/>
        <v>0</v>
      </c>
      <c r="CY46" t="b">
        <f t="shared" si="25"/>
        <v>0</v>
      </c>
      <c r="CZ46" t="b">
        <v>0</v>
      </c>
      <c r="DA46">
        <f t="shared" si="26"/>
        <v>0</v>
      </c>
      <c r="DB46">
        <f>SUM($DA$37:$DA46)</f>
        <v>0</v>
      </c>
      <c r="DC46" t="b">
        <f t="shared" si="27"/>
        <v>0</v>
      </c>
      <c r="DE46">
        <v>1</v>
      </c>
      <c r="DF46" s="137">
        <v>1</v>
      </c>
      <c r="DG46" s="137">
        <v>10</v>
      </c>
      <c r="DH46">
        <f t="shared" si="28"/>
        <v>1</v>
      </c>
      <c r="DI46" s="138" t="str">
        <f t="shared" si="29"/>
        <v/>
      </c>
      <c r="DJ46" s="138" t="str">
        <f t="shared" si="30"/>
        <v/>
      </c>
      <c r="DL46" t="s">
        <v>601</v>
      </c>
      <c r="DM46" t="s">
        <v>623</v>
      </c>
      <c r="DN46">
        <f t="shared" si="44"/>
        <v>0</v>
      </c>
      <c r="DO46">
        <f>IF(DN46=0,0,INDEX(daten!$N$9:$N$32,DN46))</f>
        <v>0</v>
      </c>
      <c r="DQ46" t="s">
        <v>624</v>
      </c>
      <c r="DR46" s="59">
        <v>3</v>
      </c>
      <c r="DT46" s="154" t="str">
        <f t="shared" si="48"/>
        <v/>
      </c>
      <c r="DU46" s="154" t="str">
        <f t="shared" si="45"/>
        <v/>
      </c>
      <c r="DV46" s="155" t="str">
        <f t="shared" si="49"/>
        <v/>
      </c>
      <c r="DW46" s="155" t="str">
        <f t="shared" si="50"/>
        <v/>
      </c>
      <c r="ED46" s="57">
        <v>0</v>
      </c>
      <c r="EE46" s="57">
        <f t="shared" si="31"/>
        <v>-1</v>
      </c>
      <c r="EF46" s="57"/>
      <c r="EG46" s="57">
        <f t="shared" ca="1" si="32"/>
        <v>0</v>
      </c>
      <c r="EH46" s="57">
        <f t="shared" ca="1" si="33"/>
        <v>0</v>
      </c>
      <c r="EI46" s="57">
        <f t="shared" ca="1" si="34"/>
        <v>0</v>
      </c>
      <c r="EJ46" s="57">
        <f t="shared" ca="1" si="35"/>
        <v>-1</v>
      </c>
      <c r="EK46" s="57">
        <v>0</v>
      </c>
      <c r="EM46" s="57">
        <f t="shared" si="36"/>
        <v>0</v>
      </c>
      <c r="EN46" s="57">
        <f t="shared" si="37"/>
        <v>0</v>
      </c>
      <c r="EO46" s="57">
        <f t="shared" si="38"/>
        <v>0</v>
      </c>
      <c r="EP46" s="57">
        <f>IF($CS$4&lt;&gt;3,0,IF(AND(CH46=INDEX(settings!$I$19:$P$19,1),LEN(CP46)=0),0,IF(EXACT(CH46,CP46),0,1)))</f>
        <v>0</v>
      </c>
      <c r="EQ46" s="57">
        <f>IF(settings!$C$1100,0,IF(CI46=CQ46,0,1))</f>
        <v>0</v>
      </c>
      <c r="ER46" s="57">
        <f t="shared" si="39"/>
        <v>0</v>
      </c>
      <c r="ES46" s="57">
        <f t="shared" si="40"/>
        <v>0</v>
      </c>
      <c r="ET46" s="57">
        <f t="shared" si="41"/>
        <v>0</v>
      </c>
      <c r="EU46" s="57">
        <f t="shared" si="42"/>
        <v>0</v>
      </c>
      <c r="FB46">
        <f>IF(DH46&lt;FH37,FH37,DH46)</f>
        <v>1</v>
      </c>
      <c r="FC46">
        <v>8</v>
      </c>
      <c r="FD46">
        <f t="shared" si="46"/>
        <v>1</v>
      </c>
      <c r="FE46">
        <f>IF(CD46,CP46,IF(FB46&gt;FI37,FI37,FB46))</f>
        <v>1</v>
      </c>
      <c r="FG46">
        <f t="shared" si="47"/>
        <v>1</v>
      </c>
      <c r="FH46">
        <f>FG37-SUM(FG38:FG46)-SUM(FD47:FD51)+FH37</f>
        <v>69</v>
      </c>
      <c r="FI46" t="b">
        <f t="shared" si="43"/>
        <v>1</v>
      </c>
    </row>
    <row r="47" spans="3:165" ht="11.25" customHeight="1" x14ac:dyDescent="0.2">
      <c r="C47" s="91">
        <v>9</v>
      </c>
      <c r="Q47">
        <v>9</v>
      </c>
      <c r="S47" s="70"/>
      <c r="T47" s="120" t="str">
        <f t="shared" si="17"/>
        <v/>
      </c>
      <c r="U47" s="529">
        <v>45460.75</v>
      </c>
      <c r="V47" s="530"/>
      <c r="W47" s="531">
        <v>0.75</v>
      </c>
      <c r="X47" s="532" t="s">
        <v>1188</v>
      </c>
      <c r="Y47" s="532"/>
      <c r="Z47" s="533" t="s">
        <v>487</v>
      </c>
      <c r="AA47" s="493" t="s">
        <v>191</v>
      </c>
      <c r="AB47" s="493"/>
      <c r="AC47" s="121" t="s">
        <v>583</v>
      </c>
      <c r="AD47" s="494" t="s">
        <v>188</v>
      </c>
      <c r="AE47" s="494"/>
      <c r="AF47" s="122"/>
      <c r="AG47" s="123" t="s">
        <v>583</v>
      </c>
      <c r="AH47" s="124"/>
      <c r="AI47" s="125"/>
      <c r="AJ47" s="125"/>
      <c r="AK47" s="384" t="s">
        <v>411</v>
      </c>
      <c r="AL47" s="126"/>
      <c r="AM47" s="70"/>
      <c r="AN47" s="127"/>
      <c r="AO47" s="128" t="s">
        <v>583</v>
      </c>
      <c r="AP47" s="129"/>
      <c r="AQ47" s="70"/>
      <c r="AR47" s="70"/>
      <c r="AS47" s="139">
        <v>1</v>
      </c>
      <c r="AT47" s="140" t="str">
        <f>VLOOKUP(BT47,tabbermsp!$B$335:$N$358,4,FALSE)</f>
        <v>ESP</v>
      </c>
      <c r="AU47" s="141"/>
      <c r="AV47" s="140"/>
      <c r="AW47" s="140">
        <f>VLOOKUP(BT47,tabbermsp!$B$335:$N$358,7,FALSE)</f>
        <v>0</v>
      </c>
      <c r="AX47" s="142" t="s">
        <v>583</v>
      </c>
      <c r="AY47" s="140">
        <f>VLOOKUP(BT47,tabbermsp!$B$335:$N$358,8,FALSE)</f>
        <v>0</v>
      </c>
      <c r="AZ47" s="143"/>
      <c r="BA47" s="144">
        <f>VLOOKUP(BT47,tabbermsp!$B$335:$N$358,9,FALSE)</f>
        <v>0</v>
      </c>
      <c r="BB47" s="140"/>
      <c r="BC47" s="140">
        <f>VLOOKUP(BT47,tabbermsp!$B$335:$N$358,6,FALSE)</f>
        <v>0</v>
      </c>
      <c r="BD47" s="140"/>
      <c r="BE47" s="114"/>
      <c r="BF47" s="145"/>
      <c r="BG47" s="114"/>
      <c r="BH47" s="146" t="str">
        <f>"1 "</f>
        <v xml:space="preserve">1 </v>
      </c>
      <c r="BI47" s="147" t="str">
        <f>VLOOKUP(BT47,tabber!$B$335:$N$358,4,FALSE)</f>
        <v>ESP</v>
      </c>
      <c r="BJ47" s="148">
        <f>VLOOKUP(BT47,tabber!$B$335:$N$358,7,FALSE)</f>
        <v>0</v>
      </c>
      <c r="BK47" s="147" t="s">
        <v>583</v>
      </c>
      <c r="BL47" s="149">
        <f>VLOOKUP(BT47,tabber!$B$335:$N$358,8,FALSE)</f>
        <v>0</v>
      </c>
      <c r="BM47" s="150">
        <f>VLOOKUP(BT47,tabber!$B$335:$N$358,9,FALSE)</f>
        <v>0</v>
      </c>
      <c r="BN47" s="147">
        <f>VLOOKUP(BT47,tabber!$B$335:$N$358,6,FALSE)</f>
        <v>0</v>
      </c>
      <c r="BO47" s="114"/>
      <c r="BP47" s="145"/>
      <c r="BQ47" s="114"/>
      <c r="BR47" s="152">
        <f>IF(VLOOKUP(RIGHT(BT47,1),$DM$69:$DN$74,2,FALSE),1,IF(COUNTA(BF47:BF50)&lt;&gt;4,0,-1))</f>
        <v>0</v>
      </c>
      <c r="BS47" s="57">
        <f>IF(VLOOKUP(RIGHT(BT47,1),$DM$122:$DN$127,2,FALSE),1,IF(COUNTA(BP47:BP50)&lt;&gt;4,0,-1))</f>
        <v>0</v>
      </c>
      <c r="BT47" t="s">
        <v>615</v>
      </c>
      <c r="BU47" t="str">
        <f>VLOOKUP(BZ47,daten!$T$8:$U$31,2,FALSE)</f>
        <v>ESP</v>
      </c>
      <c r="BV47">
        <f>IF(ISERROR(MATCH(BF47,BU47:BU50,0)),0,IF(COUNTIF(BF47:BF50,"="&amp;BF47)&gt;1,0,MATCH(BF47,kuerzel,0)))</f>
        <v>0</v>
      </c>
      <c r="BW47">
        <f>IF(ISERROR(MATCH(BP47,BU47:BU50,0)),0,IF(COUNTIF(BP47:BP50,"="&amp;BP47)&gt;1,0,MATCH(BP47,kuerzel,0)))</f>
        <v>0</v>
      </c>
      <c r="BZ47" t="s">
        <v>615</v>
      </c>
      <c r="CA47" s="153">
        <f>VLOOKUP(BZ47,tabbermsp!$B$335:$O$358,14,FALSE)</f>
        <v>1</v>
      </c>
      <c r="CB47" s="91" t="str">
        <f>INDEX(daten!$G$59:$G$94,CC47)</f>
        <v>E-2</v>
      </c>
      <c r="CC47" s="59">
        <v>9</v>
      </c>
      <c r="CD47" t="b">
        <v>0</v>
      </c>
      <c r="CE47" s="57" t="str">
        <f t="shared" si="18"/>
        <v/>
      </c>
      <c r="CF47" s="57" t="str">
        <f t="shared" si="19"/>
        <v/>
      </c>
      <c r="CG47" s="57">
        <f t="shared" si="20"/>
        <v>0</v>
      </c>
      <c r="CH47" s="57">
        <f t="shared" si="21"/>
        <v>0</v>
      </c>
      <c r="CI47" s="57">
        <f t="shared" si="22"/>
        <v>0</v>
      </c>
      <c r="CJ47" s="57">
        <v>0</v>
      </c>
      <c r="CK47" s="57">
        <v>0</v>
      </c>
      <c r="CL47" s="57">
        <v>0</v>
      </c>
      <c r="CM47" s="57"/>
      <c r="CN47" s="57"/>
      <c r="CO47" s="57">
        <v>0</v>
      </c>
      <c r="CP47" s="57">
        <v>0</v>
      </c>
      <c r="CQ47" s="57">
        <v>0</v>
      </c>
      <c r="CR47" s="57">
        <v>0</v>
      </c>
      <c r="CS47" s="57">
        <v>0</v>
      </c>
      <c r="CT47" s="57">
        <v>0</v>
      </c>
      <c r="CV47">
        <f t="shared" si="23"/>
        <v>0</v>
      </c>
      <c r="CX47" t="b">
        <f t="shared" si="24"/>
        <v>0</v>
      </c>
      <c r="CY47" t="b">
        <f t="shared" si="25"/>
        <v>0</v>
      </c>
      <c r="CZ47" t="b">
        <v>0</v>
      </c>
      <c r="DA47">
        <f t="shared" si="26"/>
        <v>0</v>
      </c>
      <c r="DB47">
        <f>SUM($DA$37:$DA47)</f>
        <v>0</v>
      </c>
      <c r="DC47" t="b">
        <f t="shared" si="27"/>
        <v>0</v>
      </c>
      <c r="DE47">
        <v>1</v>
      </c>
      <c r="DF47" s="137">
        <v>1</v>
      </c>
      <c r="DG47" s="137">
        <v>10</v>
      </c>
      <c r="DH47">
        <f t="shared" si="28"/>
        <v>1</v>
      </c>
      <c r="DI47" s="138" t="str">
        <f t="shared" si="29"/>
        <v/>
      </c>
      <c r="DJ47" s="138" t="str">
        <f t="shared" si="30"/>
        <v/>
      </c>
      <c r="DL47" t="s">
        <v>601</v>
      </c>
      <c r="DM47" t="s">
        <v>626</v>
      </c>
      <c r="DN47">
        <f t="shared" si="44"/>
        <v>0</v>
      </c>
      <c r="DO47">
        <f>IF(DN47=0,0,INDEX(daten!$N$9:$N$32,DN47))</f>
        <v>0</v>
      </c>
      <c r="DQ47" t="s">
        <v>627</v>
      </c>
      <c r="DR47" s="59">
        <v>4</v>
      </c>
      <c r="DT47" s="154" t="str">
        <f t="shared" si="48"/>
        <v/>
      </c>
      <c r="DU47" s="154" t="str">
        <f t="shared" si="45"/>
        <v/>
      </c>
      <c r="DV47" s="155" t="str">
        <f t="shared" si="49"/>
        <v/>
      </c>
      <c r="DW47" s="155" t="str">
        <f t="shared" si="50"/>
        <v/>
      </c>
      <c r="ED47" s="57">
        <v>0</v>
      </c>
      <c r="EE47" s="57">
        <f t="shared" si="31"/>
        <v>-1</v>
      </c>
      <c r="EF47" s="57"/>
      <c r="EG47" s="57">
        <f t="shared" ca="1" si="32"/>
        <v>0</v>
      </c>
      <c r="EH47" s="57">
        <f t="shared" ca="1" si="33"/>
        <v>0</v>
      </c>
      <c r="EI47" s="57">
        <f t="shared" ca="1" si="34"/>
        <v>0</v>
      </c>
      <c r="EJ47" s="57">
        <f t="shared" ca="1" si="35"/>
        <v>-1</v>
      </c>
      <c r="EK47" s="57">
        <v>0</v>
      </c>
      <c r="EM47" s="57">
        <f t="shared" si="36"/>
        <v>0</v>
      </c>
      <c r="EN47" s="57">
        <f t="shared" si="37"/>
        <v>0</v>
      </c>
      <c r="EO47" s="57">
        <f t="shared" si="38"/>
        <v>0</v>
      </c>
      <c r="EP47" s="57">
        <f>IF($CS$4&lt;&gt;3,0,IF(AND(CH47=INDEX(settings!$I$19:$P$19,1),LEN(CP47)=0),0,IF(EXACT(CH47,CP47),0,1)))</f>
        <v>0</v>
      </c>
      <c r="EQ47" s="57">
        <f>IF(settings!$C$1100,0,IF(CI47=CQ47,0,1))</f>
        <v>0</v>
      </c>
      <c r="ER47" s="57">
        <f t="shared" si="39"/>
        <v>0</v>
      </c>
      <c r="ES47" s="57">
        <f t="shared" si="40"/>
        <v>0</v>
      </c>
      <c r="ET47" s="57">
        <f t="shared" si="41"/>
        <v>0</v>
      </c>
      <c r="EU47" s="57">
        <f t="shared" si="42"/>
        <v>0</v>
      </c>
      <c r="FB47">
        <f>IF(DH47&lt;FH37,FH37,DH47)</f>
        <v>1</v>
      </c>
      <c r="FC47">
        <v>9</v>
      </c>
      <c r="FD47">
        <f t="shared" si="46"/>
        <v>1</v>
      </c>
      <c r="FE47">
        <f>IF(CD47,CP47,IF(FB47&gt;FI37,FI37,FB47))</f>
        <v>1</v>
      </c>
      <c r="FG47">
        <f t="shared" si="47"/>
        <v>1</v>
      </c>
      <c r="FH47">
        <f>FG37-SUM(FG38:FG47)-SUM(FD48:FD51)+FH37</f>
        <v>69</v>
      </c>
      <c r="FI47" t="b">
        <f t="shared" si="43"/>
        <v>1</v>
      </c>
    </row>
    <row r="48" spans="3:165" ht="11.25" customHeight="1" thickBot="1" x14ac:dyDescent="0.25">
      <c r="C48" s="91">
        <v>10</v>
      </c>
      <c r="Q48">
        <v>10</v>
      </c>
      <c r="S48" s="70"/>
      <c r="T48" s="120" t="str">
        <f t="shared" si="17"/>
        <v/>
      </c>
      <c r="U48" s="529">
        <v>45460.875</v>
      </c>
      <c r="V48" s="530"/>
      <c r="W48" s="531">
        <v>0.875</v>
      </c>
      <c r="X48" s="532" t="s">
        <v>1189</v>
      </c>
      <c r="Y48" s="532"/>
      <c r="Z48" s="533" t="s">
        <v>608</v>
      </c>
      <c r="AA48" s="493" t="s">
        <v>192</v>
      </c>
      <c r="AB48" s="493"/>
      <c r="AC48" s="121" t="s">
        <v>583</v>
      </c>
      <c r="AD48" s="494" t="s">
        <v>194</v>
      </c>
      <c r="AE48" s="494"/>
      <c r="AF48" s="122"/>
      <c r="AG48" s="123" t="s">
        <v>583</v>
      </c>
      <c r="AH48" s="124"/>
      <c r="AI48" s="125"/>
      <c r="AJ48" s="125"/>
      <c r="AK48" s="384" t="s">
        <v>411</v>
      </c>
      <c r="AL48" s="126"/>
      <c r="AM48" s="70"/>
      <c r="AN48" s="127"/>
      <c r="AO48" s="128" t="s">
        <v>583</v>
      </c>
      <c r="AP48" s="129"/>
      <c r="AQ48" s="70"/>
      <c r="AR48" s="70"/>
      <c r="AS48" s="156" t="str">
        <f>IF(CA48=CA47,"",CA48)</f>
        <v/>
      </c>
      <c r="AT48" s="140" t="str">
        <f>VLOOKUP(BT48,tabbermsp!$B$335:$N$358,4,FALSE)</f>
        <v>CRO</v>
      </c>
      <c r="AU48" s="141"/>
      <c r="AV48" s="140"/>
      <c r="AW48" s="140">
        <f>VLOOKUP(BT48,tabbermsp!$B$335:$N$358,7,FALSE)</f>
        <v>0</v>
      </c>
      <c r="AX48" s="142" t="s">
        <v>583</v>
      </c>
      <c r="AY48" s="140">
        <f>VLOOKUP(BT48,tabbermsp!$B$335:$N$358,8,FALSE)</f>
        <v>0</v>
      </c>
      <c r="AZ48" s="143"/>
      <c r="BA48" s="144">
        <f>VLOOKUP(BT48,tabbermsp!$B$335:$N$358,9,FALSE)</f>
        <v>0</v>
      </c>
      <c r="BB48" s="140"/>
      <c r="BC48" s="140">
        <f>VLOOKUP(BT48,tabbermsp!$B$335:$N$358,6,FALSE)</f>
        <v>0</v>
      </c>
      <c r="BD48" s="140"/>
      <c r="BE48" s="114"/>
      <c r="BF48" s="145"/>
      <c r="BG48" s="114"/>
      <c r="BH48" s="146" t="str">
        <f>IF(VLOOKUP(BZ48,tabber!$B$335:$O$358,14,FALSE)=VLOOKUP(BZ47,tabber!$B$335:$O$358,14,FALSE),"",VLOOKUP(BZ48,tabber!$B$335:$O$358,14,FALSE))&amp;" "</f>
        <v xml:space="preserve"> </v>
      </c>
      <c r="BI48" s="157" t="str">
        <f>VLOOKUP(BT48,tabber!$B$335:$N$358,4,FALSE)</f>
        <v>CRO</v>
      </c>
      <c r="BJ48" s="158">
        <f>VLOOKUP(BT48,tabber!$B$335:$N$358,7,FALSE)</f>
        <v>0</v>
      </c>
      <c r="BK48" s="159" t="s">
        <v>583</v>
      </c>
      <c r="BL48" s="160">
        <f>VLOOKUP(BT48,tabber!$B$335:$N$358,8,FALSE)</f>
        <v>0</v>
      </c>
      <c r="BM48" s="161">
        <f>VLOOKUP(BT48,tabber!$B$335:$N$358,9,FALSE)</f>
        <v>0</v>
      </c>
      <c r="BN48" s="157">
        <f>VLOOKUP(BT48,tabber!$B$335:$N$358,6,FALSE)</f>
        <v>0</v>
      </c>
      <c r="BO48" s="114"/>
      <c r="BP48" s="145"/>
      <c r="BQ48" s="114"/>
      <c r="BR48" s="152">
        <f>IF(VLOOKUP(RIGHT(BT48,1),$DM$69:$DN$74,2,FALSE),1,IF(COUNTA(BF47:BF50)&lt;&gt;4,0,-1))</f>
        <v>0</v>
      </c>
      <c r="BS48" s="57">
        <f>IF(VLOOKUP(RIGHT(BT48,1),$DM$122:$DN$127,2,FALSE),1,IF(COUNTA(BP47:BP50)&lt;&gt;4,0,-1))</f>
        <v>0</v>
      </c>
      <c r="BT48" t="s">
        <v>619</v>
      </c>
      <c r="BU48" t="str">
        <f>VLOOKUP(BZ48,daten!$T$8:$U$31,2,FALSE)</f>
        <v>CRO</v>
      </c>
      <c r="BV48">
        <f>IF(ISERROR(MATCH(BF48,BU47:BU50,0)),0,IF(COUNTIF(BF47:BF50,"="&amp;BF48)&gt;1,0,MATCH(BF48,kuerzel,0)))</f>
        <v>0</v>
      </c>
      <c r="BW48">
        <f>IF(ISERROR(MATCH(BP48,BU47:BU50,0)),0,IF(COUNTIF(BP47:BP50,"="&amp;BP48)&gt;1,0,MATCH(BP48,kuerzel,0)))</f>
        <v>0</v>
      </c>
      <c r="BZ48" t="s">
        <v>619</v>
      </c>
      <c r="CA48" s="153">
        <f>VLOOKUP(BZ48,tabbermsp!$B$335:$O$358,14,FALSE)</f>
        <v>1</v>
      </c>
      <c r="CB48" s="91" t="str">
        <f>INDEX(daten!$G$59:$G$94,CC48)</f>
        <v>D-2</v>
      </c>
      <c r="CC48" s="59">
        <v>10</v>
      </c>
      <c r="CD48" t="b">
        <v>0</v>
      </c>
      <c r="CE48" s="57" t="str">
        <f t="shared" si="18"/>
        <v/>
      </c>
      <c r="CF48" s="57" t="str">
        <f t="shared" si="19"/>
        <v/>
      </c>
      <c r="CG48" s="57">
        <f t="shared" si="20"/>
        <v>0</v>
      </c>
      <c r="CH48" s="57">
        <f t="shared" si="21"/>
        <v>0</v>
      </c>
      <c r="CI48" s="57">
        <f t="shared" si="22"/>
        <v>0</v>
      </c>
      <c r="CJ48" s="57">
        <v>0</v>
      </c>
      <c r="CK48" s="57">
        <v>0</v>
      </c>
      <c r="CL48" s="57">
        <v>0</v>
      </c>
      <c r="CM48" s="57"/>
      <c r="CN48" s="57"/>
      <c r="CO48" s="57">
        <v>0</v>
      </c>
      <c r="CP48" s="57">
        <v>0</v>
      </c>
      <c r="CQ48" s="57">
        <v>0</v>
      </c>
      <c r="CR48" s="57">
        <v>0</v>
      </c>
      <c r="CS48" s="57">
        <v>0</v>
      </c>
      <c r="CT48" s="57">
        <v>0</v>
      </c>
      <c r="CV48">
        <f t="shared" si="23"/>
        <v>0</v>
      </c>
      <c r="CX48" t="b">
        <f t="shared" si="24"/>
        <v>0</v>
      </c>
      <c r="CY48" t="b">
        <f t="shared" si="25"/>
        <v>0</v>
      </c>
      <c r="CZ48" t="b">
        <v>0</v>
      </c>
      <c r="DA48">
        <f t="shared" si="26"/>
        <v>0</v>
      </c>
      <c r="DB48">
        <f>SUM($DA$37:$DA48)</f>
        <v>0</v>
      </c>
      <c r="DC48" t="b">
        <f t="shared" si="27"/>
        <v>0</v>
      </c>
      <c r="DE48">
        <v>1</v>
      </c>
      <c r="DF48" s="137">
        <v>1</v>
      </c>
      <c r="DG48" s="137">
        <v>10</v>
      </c>
      <c r="DH48">
        <f t="shared" si="28"/>
        <v>1</v>
      </c>
      <c r="DI48" s="138" t="str">
        <f t="shared" si="29"/>
        <v/>
      </c>
      <c r="DJ48" s="138" t="str">
        <f t="shared" si="30"/>
        <v/>
      </c>
      <c r="DL48" t="s">
        <v>613</v>
      </c>
      <c r="DM48" t="s">
        <v>630</v>
      </c>
      <c r="DN48">
        <f t="shared" si="44"/>
        <v>0</v>
      </c>
      <c r="DO48">
        <f>IF(DN48=0,0,INDEX(daten!$N$9:$N$32,DN48))</f>
        <v>0</v>
      </c>
      <c r="DQ48" t="s">
        <v>631</v>
      </c>
      <c r="DR48" s="59">
        <v>13</v>
      </c>
      <c r="DT48" s="154" t="str">
        <f t="shared" si="48"/>
        <v/>
      </c>
      <c r="DU48" s="154" t="str">
        <f t="shared" si="45"/>
        <v/>
      </c>
      <c r="DV48" s="155" t="str">
        <f t="shared" si="49"/>
        <v/>
      </c>
      <c r="DW48" s="155" t="str">
        <f t="shared" si="50"/>
        <v/>
      </c>
      <c r="ED48" s="57">
        <v>0</v>
      </c>
      <c r="EE48" s="57">
        <f t="shared" si="31"/>
        <v>-1</v>
      </c>
      <c r="EF48" s="57"/>
      <c r="EG48" s="57">
        <f t="shared" ca="1" si="32"/>
        <v>0</v>
      </c>
      <c r="EH48" s="57">
        <f t="shared" ca="1" si="33"/>
        <v>0</v>
      </c>
      <c r="EI48" s="57">
        <f t="shared" ca="1" si="34"/>
        <v>0</v>
      </c>
      <c r="EJ48" s="57">
        <f t="shared" ca="1" si="35"/>
        <v>-1</v>
      </c>
      <c r="EK48" s="57">
        <v>0</v>
      </c>
      <c r="EM48" s="57">
        <f t="shared" si="36"/>
        <v>0</v>
      </c>
      <c r="EN48" s="57">
        <f t="shared" si="37"/>
        <v>0</v>
      </c>
      <c r="EO48" s="57">
        <f t="shared" si="38"/>
        <v>0</v>
      </c>
      <c r="EP48" s="57">
        <f>IF($CS$4&lt;&gt;3,0,IF(AND(CH48=INDEX(settings!$I$19:$P$19,1),LEN(CP48)=0),0,IF(EXACT(CH48,CP48),0,1)))</f>
        <v>0</v>
      </c>
      <c r="EQ48" s="57">
        <f>IF(settings!$C$1100,0,IF(CI48=CQ48,0,1))</f>
        <v>0</v>
      </c>
      <c r="ER48" s="57">
        <f t="shared" si="39"/>
        <v>0</v>
      </c>
      <c r="ES48" s="57">
        <f t="shared" si="40"/>
        <v>0</v>
      </c>
      <c r="ET48" s="57">
        <f t="shared" si="41"/>
        <v>0</v>
      </c>
      <c r="EU48" s="57">
        <f t="shared" si="42"/>
        <v>0</v>
      </c>
      <c r="FB48">
        <f>IF(DH48&lt;FH37,FH37,DH48)</f>
        <v>1</v>
      </c>
      <c r="FC48">
        <v>10</v>
      </c>
      <c r="FD48">
        <f t="shared" si="46"/>
        <v>1</v>
      </c>
      <c r="FE48">
        <f>IF(CD48,CP48,IF(FB48&gt;FI37,FI37,FB48))</f>
        <v>1</v>
      </c>
      <c r="FG48">
        <f t="shared" si="47"/>
        <v>1</v>
      </c>
      <c r="FH48">
        <f>FG37-SUM(FG38:FG48)-SUM(FD49:FD51)+FH37</f>
        <v>69</v>
      </c>
      <c r="FI48" t="b">
        <f t="shared" si="43"/>
        <v>1</v>
      </c>
    </row>
    <row r="49" spans="3:165" ht="11.25" customHeight="1" thickBot="1" x14ac:dyDescent="0.25">
      <c r="C49" s="91">
        <v>11</v>
      </c>
      <c r="Q49">
        <v>11</v>
      </c>
      <c r="S49" s="70"/>
      <c r="T49" s="120" t="str">
        <f t="shared" si="17"/>
        <v/>
      </c>
      <c r="U49" s="529">
        <v>45461.75</v>
      </c>
      <c r="V49" s="530"/>
      <c r="W49" s="531">
        <v>0.75</v>
      </c>
      <c r="X49" s="532" t="s">
        <v>1184</v>
      </c>
      <c r="Y49" s="532"/>
      <c r="Z49" s="533" t="s">
        <v>632</v>
      </c>
      <c r="AA49" s="493" t="s">
        <v>196</v>
      </c>
      <c r="AB49" s="493"/>
      <c r="AC49" s="121" t="s">
        <v>583</v>
      </c>
      <c r="AD49" s="494" t="s">
        <v>549</v>
      </c>
      <c r="AE49" s="494"/>
      <c r="AF49" s="122"/>
      <c r="AG49" s="123" t="s">
        <v>583</v>
      </c>
      <c r="AH49" s="124"/>
      <c r="AI49" s="125"/>
      <c r="AJ49" s="125"/>
      <c r="AK49" s="384" t="s">
        <v>411</v>
      </c>
      <c r="AL49" s="126"/>
      <c r="AM49" s="70"/>
      <c r="AN49" s="127"/>
      <c r="AO49" s="128" t="s">
        <v>583</v>
      </c>
      <c r="AP49" s="129"/>
      <c r="AQ49" s="70"/>
      <c r="AR49" s="70"/>
      <c r="AS49" s="156" t="str">
        <f>IF(CA49=CA48,"",CA49)</f>
        <v/>
      </c>
      <c r="AT49" s="162" t="str">
        <f>VLOOKUP(BT49,tabbermsp!$B$335:$N$358,4,FALSE)</f>
        <v>ITA</v>
      </c>
      <c r="AU49" s="162"/>
      <c r="AV49" s="162"/>
      <c r="AW49" s="162">
        <f>VLOOKUP(BT49,tabbermsp!$B$335:$N$358,7,FALSE)</f>
        <v>0</v>
      </c>
      <c r="AX49" s="163" t="s">
        <v>583</v>
      </c>
      <c r="AY49" s="162">
        <f>VLOOKUP(BT49,tabbermsp!$B$335:$N$358,8,FALSE)</f>
        <v>0</v>
      </c>
      <c r="AZ49" s="164"/>
      <c r="BA49" s="165">
        <f>VLOOKUP(BT49,tabbermsp!$B$335:$N$358,9,FALSE)</f>
        <v>0</v>
      </c>
      <c r="BB49" s="162"/>
      <c r="BC49" s="162">
        <f>VLOOKUP(BT49,tabbermsp!$B$335:$N$358,6,FALSE)</f>
        <v>0</v>
      </c>
      <c r="BD49" s="162"/>
      <c r="BE49" s="114"/>
      <c r="BF49" s="145"/>
      <c r="BG49" s="151"/>
      <c r="BH49" s="146" t="str">
        <f>IF(VLOOKUP(BZ49,tabber!$B$335:$O$358,14,FALSE)=VLOOKUP(BZ48,tabber!$B$335:$O$358,14,FALSE),"",VLOOKUP(BZ49,tabber!$B$335:$O$358,14,FALSE))&amp;" "</f>
        <v xml:space="preserve"> </v>
      </c>
      <c r="BI49" s="166" t="str">
        <f>VLOOKUP(BT49,tabber!$B$335:$N$358,4,FALSE)</f>
        <v>ITA</v>
      </c>
      <c r="BJ49" s="167">
        <f>VLOOKUP(BT49,tabber!$B$335:$N$358,7,FALSE)</f>
        <v>0</v>
      </c>
      <c r="BK49" s="166" t="s">
        <v>583</v>
      </c>
      <c r="BL49" s="168">
        <f>VLOOKUP(BT49,tabber!$B$335:$N$358,8,FALSE)</f>
        <v>0</v>
      </c>
      <c r="BM49" s="169">
        <f>VLOOKUP(BT49,tabber!$B$335:$N$358,9,FALSE)</f>
        <v>0</v>
      </c>
      <c r="BN49" s="166">
        <f>VLOOKUP(BT49,tabber!$B$335:$N$358,6,FALSE)</f>
        <v>0</v>
      </c>
      <c r="BO49" s="114"/>
      <c r="BP49" s="145"/>
      <c r="BQ49" s="151"/>
      <c r="BR49" s="152">
        <f>IF(VLOOKUP(RIGHT(BT49,1),$DM$69:$DN$74,2,FALSE),1,IF(COUNTA(BF47:BF50)&lt;&gt;4,0,-1))</f>
        <v>0</v>
      </c>
      <c r="BS49" s="57">
        <f>IF(VLOOKUP(RIGHT(BT49,1),$DM$122:$DN$127,2,FALSE),1,IF(COUNTA(BP47:BP50)&lt;&gt;4,0,-1))</f>
        <v>0</v>
      </c>
      <c r="BT49" t="s">
        <v>623</v>
      </c>
      <c r="BU49" t="str">
        <f>VLOOKUP(BZ49,daten!$T$8:$U$31,2,FALSE)</f>
        <v>ITA</v>
      </c>
      <c r="BV49">
        <f>IF(ISERROR(MATCH(BF49,BU47:BU50,0)),0,IF(COUNTIF(BF47:BF50,"="&amp;BF49)&gt;1,0,MATCH(BF49,kuerzel,0)))</f>
        <v>0</v>
      </c>
      <c r="BW49">
        <f>IF(ISERROR(MATCH(BP49,BU47:BU50,0)),0,IF(COUNTIF(BP47:BP50,"="&amp;BP49)&gt;1,0,MATCH(BP49,kuerzel,0)))</f>
        <v>0</v>
      </c>
      <c r="BX49" t="e">
        <f>MATCH(AT49,tabbermsp!$H$392:$K$392,0)</f>
        <v>#N/A</v>
      </c>
      <c r="BY49">
        <f>MATCH(BI49,tabber!$H$392:$K$392,0)</f>
        <v>3</v>
      </c>
      <c r="BZ49" t="s">
        <v>623</v>
      </c>
      <c r="CA49" s="153">
        <f>VLOOKUP(BZ49,tabbermsp!$B$335:$O$358,14,FALSE)</f>
        <v>1</v>
      </c>
      <c r="CB49" s="91" t="str">
        <f>INDEX(daten!$G$59:$G$94,CC49)</f>
        <v>F-1</v>
      </c>
      <c r="CC49" s="59">
        <v>11</v>
      </c>
      <c r="CD49" t="b">
        <v>0</v>
      </c>
      <c r="CE49" s="57" t="str">
        <f t="shared" si="18"/>
        <v/>
      </c>
      <c r="CF49" s="57" t="str">
        <f t="shared" si="19"/>
        <v/>
      </c>
      <c r="CG49" s="57">
        <f t="shared" si="20"/>
        <v>0</v>
      </c>
      <c r="CH49" s="57">
        <f t="shared" si="21"/>
        <v>0</v>
      </c>
      <c r="CI49" s="57">
        <f t="shared" si="22"/>
        <v>0</v>
      </c>
      <c r="CJ49" s="57">
        <v>0</v>
      </c>
      <c r="CK49" s="57">
        <v>0</v>
      </c>
      <c r="CL49" s="57">
        <v>0</v>
      </c>
      <c r="CM49" s="57"/>
      <c r="CN49" s="57"/>
      <c r="CO49" s="57">
        <v>0</v>
      </c>
      <c r="CP49" s="57">
        <v>0</v>
      </c>
      <c r="CQ49" s="57">
        <v>0</v>
      </c>
      <c r="CR49" s="57">
        <v>0</v>
      </c>
      <c r="CS49" s="57">
        <v>0</v>
      </c>
      <c r="CT49" s="57">
        <v>0</v>
      </c>
      <c r="CV49">
        <f t="shared" si="23"/>
        <v>0</v>
      </c>
      <c r="CX49" t="b">
        <f t="shared" si="24"/>
        <v>0</v>
      </c>
      <c r="CY49" t="b">
        <f t="shared" si="25"/>
        <v>0</v>
      </c>
      <c r="CZ49" t="b">
        <v>0</v>
      </c>
      <c r="DA49">
        <f t="shared" si="26"/>
        <v>0</v>
      </c>
      <c r="DB49">
        <f>SUM($DA$37:$DA49)</f>
        <v>0</v>
      </c>
      <c r="DC49" t="b">
        <f t="shared" si="27"/>
        <v>0</v>
      </c>
      <c r="DE49">
        <v>1</v>
      </c>
      <c r="DF49" s="137">
        <v>1</v>
      </c>
      <c r="DG49" s="137">
        <v>10</v>
      </c>
      <c r="DH49">
        <f t="shared" si="28"/>
        <v>1</v>
      </c>
      <c r="DI49" s="138" t="str">
        <f t="shared" si="29"/>
        <v/>
      </c>
      <c r="DJ49" s="138" t="str">
        <f t="shared" si="30"/>
        <v/>
      </c>
      <c r="DL49" t="s">
        <v>613</v>
      </c>
      <c r="DM49" t="s">
        <v>634</v>
      </c>
      <c r="DN49">
        <f t="shared" si="44"/>
        <v>0</v>
      </c>
      <c r="DO49">
        <f>IF(DN49=0,0,INDEX(daten!$N$9:$N$32,DN49))</f>
        <v>0</v>
      </c>
      <c r="DQ49" t="s">
        <v>635</v>
      </c>
      <c r="DR49" s="59">
        <v>18</v>
      </c>
      <c r="DT49" s="154" t="str">
        <f t="shared" si="48"/>
        <v/>
      </c>
      <c r="DU49" s="154" t="str">
        <f t="shared" si="45"/>
        <v/>
      </c>
      <c r="DV49" s="155" t="str">
        <f t="shared" si="49"/>
        <v/>
      </c>
      <c r="DW49" s="155" t="str">
        <f t="shared" si="50"/>
        <v/>
      </c>
      <c r="ED49" s="57">
        <v>0</v>
      </c>
      <c r="EE49" s="57">
        <f t="shared" si="31"/>
        <v>-1</v>
      </c>
      <c r="EF49" s="57"/>
      <c r="EG49" s="57">
        <f t="shared" ca="1" si="32"/>
        <v>0</v>
      </c>
      <c r="EH49" s="57">
        <f t="shared" ca="1" si="33"/>
        <v>0</v>
      </c>
      <c r="EI49" s="57">
        <f t="shared" ca="1" si="34"/>
        <v>0</v>
      </c>
      <c r="EJ49" s="57">
        <f t="shared" ca="1" si="35"/>
        <v>-1</v>
      </c>
      <c r="EK49" s="57">
        <v>0</v>
      </c>
      <c r="EM49" s="57">
        <f t="shared" si="36"/>
        <v>0</v>
      </c>
      <c r="EN49" s="57">
        <f t="shared" si="37"/>
        <v>0</v>
      </c>
      <c r="EO49" s="57">
        <f t="shared" si="38"/>
        <v>0</v>
      </c>
      <c r="EP49" s="57">
        <f>IF($CS$4&lt;&gt;3,0,IF(AND(CH49=INDEX(settings!$I$19:$P$19,1),LEN(CP49)=0),0,IF(EXACT(CH49,CP49),0,1)))</f>
        <v>0</v>
      </c>
      <c r="EQ49" s="57">
        <f>IF(settings!$C$1100,0,IF(CI49=CQ49,0,1))</f>
        <v>0</v>
      </c>
      <c r="ER49" s="57">
        <f t="shared" si="39"/>
        <v>0</v>
      </c>
      <c r="ES49" s="57">
        <f t="shared" si="40"/>
        <v>0</v>
      </c>
      <c r="ET49" s="57">
        <f t="shared" si="41"/>
        <v>0</v>
      </c>
      <c r="EU49" s="57">
        <f t="shared" si="42"/>
        <v>0</v>
      </c>
      <c r="FB49">
        <f>IF(DH49&lt;FH37,FH37,DH49)</f>
        <v>1</v>
      </c>
      <c r="FC49">
        <v>11</v>
      </c>
      <c r="FD49">
        <f t="shared" si="46"/>
        <v>1</v>
      </c>
      <c r="FE49">
        <f>IF(CD49,CP49,IF(FB49&gt;FI37,FI37,FB49))</f>
        <v>1</v>
      </c>
      <c r="FG49">
        <f t="shared" si="47"/>
        <v>1</v>
      </c>
      <c r="FH49">
        <f>FG37-SUM(FG38:FG49)-SUM(FD50:FD51)+FH37</f>
        <v>69</v>
      </c>
      <c r="FI49" t="b">
        <f t="shared" si="43"/>
        <v>1</v>
      </c>
    </row>
    <row r="50" spans="3:165" ht="11.25" customHeight="1" x14ac:dyDescent="0.2">
      <c r="C50" s="91">
        <v>12</v>
      </c>
      <c r="Q50">
        <v>12</v>
      </c>
      <c r="S50" s="70"/>
      <c r="T50" s="120" t="str">
        <f t="shared" si="17"/>
        <v/>
      </c>
      <c r="U50" s="534">
        <v>45461.875</v>
      </c>
      <c r="V50" s="535"/>
      <c r="W50" s="536">
        <v>0.875</v>
      </c>
      <c r="X50" s="537" t="s">
        <v>1190</v>
      </c>
      <c r="Y50" s="537"/>
      <c r="Z50" s="538" t="s">
        <v>632</v>
      </c>
      <c r="AA50" s="493" t="s">
        <v>189</v>
      </c>
      <c r="AB50" s="493"/>
      <c r="AC50" s="121" t="s">
        <v>583</v>
      </c>
      <c r="AD50" s="494" t="s">
        <v>187</v>
      </c>
      <c r="AE50" s="494"/>
      <c r="AF50" s="122"/>
      <c r="AG50" s="123" t="s">
        <v>583</v>
      </c>
      <c r="AH50" s="124"/>
      <c r="AI50" s="125"/>
      <c r="AJ50" s="125"/>
      <c r="AK50" s="384" t="s">
        <v>411</v>
      </c>
      <c r="AL50" s="126"/>
      <c r="AM50" s="70"/>
      <c r="AN50" s="127"/>
      <c r="AO50" s="128" t="s">
        <v>583</v>
      </c>
      <c r="AP50" s="129"/>
      <c r="AQ50" s="70"/>
      <c r="AR50" s="70"/>
      <c r="AS50" s="156" t="str">
        <f>IF(CA50=CA49,"",CA50)</f>
        <v/>
      </c>
      <c r="AT50" s="170" t="str">
        <f>VLOOKUP(BT50,tabbermsp!$B$335:$N$358,4,FALSE)</f>
        <v>ALB</v>
      </c>
      <c r="AU50" s="170"/>
      <c r="AV50" s="170"/>
      <c r="AW50" s="170">
        <f>VLOOKUP(BT50,tabbermsp!$B$335:$N$358,7,FALSE)</f>
        <v>0</v>
      </c>
      <c r="AX50" s="171" t="s">
        <v>583</v>
      </c>
      <c r="AY50" s="170">
        <f>VLOOKUP(BT50,tabbermsp!$B$335:$N$358,8,FALSE)</f>
        <v>0</v>
      </c>
      <c r="AZ50" s="172"/>
      <c r="BA50" s="173">
        <f>VLOOKUP(BT50,tabbermsp!$B$335:$N$358,9,FALSE)</f>
        <v>0</v>
      </c>
      <c r="BB50" s="170"/>
      <c r="BC50" s="170">
        <f>VLOOKUP(BT50,tabbermsp!$B$335:$N$358,6,FALSE)</f>
        <v>0</v>
      </c>
      <c r="BD50" s="170"/>
      <c r="BE50" s="114"/>
      <c r="BF50" s="145"/>
      <c r="BG50" s="114"/>
      <c r="BH50" s="146" t="str">
        <f>IF(VLOOKUP(BZ50,tabber!$B$335:$O$358,14,FALSE)=VLOOKUP(BZ49,tabber!$B$335:$O$358,14,FALSE),"",VLOOKUP(BZ50,tabber!$B$335:$O$358,14,FALSE))&amp;" "</f>
        <v xml:space="preserve"> </v>
      </c>
      <c r="BI50" s="174" t="str">
        <f>VLOOKUP(BT50,tabber!$B$335:$N$358,4,FALSE)</f>
        <v>ALB</v>
      </c>
      <c r="BJ50" s="175">
        <f>VLOOKUP(BT50,tabber!$B$335:$N$358,7,FALSE)</f>
        <v>0</v>
      </c>
      <c r="BK50" s="174" t="s">
        <v>583</v>
      </c>
      <c r="BL50" s="176">
        <f>VLOOKUP(BT50,tabber!$B$335:$N$358,8,FALSE)</f>
        <v>0</v>
      </c>
      <c r="BM50" s="177">
        <f>VLOOKUP(BT50,tabber!$B$335:$N$358,9,FALSE)</f>
        <v>0</v>
      </c>
      <c r="BN50" s="174">
        <f>VLOOKUP(BT50,tabber!$B$335:$N$358,6,FALSE)</f>
        <v>0</v>
      </c>
      <c r="BO50" s="114"/>
      <c r="BP50" s="145"/>
      <c r="BQ50" s="114"/>
      <c r="BR50" s="152">
        <f>IF(VLOOKUP(RIGHT(BT50,1),$DM$69:$DN$74,2,FALSE),1,IF(COUNTA(BF47:BF50)&lt;&gt;4,0,-1))</f>
        <v>0</v>
      </c>
      <c r="BS50" s="57">
        <f>IF(VLOOKUP(RIGHT(BT50,1),$DM$122:$DN$127,2,FALSE),1,IF(COUNTA(BP47:BP50)&lt;&gt;4,0,-1))</f>
        <v>0</v>
      </c>
      <c r="BT50" t="s">
        <v>626</v>
      </c>
      <c r="BU50" t="str">
        <f>VLOOKUP(BZ50,daten!$T$8:$U$31,2,FALSE)</f>
        <v>ALB</v>
      </c>
      <c r="BV50">
        <f>IF(ISERROR(MATCH(BF50,BU47:BU50,0)),0,IF(COUNTIF(BF47:BF50,"="&amp;BF50)&gt;1,0,MATCH(BF50,kuerzel,0)))</f>
        <v>0</v>
      </c>
      <c r="BW50">
        <f>IF(ISERROR(MATCH(BP50,BU47:BU50,0)),0,IF(COUNTIF(BP47:BP50,"="&amp;BP50)&gt;1,0,MATCH(BP50,kuerzel,0)))</f>
        <v>0</v>
      </c>
      <c r="BZ50" t="s">
        <v>626</v>
      </c>
      <c r="CA50" s="153">
        <f>VLOOKUP(BZ50,tabbermsp!$B$335:$O$358,14,FALSE)</f>
        <v>1</v>
      </c>
      <c r="CB50" s="91" t="str">
        <f>INDEX(daten!$G$59:$G$94,CC50)</f>
        <v>F-2</v>
      </c>
      <c r="CC50" s="59">
        <v>12</v>
      </c>
      <c r="CD50" t="b">
        <v>0</v>
      </c>
      <c r="CE50" s="57" t="str">
        <f t="shared" si="18"/>
        <v/>
      </c>
      <c r="CF50" s="57" t="str">
        <f t="shared" si="19"/>
        <v/>
      </c>
      <c r="CG50" s="57">
        <f t="shared" si="20"/>
        <v>0</v>
      </c>
      <c r="CH50" s="57">
        <f t="shared" si="21"/>
        <v>0</v>
      </c>
      <c r="CI50" s="57">
        <f t="shared" si="22"/>
        <v>0</v>
      </c>
      <c r="CJ50" s="57">
        <v>0</v>
      </c>
      <c r="CK50" s="57">
        <v>0</v>
      </c>
      <c r="CL50" s="57">
        <v>0</v>
      </c>
      <c r="CM50" s="57"/>
      <c r="CN50" s="57"/>
      <c r="CO50" s="57">
        <v>0</v>
      </c>
      <c r="CP50" s="57">
        <v>0</v>
      </c>
      <c r="CQ50" s="57">
        <v>0</v>
      </c>
      <c r="CR50" s="57">
        <v>0</v>
      </c>
      <c r="CS50" s="57">
        <v>0</v>
      </c>
      <c r="CT50" s="57">
        <v>0</v>
      </c>
      <c r="CV50">
        <f t="shared" si="23"/>
        <v>0</v>
      </c>
      <c r="CX50" t="b">
        <f t="shared" si="24"/>
        <v>0</v>
      </c>
      <c r="CY50" t="b">
        <f t="shared" si="25"/>
        <v>0</v>
      </c>
      <c r="CZ50" t="b">
        <v>0</v>
      </c>
      <c r="DA50">
        <f t="shared" si="26"/>
        <v>0</v>
      </c>
      <c r="DB50">
        <f>SUM($DA$37:$DA50)</f>
        <v>0</v>
      </c>
      <c r="DC50" t="b">
        <f t="shared" si="27"/>
        <v>0</v>
      </c>
      <c r="DE50">
        <v>1</v>
      </c>
      <c r="DF50" s="137">
        <v>1</v>
      </c>
      <c r="DG50" s="137">
        <v>10</v>
      </c>
      <c r="DH50">
        <f t="shared" si="28"/>
        <v>1</v>
      </c>
      <c r="DI50" s="138" t="str">
        <f t="shared" si="29"/>
        <v/>
      </c>
      <c r="DJ50" s="138" t="str">
        <f t="shared" si="30"/>
        <v/>
      </c>
      <c r="DL50" t="s">
        <v>613</v>
      </c>
      <c r="DM50" t="s">
        <v>639</v>
      </c>
      <c r="DN50">
        <f t="shared" si="44"/>
        <v>0</v>
      </c>
      <c r="DO50">
        <f>IF(DN50=0,0,INDEX(daten!$N$9:$N$32,DN50))</f>
        <v>0</v>
      </c>
      <c r="DQ50" t="s">
        <v>640</v>
      </c>
      <c r="DR50" s="59">
        <v>27</v>
      </c>
      <c r="DT50" s="154" t="str">
        <f t="shared" si="48"/>
        <v/>
      </c>
      <c r="DU50" s="154" t="str">
        <f t="shared" si="45"/>
        <v/>
      </c>
      <c r="DV50" s="155" t="str">
        <f t="shared" si="49"/>
        <v/>
      </c>
      <c r="DW50" s="155" t="str">
        <f t="shared" si="50"/>
        <v/>
      </c>
      <c r="ED50" s="57">
        <v>0</v>
      </c>
      <c r="EE50" s="57">
        <f t="shared" si="31"/>
        <v>-1</v>
      </c>
      <c r="EF50" s="57"/>
      <c r="EG50" s="57">
        <f t="shared" ca="1" si="32"/>
        <v>0</v>
      </c>
      <c r="EH50" s="57">
        <f t="shared" ca="1" si="33"/>
        <v>0</v>
      </c>
      <c r="EI50" s="57">
        <f t="shared" ca="1" si="34"/>
        <v>0</v>
      </c>
      <c r="EJ50" s="57">
        <f t="shared" ca="1" si="35"/>
        <v>-1</v>
      </c>
      <c r="EK50" s="57">
        <v>0</v>
      </c>
      <c r="EM50" s="57">
        <f t="shared" si="36"/>
        <v>0</v>
      </c>
      <c r="EN50" s="57">
        <f t="shared" si="37"/>
        <v>0</v>
      </c>
      <c r="EO50" s="57">
        <f t="shared" si="38"/>
        <v>0</v>
      </c>
      <c r="EP50" s="57">
        <f>IF($CS$4&lt;&gt;3,0,IF(AND(CH50=INDEX(settings!$I$19:$P$19,1),LEN(CP50)=0),0,IF(EXACT(CH50,CP50),0,1)))</f>
        <v>0</v>
      </c>
      <c r="EQ50" s="57">
        <f>IF(settings!$C$1100,0,IF(CI50=CQ50,0,1))</f>
        <v>0</v>
      </c>
      <c r="ER50" s="57">
        <f t="shared" si="39"/>
        <v>0</v>
      </c>
      <c r="ES50" s="57">
        <f t="shared" si="40"/>
        <v>0</v>
      </c>
      <c r="ET50" s="57">
        <f t="shared" si="41"/>
        <v>0</v>
      </c>
      <c r="EU50" s="57">
        <f t="shared" si="42"/>
        <v>0</v>
      </c>
      <c r="FB50">
        <f>IF(DH50&lt;FH37,FH37,DH50)</f>
        <v>1</v>
      </c>
      <c r="FC50">
        <v>12</v>
      </c>
      <c r="FD50">
        <f t="shared" si="46"/>
        <v>1</v>
      </c>
      <c r="FE50">
        <f>IF(CD50,CP50,IF(FB50&gt;FI37,FI37,FB50))</f>
        <v>1</v>
      </c>
      <c r="FG50">
        <f t="shared" si="47"/>
        <v>1</v>
      </c>
      <c r="FH50">
        <f>FG37-SUM(FG38:FG50)-SUM(FD51:FD51)+FH37</f>
        <v>69</v>
      </c>
      <c r="FI50" t="b">
        <f t="shared" si="43"/>
        <v>1</v>
      </c>
    </row>
    <row r="51" spans="3:165" ht="6.9" customHeight="1" thickBot="1" x14ac:dyDescent="0.25">
      <c r="C51" s="91"/>
      <c r="S51" s="70"/>
      <c r="T51" s="178"/>
      <c r="U51" s="110"/>
      <c r="V51" s="179"/>
      <c r="W51" s="179"/>
      <c r="X51" s="179"/>
      <c r="Y51" s="179"/>
      <c r="Z51" s="179"/>
      <c r="AA51" s="180"/>
      <c r="AB51" s="180"/>
      <c r="AC51" s="179"/>
      <c r="AD51" s="181"/>
      <c r="AE51" s="181"/>
      <c r="AF51" s="106"/>
      <c r="AG51" s="102"/>
      <c r="AH51" s="182"/>
      <c r="AI51" s="110"/>
      <c r="AJ51" s="110"/>
      <c r="AK51" s="110"/>
      <c r="AL51" s="183"/>
      <c r="AM51" s="70"/>
      <c r="AN51" s="70"/>
      <c r="AO51" s="70"/>
      <c r="AP51" s="70"/>
      <c r="AQ51" s="70"/>
      <c r="AR51" s="70"/>
      <c r="AS51" s="114"/>
      <c r="AT51" s="114"/>
      <c r="AU51" s="114"/>
      <c r="AV51" s="114"/>
      <c r="AW51" s="114"/>
      <c r="AX51" s="114"/>
      <c r="AY51" s="114"/>
      <c r="AZ51" s="114"/>
      <c r="BA51" s="114"/>
      <c r="BB51" s="114"/>
      <c r="BC51" s="114"/>
      <c r="BD51" s="114"/>
      <c r="BE51" s="114"/>
      <c r="BF51" s="114"/>
      <c r="BG51" s="114"/>
      <c r="BH51" s="114"/>
      <c r="BI51" s="114"/>
      <c r="BJ51" s="114"/>
      <c r="BK51" s="114"/>
      <c r="BL51" s="114"/>
      <c r="BM51" s="114"/>
      <c r="BN51" s="114"/>
      <c r="BO51" s="114"/>
      <c r="BP51" s="133"/>
      <c r="BQ51" s="114"/>
      <c r="BR51" s="70"/>
      <c r="CB51" s="91"/>
      <c r="DF51" s="137"/>
      <c r="DG51" s="137"/>
      <c r="DL51" t="s">
        <v>613</v>
      </c>
      <c r="DM51" t="s">
        <v>641</v>
      </c>
      <c r="DN51">
        <f t="shared" si="44"/>
        <v>0</v>
      </c>
      <c r="DO51">
        <f>IF(DN51=0,0,INDEX(daten!$N$9:$N$32,DN51))</f>
        <v>0</v>
      </c>
      <c r="DQ51" t="s">
        <v>642</v>
      </c>
      <c r="DR51" s="59">
        <v>28</v>
      </c>
      <c r="DT51" s="154" t="str">
        <f t="shared" si="48"/>
        <v/>
      </c>
      <c r="DU51" s="154" t="str">
        <f t="shared" si="45"/>
        <v/>
      </c>
      <c r="DV51" s="155" t="str">
        <f t="shared" si="49"/>
        <v/>
      </c>
      <c r="DW51" s="155" t="str">
        <f t="shared" si="50"/>
        <v/>
      </c>
      <c r="ED51" s="57"/>
      <c r="EE51" s="57"/>
      <c r="EF51" s="57"/>
      <c r="EG51" s="57"/>
      <c r="EH51" s="57"/>
      <c r="EI51" s="57"/>
      <c r="EJ51" s="57"/>
      <c r="EK51" s="57"/>
      <c r="EM51" s="57"/>
      <c r="EN51" s="57"/>
      <c r="EO51" s="57"/>
      <c r="EP51" s="57"/>
      <c r="EQ51" s="57"/>
      <c r="ER51" s="57"/>
      <c r="ES51" s="57"/>
      <c r="ET51" s="57"/>
      <c r="EU51" s="57"/>
    </row>
    <row r="52" spans="3:165" ht="3" customHeight="1" x14ac:dyDescent="0.2">
      <c r="C52" s="91"/>
      <c r="S52" s="70"/>
      <c r="T52" s="99"/>
      <c r="U52" s="184"/>
      <c r="V52" s="185"/>
      <c r="W52" s="185"/>
      <c r="X52" s="185"/>
      <c r="Y52" s="185"/>
      <c r="Z52" s="185"/>
      <c r="AA52" s="186"/>
      <c r="AB52" s="186"/>
      <c r="AC52" s="185"/>
      <c r="AD52" s="187"/>
      <c r="AE52" s="187"/>
      <c r="AF52" s="188"/>
      <c r="AG52" s="189"/>
      <c r="AH52" s="190"/>
      <c r="AI52" s="184"/>
      <c r="AJ52" s="184"/>
      <c r="AK52" s="184"/>
      <c r="AL52" s="191"/>
      <c r="AM52" s="70"/>
      <c r="AN52" s="70"/>
      <c r="AO52" s="70"/>
      <c r="AP52" s="70"/>
      <c r="AQ52" s="70"/>
      <c r="AR52" s="70"/>
      <c r="AS52" s="114"/>
      <c r="AT52" s="114"/>
      <c r="AU52" s="114"/>
      <c r="AV52" s="114"/>
      <c r="AW52" s="114"/>
      <c r="AX52" s="114"/>
      <c r="AY52" s="114"/>
      <c r="AZ52" s="114"/>
      <c r="BA52" s="114"/>
      <c r="BB52" s="114"/>
      <c r="BC52" s="114"/>
      <c r="BD52" s="114"/>
      <c r="BE52" s="114"/>
      <c r="BF52" s="114"/>
      <c r="BG52" s="114"/>
      <c r="BH52" s="114"/>
      <c r="BI52" s="114"/>
      <c r="BJ52" s="114"/>
      <c r="BK52" s="114"/>
      <c r="BL52" s="114"/>
      <c r="BM52" s="114"/>
      <c r="BN52" s="114"/>
      <c r="BO52" s="114"/>
      <c r="BP52" s="133"/>
      <c r="BQ52" s="114"/>
      <c r="BR52" s="70"/>
      <c r="CB52" s="91"/>
      <c r="DF52" s="137"/>
      <c r="DG52" s="137"/>
      <c r="DL52" t="s">
        <v>608</v>
      </c>
      <c r="DM52" t="s">
        <v>643</v>
      </c>
      <c r="DN52">
        <f t="shared" si="44"/>
        <v>0</v>
      </c>
      <c r="DO52">
        <f>IF(DN52=0,0,INDEX(daten!$N$9:$N$32,DN52))</f>
        <v>0</v>
      </c>
      <c r="DQ52" t="s">
        <v>644</v>
      </c>
      <c r="DR52" s="59">
        <v>6</v>
      </c>
      <c r="DT52" s="154" t="str">
        <f t="shared" si="48"/>
        <v/>
      </c>
      <c r="DU52" s="154" t="str">
        <f t="shared" si="45"/>
        <v/>
      </c>
      <c r="DV52" s="155" t="str">
        <f t="shared" si="49"/>
        <v/>
      </c>
      <c r="DW52" s="155" t="str">
        <f t="shared" si="50"/>
        <v/>
      </c>
      <c r="ED52" s="57"/>
      <c r="EE52" s="57"/>
      <c r="EF52" s="57"/>
      <c r="EG52" s="57"/>
      <c r="EH52" s="57"/>
      <c r="EI52" s="57"/>
      <c r="EJ52" s="57"/>
      <c r="EK52" s="57"/>
      <c r="EM52" s="57"/>
      <c r="EN52" s="57"/>
      <c r="EO52" s="57"/>
      <c r="EP52" s="57"/>
      <c r="EQ52" s="57"/>
      <c r="ER52" s="57"/>
      <c r="ES52" s="57"/>
      <c r="ET52" s="57"/>
      <c r="EU52" s="57"/>
    </row>
    <row r="53" spans="3:165" ht="15" customHeight="1" x14ac:dyDescent="0.2">
      <c r="C53" s="91"/>
      <c r="S53" s="70"/>
      <c r="T53" s="99"/>
      <c r="U53" s="100" t="s">
        <v>645</v>
      </c>
      <c r="V53" s="101"/>
      <c r="W53" s="101"/>
      <c r="X53" s="101"/>
      <c r="Y53" s="101"/>
      <c r="Z53" s="101"/>
      <c r="AA53" s="101"/>
      <c r="AB53" s="101"/>
      <c r="AC53" s="101"/>
      <c r="AD53" s="101"/>
      <c r="AE53" s="101"/>
      <c r="AF53" s="102"/>
      <c r="AG53" s="102"/>
      <c r="AH53" s="102"/>
      <c r="AI53" s="102"/>
      <c r="AJ53" s="102"/>
      <c r="AK53" s="102"/>
      <c r="AL53" s="103"/>
      <c r="AM53" s="70"/>
      <c r="AN53" s="70"/>
      <c r="AO53" s="70"/>
      <c r="AP53" s="70"/>
      <c r="AQ53" s="70"/>
      <c r="AR53" s="70"/>
      <c r="AS53" s="114"/>
      <c r="AT53" s="114"/>
      <c r="AU53" s="114"/>
      <c r="AV53" s="114"/>
      <c r="AW53" s="114"/>
      <c r="AX53" s="114"/>
      <c r="AY53" s="114"/>
      <c r="AZ53" s="114"/>
      <c r="BA53" s="114"/>
      <c r="BB53" s="114"/>
      <c r="BC53" s="114"/>
      <c r="BD53" s="114"/>
      <c r="BE53" s="114"/>
      <c r="BF53" s="114"/>
      <c r="BG53" s="114"/>
      <c r="BH53" s="114"/>
      <c r="BI53" s="114"/>
      <c r="BJ53" s="114"/>
      <c r="BK53" s="114"/>
      <c r="BL53" s="114"/>
      <c r="BM53" s="114"/>
      <c r="BN53" s="114"/>
      <c r="BO53" s="114"/>
      <c r="BP53" s="133"/>
      <c r="BQ53" s="114"/>
      <c r="BR53" s="70"/>
      <c r="CB53" s="91"/>
      <c r="DF53" s="137"/>
      <c r="DG53" s="137"/>
      <c r="DL53" t="s">
        <v>608</v>
      </c>
      <c r="DM53" t="s">
        <v>646</v>
      </c>
      <c r="DN53">
        <f t="shared" si="44"/>
        <v>0</v>
      </c>
      <c r="DO53">
        <f>IF(DN53=0,0,INDEX(daten!$N$9:$N$32,DN53))</f>
        <v>0</v>
      </c>
      <c r="DQ53" t="s">
        <v>647</v>
      </c>
      <c r="DR53" s="59">
        <v>7</v>
      </c>
      <c r="DT53" s="154" t="str">
        <f t="shared" si="48"/>
        <v/>
      </c>
      <c r="DU53" s="154" t="str">
        <f t="shared" si="45"/>
        <v/>
      </c>
      <c r="DV53" s="155" t="str">
        <f t="shared" si="49"/>
        <v/>
      </c>
      <c r="DW53" s="155" t="str">
        <f t="shared" si="50"/>
        <v/>
      </c>
      <c r="ED53" s="57"/>
      <c r="EE53" s="57"/>
      <c r="EF53" s="57"/>
      <c r="EG53" s="57"/>
      <c r="EH53" s="57"/>
      <c r="EI53" s="57"/>
      <c r="EJ53" s="57"/>
      <c r="EK53" s="57"/>
      <c r="EM53" s="57"/>
      <c r="EN53" s="57"/>
      <c r="EO53" s="57"/>
      <c r="EP53" s="57"/>
      <c r="EQ53" s="57"/>
      <c r="ER53" s="57"/>
      <c r="ES53" s="57"/>
      <c r="ET53" s="57"/>
      <c r="EU53" s="57"/>
      <c r="FG53" s="57"/>
      <c r="FH53" s="57"/>
      <c r="FI53" s="57"/>
    </row>
    <row r="54" spans="3:165" ht="11.25" hidden="1" customHeight="1" thickBot="1" x14ac:dyDescent="0.25">
      <c r="C54" s="91"/>
      <c r="S54" s="70"/>
      <c r="T54" s="99"/>
      <c r="U54" s="481" t="s">
        <v>469</v>
      </c>
      <c r="V54" s="481"/>
      <c r="W54" s="482"/>
      <c r="X54" s="104">
        <f>INDEX(settings!$I$18:$P$18,DE58)</f>
        <v>80</v>
      </c>
      <c r="Y54" s="481" t="s">
        <v>470</v>
      </c>
      <c r="Z54" s="482"/>
      <c r="AA54" s="105">
        <f>DF58</f>
        <v>1</v>
      </c>
      <c r="AB54" s="104">
        <f>DG58</f>
        <v>10</v>
      </c>
      <c r="AC54" s="481" t="s">
        <v>471</v>
      </c>
      <c r="AD54" s="482"/>
      <c r="AE54" s="104">
        <f>X54-AJ54</f>
        <v>68</v>
      </c>
      <c r="AF54" s="483"/>
      <c r="AG54" s="484"/>
      <c r="AH54" s="484"/>
      <c r="AI54" s="102"/>
      <c r="AJ54" s="107">
        <f>SUM(FG58:FG69)</f>
        <v>12</v>
      </c>
      <c r="AK54" s="101"/>
      <c r="AL54" s="108"/>
      <c r="AM54" s="70"/>
      <c r="AN54" s="70"/>
      <c r="AO54" s="70"/>
      <c r="AP54" s="70"/>
      <c r="AQ54" s="70"/>
      <c r="AR54" s="70"/>
      <c r="AS54" s="114"/>
      <c r="AT54" s="114"/>
      <c r="AU54" s="114"/>
      <c r="AV54" s="114"/>
      <c r="AW54" s="114"/>
      <c r="AX54" s="114"/>
      <c r="AY54" s="114"/>
      <c r="AZ54" s="114"/>
      <c r="BA54" s="114"/>
      <c r="BB54" s="114"/>
      <c r="BC54" s="114"/>
      <c r="BD54" s="114"/>
      <c r="BE54" s="114"/>
      <c r="BF54" s="114"/>
      <c r="BG54" s="114"/>
      <c r="BH54" s="114"/>
      <c r="BI54" s="114"/>
      <c r="BJ54" s="114"/>
      <c r="BK54" s="114"/>
      <c r="BL54" s="114"/>
      <c r="BM54" s="114"/>
      <c r="BN54" s="114"/>
      <c r="BO54" s="114"/>
      <c r="BP54" s="133"/>
      <c r="BQ54" s="114"/>
      <c r="BR54" s="70"/>
      <c r="CB54" s="91"/>
      <c r="DF54" s="137"/>
      <c r="DG54" s="137"/>
      <c r="DL54" t="s">
        <v>608</v>
      </c>
      <c r="DM54" t="s">
        <v>648</v>
      </c>
      <c r="DN54">
        <f t="shared" si="44"/>
        <v>0</v>
      </c>
      <c r="DO54">
        <f>IF(DN54=0,0,INDEX(daten!$N$9:$N$32,DN54))</f>
        <v>0</v>
      </c>
      <c r="DQ54" t="s">
        <v>649</v>
      </c>
      <c r="DR54" s="59">
        <v>16</v>
      </c>
      <c r="DT54" s="154" t="str">
        <f t="shared" si="48"/>
        <v/>
      </c>
      <c r="DU54" s="154" t="str">
        <f t="shared" si="45"/>
        <v/>
      </c>
      <c r="DV54" s="155" t="str">
        <f t="shared" si="49"/>
        <v/>
      </c>
      <c r="DW54" s="155" t="str">
        <f t="shared" si="50"/>
        <v/>
      </c>
      <c r="ED54" s="57"/>
      <c r="EE54" s="57"/>
      <c r="EF54" s="57"/>
      <c r="EG54" s="57"/>
      <c r="EH54" s="57"/>
      <c r="EI54" s="57"/>
      <c r="EJ54" s="57"/>
      <c r="EK54" s="57"/>
      <c r="EM54" s="57"/>
      <c r="EN54" s="57"/>
      <c r="EO54" s="57"/>
      <c r="EP54" s="57"/>
      <c r="EQ54" s="57"/>
      <c r="ER54" s="57"/>
      <c r="ES54" s="57"/>
      <c r="ET54" s="57"/>
      <c r="EU54" s="57"/>
      <c r="FG54" s="57"/>
      <c r="FH54" s="57"/>
      <c r="FI54" s="57"/>
    </row>
    <row r="55" spans="3:165" ht="3.9" customHeight="1" x14ac:dyDescent="0.2">
      <c r="C55" s="91"/>
      <c r="S55" s="70"/>
      <c r="T55" s="99"/>
      <c r="U55" s="106"/>
      <c r="V55" s="106"/>
      <c r="W55" s="106"/>
      <c r="X55" s="110"/>
      <c r="Y55" s="106"/>
      <c r="Z55" s="106"/>
      <c r="AA55" s="110"/>
      <c r="AB55" s="110"/>
      <c r="AC55" s="106"/>
      <c r="AD55" s="106"/>
      <c r="AE55" s="110"/>
      <c r="AF55" s="101"/>
      <c r="AG55" s="101"/>
      <c r="AH55" s="101"/>
      <c r="AI55" s="101"/>
      <c r="AJ55" s="101"/>
      <c r="AK55" s="101"/>
      <c r="AL55" s="108"/>
      <c r="AM55" s="70"/>
      <c r="AN55" s="70"/>
      <c r="AO55" s="70"/>
      <c r="AP55" s="70"/>
      <c r="AQ55" s="70"/>
      <c r="AR55" s="70"/>
      <c r="AS55" s="114"/>
      <c r="AT55" s="114"/>
      <c r="AU55" s="114"/>
      <c r="AV55" s="114"/>
      <c r="AW55" s="114"/>
      <c r="AX55" s="114"/>
      <c r="AY55" s="114"/>
      <c r="AZ55" s="114"/>
      <c r="BA55" s="114"/>
      <c r="BB55" s="114"/>
      <c r="BC55" s="114"/>
      <c r="BD55" s="114"/>
      <c r="BE55" s="114"/>
      <c r="BF55" s="114"/>
      <c r="BG55" s="114"/>
      <c r="BH55" s="114"/>
      <c r="BI55" s="114"/>
      <c r="BJ55" s="114"/>
      <c r="BK55" s="114"/>
      <c r="BL55" s="114"/>
      <c r="BM55" s="114"/>
      <c r="BN55" s="114"/>
      <c r="BO55" s="114"/>
      <c r="BP55" s="133"/>
      <c r="BQ55" s="114"/>
      <c r="BR55" s="70"/>
      <c r="CB55" s="91"/>
      <c r="DF55" s="137"/>
      <c r="DG55" s="137"/>
      <c r="DL55" t="s">
        <v>608</v>
      </c>
      <c r="DM55" t="s">
        <v>650</v>
      </c>
      <c r="DN55">
        <f t="shared" si="44"/>
        <v>0</v>
      </c>
      <c r="DO55">
        <f>IF(DN55=0,0,INDEX(daten!$N$9:$N$32,DN55))</f>
        <v>0</v>
      </c>
      <c r="DQ55" t="s">
        <v>651</v>
      </c>
      <c r="DR55" s="59">
        <v>17</v>
      </c>
      <c r="DT55" s="154" t="str">
        <f t="shared" si="48"/>
        <v/>
      </c>
      <c r="DU55" s="154" t="str">
        <f t="shared" si="45"/>
        <v/>
      </c>
      <c r="DV55" s="155" t="str">
        <f t="shared" si="49"/>
        <v/>
      </c>
      <c r="DW55" s="155" t="str">
        <f t="shared" si="50"/>
        <v/>
      </c>
      <c r="ED55" s="57"/>
      <c r="EE55" s="57"/>
      <c r="EF55" s="57"/>
      <c r="EG55" s="57"/>
      <c r="EH55" s="57"/>
      <c r="EI55" s="57"/>
      <c r="EJ55" s="57"/>
      <c r="EK55" s="57"/>
      <c r="EM55" s="57"/>
      <c r="EN55" s="57"/>
      <c r="EO55" s="57"/>
      <c r="EP55" s="57"/>
      <c r="EQ55" s="57"/>
      <c r="ER55" s="57"/>
      <c r="ES55" s="57"/>
      <c r="ET55" s="57"/>
      <c r="EU55" s="57"/>
      <c r="FG55" s="57" t="s">
        <v>482</v>
      </c>
      <c r="FH55" s="57" t="s">
        <v>483</v>
      </c>
      <c r="FI55" s="57" t="s">
        <v>484</v>
      </c>
    </row>
    <row r="56" spans="3:165" x14ac:dyDescent="0.2">
      <c r="C56" s="91"/>
      <c r="S56" s="70"/>
      <c r="T56" s="99"/>
      <c r="U56" s="111" t="str">
        <f>IF($CS$4&lt;&gt;3,"","Für Spiele OHNE Einsatz gilt automatisch der Mindesteinsatz. ROT: Eintrag wird auf min. bzw. max. erlaubte Werte korrigiert.")</f>
        <v/>
      </c>
      <c r="V56" s="101"/>
      <c r="W56" s="101"/>
      <c r="X56" s="101"/>
      <c r="Y56" s="101"/>
      <c r="Z56" s="101"/>
      <c r="AA56" s="101"/>
      <c r="AB56" s="101"/>
      <c r="AC56" s="101"/>
      <c r="AD56" s="101"/>
      <c r="AE56" s="101"/>
      <c r="AF56" s="422" t="s">
        <v>486</v>
      </c>
      <c r="AG56" s="422"/>
      <c r="AH56" s="422"/>
      <c r="AI56" s="102" t="str">
        <f>IF($CS$4=2,"TS","J")</f>
        <v>J</v>
      </c>
      <c r="AJ56" s="102" t="s">
        <v>487</v>
      </c>
      <c r="AK56" s="102" t="s">
        <v>488</v>
      </c>
      <c r="AL56" s="103"/>
      <c r="AM56" s="70"/>
      <c r="AN56" s="71" t="s">
        <v>489</v>
      </c>
      <c r="AO56" s="70"/>
      <c r="AP56" s="70"/>
      <c r="AQ56" s="70"/>
      <c r="AR56" s="70"/>
      <c r="AS56" s="114"/>
      <c r="AT56" s="114"/>
      <c r="AU56" s="114"/>
      <c r="AV56" s="114"/>
      <c r="AW56" s="114"/>
      <c r="AX56" s="114"/>
      <c r="AY56" s="114"/>
      <c r="AZ56" s="114"/>
      <c r="BA56" s="114"/>
      <c r="BB56" s="114"/>
      <c r="BC56" s="114"/>
      <c r="BD56" s="114"/>
      <c r="BE56" s="114"/>
      <c r="BF56" s="114"/>
      <c r="BG56" s="114"/>
      <c r="BH56" s="114"/>
      <c r="BI56" s="114"/>
      <c r="BJ56" s="114"/>
      <c r="BK56" s="114"/>
      <c r="BL56" s="114"/>
      <c r="BM56" s="114"/>
      <c r="BN56" s="114"/>
      <c r="BO56" s="114"/>
      <c r="BP56" s="133"/>
      <c r="BQ56" s="114"/>
      <c r="BR56" s="70"/>
      <c r="CB56" s="91"/>
      <c r="DF56" s="137"/>
      <c r="DG56" s="137"/>
      <c r="DL56" t="s">
        <v>487</v>
      </c>
      <c r="DM56" t="s">
        <v>652</v>
      </c>
      <c r="DN56">
        <f t="shared" si="44"/>
        <v>0</v>
      </c>
      <c r="DO56">
        <f>IF(DN56=0,0,INDEX(daten!$N$9:$N$32,DN56))</f>
        <v>0</v>
      </c>
      <c r="DQ56" t="s">
        <v>653</v>
      </c>
      <c r="DR56" s="59">
        <v>31</v>
      </c>
      <c r="DT56" s="154" t="str">
        <f t="shared" si="48"/>
        <v/>
      </c>
      <c r="DU56" s="154" t="str">
        <f t="shared" si="45"/>
        <v/>
      </c>
      <c r="DV56" s="155" t="str">
        <f t="shared" si="49"/>
        <v/>
      </c>
      <c r="DW56" s="155" t="str">
        <f t="shared" si="50"/>
        <v/>
      </c>
      <c r="FD56">
        <v>2</v>
      </c>
      <c r="FE56" t="s">
        <v>578</v>
      </c>
      <c r="FG56" s="57">
        <f>INDEX(settings!$I$18:$P$20,1,FD56)</f>
        <v>80</v>
      </c>
      <c r="FH56" s="57">
        <f>INDEX(settings!$I$18:$P$20,2,FD56)</f>
        <v>1</v>
      </c>
      <c r="FI56" s="57">
        <f>INDEX(settings!$I$18:$P$20,3,FD56)</f>
        <v>10</v>
      </c>
    </row>
    <row r="57" spans="3:165" ht="3.9" customHeight="1" x14ac:dyDescent="0.2">
      <c r="C57" s="91"/>
      <c r="S57" s="70"/>
      <c r="T57" s="99"/>
      <c r="U57" s="101"/>
      <c r="V57" s="119"/>
      <c r="W57" s="119"/>
      <c r="X57" s="119"/>
      <c r="Y57" s="119"/>
      <c r="Z57" s="119"/>
      <c r="AA57" s="119"/>
      <c r="AB57" s="119"/>
      <c r="AC57" s="119"/>
      <c r="AD57" s="119"/>
      <c r="AE57" s="119"/>
      <c r="AF57" s="119"/>
      <c r="AG57" s="119"/>
      <c r="AH57" s="119"/>
      <c r="AI57" s="119"/>
      <c r="AJ57" s="119"/>
      <c r="AK57" s="119"/>
      <c r="AL57" s="108"/>
      <c r="AM57" s="70"/>
      <c r="AN57" s="70"/>
      <c r="AO57" s="70"/>
      <c r="AP57" s="70"/>
      <c r="AQ57" s="70"/>
      <c r="AR57" s="70"/>
      <c r="AS57" s="114"/>
      <c r="AT57" s="114"/>
      <c r="AU57" s="114"/>
      <c r="AV57" s="114"/>
      <c r="AW57" s="114"/>
      <c r="AX57" s="114"/>
      <c r="AY57" s="114"/>
      <c r="AZ57" s="114"/>
      <c r="BA57" s="114"/>
      <c r="BB57" s="114"/>
      <c r="BC57" s="114"/>
      <c r="BD57" s="114"/>
      <c r="BE57" s="114"/>
      <c r="BF57" s="114"/>
      <c r="BG57" s="114"/>
      <c r="BH57" s="114"/>
      <c r="BI57" s="114"/>
      <c r="BJ57" s="114"/>
      <c r="BK57" s="114"/>
      <c r="BL57" s="114"/>
      <c r="BM57" s="114"/>
      <c r="BN57" s="114"/>
      <c r="BO57" s="114"/>
      <c r="BP57" s="133"/>
      <c r="BQ57" s="114"/>
      <c r="BR57" s="70"/>
      <c r="CB57" s="91"/>
      <c r="DF57" s="137"/>
      <c r="DG57" s="137"/>
      <c r="DL57" t="s">
        <v>487</v>
      </c>
      <c r="DM57" t="s">
        <v>654</v>
      </c>
      <c r="DN57">
        <f t="shared" si="44"/>
        <v>0</v>
      </c>
      <c r="DO57">
        <f>IF(DN57=0,0,INDEX(daten!$N$9:$N$32,DN57))</f>
        <v>0</v>
      </c>
      <c r="DQ57" t="s">
        <v>655</v>
      </c>
      <c r="DR57" s="59">
        <v>32</v>
      </c>
      <c r="DT57" s="154" t="str">
        <f t="shared" si="48"/>
        <v/>
      </c>
      <c r="DU57" s="154" t="str">
        <f t="shared" si="45"/>
        <v/>
      </c>
      <c r="DV57" s="155" t="str">
        <f t="shared" si="49"/>
        <v/>
      </c>
      <c r="DW57" s="155" t="str">
        <f t="shared" si="50"/>
        <v/>
      </c>
      <c r="FB57" t="s">
        <v>580</v>
      </c>
    </row>
    <row r="58" spans="3:165" ht="11.25" customHeight="1" x14ac:dyDescent="0.2">
      <c r="C58" s="91">
        <v>13</v>
      </c>
      <c r="Q58">
        <v>13</v>
      </c>
      <c r="S58" s="70"/>
      <c r="T58" s="120" t="str">
        <f t="shared" ref="T58:T69" si="51">IF(CZ58,zeichen_gesperrt,"")</f>
        <v/>
      </c>
      <c r="U58" s="524">
        <v>45462.625</v>
      </c>
      <c r="V58" s="525"/>
      <c r="W58" s="526">
        <v>0.625</v>
      </c>
      <c r="X58" s="527" t="s">
        <v>1185</v>
      </c>
      <c r="Y58" s="527"/>
      <c r="Z58" s="528" t="s">
        <v>601</v>
      </c>
      <c r="AA58" s="493" t="s">
        <v>1156</v>
      </c>
      <c r="AB58" s="493"/>
      <c r="AC58" s="121" t="s">
        <v>583</v>
      </c>
      <c r="AD58" s="494" t="s">
        <v>545</v>
      </c>
      <c r="AE58" s="494"/>
      <c r="AF58" s="122"/>
      <c r="AG58" s="123" t="s">
        <v>583</v>
      </c>
      <c r="AH58" s="124"/>
      <c r="AI58" s="125"/>
      <c r="AJ58" s="125"/>
      <c r="AK58" s="384" t="s">
        <v>411</v>
      </c>
      <c r="AL58" s="126"/>
      <c r="AM58" s="70"/>
      <c r="AN58" s="127"/>
      <c r="AO58" s="128" t="s">
        <v>583</v>
      </c>
      <c r="AP58" s="129"/>
      <c r="AQ58" s="70"/>
      <c r="AR58" s="519" t="s">
        <v>613</v>
      </c>
      <c r="AS58" s="519"/>
      <c r="AT58" s="130" t="str">
        <f>IF(VLOOKUP(AR58,$DM$69:$DN$76,2,FALSE)," Manuell","")</f>
        <v/>
      </c>
      <c r="AU58" s="131"/>
      <c r="AV58" s="131"/>
      <c r="AW58" s="132" t="s">
        <v>585</v>
      </c>
      <c r="AX58" s="132"/>
      <c r="AY58" s="132"/>
      <c r="AZ58" s="131"/>
      <c r="BA58" s="132" t="s">
        <v>586</v>
      </c>
      <c r="BB58" s="132"/>
      <c r="BC58" s="132" t="s">
        <v>587</v>
      </c>
      <c r="BD58" s="132"/>
      <c r="BE58" s="114"/>
      <c r="BF58" s="133" t="s">
        <v>588</v>
      </c>
      <c r="BG58" s="133" t="s">
        <v>589</v>
      </c>
      <c r="BH58" s="134" t="s">
        <v>656</v>
      </c>
      <c r="BI58" s="135" t="str">
        <f>IF(VLOOKUP(AR58,$DM$122:$DN$129,2,FALSE)," Manuell","")</f>
        <v/>
      </c>
      <c r="BJ58" s="429" t="s">
        <v>585</v>
      </c>
      <c r="BK58" s="429"/>
      <c r="BL58" s="429"/>
      <c r="BM58" s="136" t="s">
        <v>586</v>
      </c>
      <c r="BN58" s="136" t="s">
        <v>587</v>
      </c>
      <c r="BO58" s="114"/>
      <c r="BP58" s="133" t="s">
        <v>588</v>
      </c>
      <c r="BQ58" s="133" t="s">
        <v>589</v>
      </c>
      <c r="BR58" s="70"/>
      <c r="CB58" s="91" t="str">
        <f>INDEX(daten!$G$59:$G$94,CC58)</f>
        <v>B-3</v>
      </c>
      <c r="CC58" s="59">
        <v>13</v>
      </c>
      <c r="CD58" t="b">
        <v>0</v>
      </c>
      <c r="CE58" s="57" t="str">
        <f t="shared" ref="CE58:CE69" si="52">IF(CD58,IF(COUNT(CM58:CN58)=2,ABS(CM58),""),IF(COUNT(AF58,AH58)=2,ABS(AF58),""))</f>
        <v/>
      </c>
      <c r="CF58" s="57" t="str">
        <f t="shared" ref="CF58:CF69" si="53">IF(CD58,IF(COUNT(CM58:CN58)=2,ABS(CN58),""),IF(COUNT(AF58,AH58)=2,ABS(AH58),""))</f>
        <v/>
      </c>
      <c r="CG58" s="57">
        <f t="shared" ref="CG58:CG69" si="54">IF(SUM($CV$58:$CV$69)&gt;0,CO58,IF($CS$4&lt;&gt;1,CO58,IF(AND(LEN(AI58)&gt;0,$CS$4=1,NOT(DC58)),1,0)))</f>
        <v>0</v>
      </c>
      <c r="CH58" s="57">
        <f t="shared" ref="CH58:CH69" si="55">IF(OR(CD58,$CS$4&lt;&gt;3),CP58,ABS(VALUE(FG58)))</f>
        <v>0</v>
      </c>
      <c r="CI58" s="57">
        <f t="shared" ref="CI58:CI69" si="56">IF(OR(CD58,CY58,NOT(CX58)),CQ58,IF(LEN(AK58)=0,0,IF(AK58=$CV$4,1,IF(AK58=$CV$5,2,0))))</f>
        <v>0</v>
      </c>
      <c r="CJ58" s="57">
        <v>0</v>
      </c>
      <c r="CK58" s="57">
        <v>0</v>
      </c>
      <c r="CL58" s="57">
        <v>0</v>
      </c>
      <c r="CO58" s="57">
        <v>0</v>
      </c>
      <c r="CP58" s="57">
        <v>0</v>
      </c>
      <c r="CQ58" s="57">
        <v>0</v>
      </c>
      <c r="CR58" s="57">
        <v>0</v>
      </c>
      <c r="CS58" s="57">
        <v>0</v>
      </c>
      <c r="CT58" s="57">
        <v>0</v>
      </c>
      <c r="CV58">
        <f t="shared" ref="CV58:CV69" si="57">IF(AND(CO58=1,CD58),1,0)</f>
        <v>0</v>
      </c>
      <c r="CX58" t="b">
        <f t="shared" ref="CX58:CX69" si="58">AND($CS$5=1,COUNT(CE58:CF58)=2,CE58&lt;&gt;CF58)</f>
        <v>0</v>
      </c>
      <c r="CY58" t="b">
        <f t="shared" ref="CY58:CY69" si="59">IF(LEN(AK58)=0,FALSE,IF(COUNT(CE58:CF58)&lt;&gt;2,TRUE,IF(AND(CX58,AK58=$CV$4,ABS(CE58-CF58)&gt;=2),FALSE,IF(AND(CX58,AK58=$CV$5,ABS(CE58-CF58)&gt;=3),FALSE,TRUE))))</f>
        <v>0</v>
      </c>
      <c r="CZ58" t="b">
        <v>0</v>
      </c>
      <c r="DA58">
        <f t="shared" ref="DA58:DA69" si="60">IF(SUM($CV$58:$CV$69)&gt;0,CO58,IF(AND(LEN(AI58)&gt;0),1,0))</f>
        <v>0</v>
      </c>
      <c r="DB58">
        <f>SUM($DA$56:$DA58)</f>
        <v>0</v>
      </c>
      <c r="DC58" t="b">
        <f t="shared" ref="DC58:DC69" si="61">OR(AND(DA58=1,OR(DB58&gt;1,$CS$4=3)))</f>
        <v>0</v>
      </c>
      <c r="DE58">
        <v>2</v>
      </c>
      <c r="DF58" s="137">
        <v>1</v>
      </c>
      <c r="DG58" s="137">
        <v>10</v>
      </c>
      <c r="DH58">
        <f t="shared" ref="DH58:DH69" si="62">IF(NOT(ISNUMBER(AJ58)),DF58,IF(LEN(AJ58)=0,DF58,IF(AJ58&gt;DG58,DG58,IF(AJ58&lt;DF58,DF58,AJ58))))</f>
        <v>1</v>
      </c>
      <c r="DI58" s="138" t="str">
        <f t="shared" ref="DI58:DI69" si="63">IF(COUNT(AN58,AP58)&lt;&gt;2,"",AN58)</f>
        <v/>
      </c>
      <c r="DJ58" s="138" t="str">
        <f t="shared" ref="DJ58:DJ69" si="64">IF(COUNT(AN58,AP58)&lt;&gt;2,"",AP58)</f>
        <v/>
      </c>
      <c r="DL58" t="s">
        <v>487</v>
      </c>
      <c r="DM58" t="s">
        <v>657</v>
      </c>
      <c r="DN58">
        <f t="shared" si="44"/>
        <v>0</v>
      </c>
      <c r="DO58">
        <f>IF(DN58=0,0,INDEX(daten!$N$9:$N$32,DN58))</f>
        <v>0</v>
      </c>
      <c r="DQ58" t="s">
        <v>658</v>
      </c>
      <c r="DR58" s="59">
        <v>5</v>
      </c>
      <c r="DT58" s="154" t="str">
        <f t="shared" si="48"/>
        <v/>
      </c>
      <c r="DU58" s="154" t="str">
        <f t="shared" si="45"/>
        <v/>
      </c>
      <c r="DV58" s="155" t="str">
        <f t="shared" si="49"/>
        <v/>
      </c>
      <c r="DW58" s="155" t="str">
        <f t="shared" si="50"/>
        <v/>
      </c>
      <c r="ED58" s="57">
        <v>0</v>
      </c>
      <c r="EE58" s="57">
        <f t="shared" ref="EE58:EE69" si="65">IF(COUNT(CE58:CF58)&lt;&gt;2,-1,IF(CE58&gt;CF58,1,IF(CE58&lt;CF58,2,0)))</f>
        <v>-1</v>
      </c>
      <c r="EF58" s="57"/>
      <c r="EG58" s="57">
        <f t="shared" ref="EG58:EG69" ca="1" si="66">IF(CC58&lt;37,0,IF(ISERROR(MATCH(EF58,OFFSET($CR$15:$CR$16,0,CC58-36),0)),0,MATCH(EF58,OFFSET($CR$15:$CR$16,0,CC58-36),0)))</f>
        <v>0</v>
      </c>
      <c r="EH58" s="57">
        <f t="shared" ref="EH58:EH69" ca="1" si="67">IF(OR(CC58&lt;37,NOT($EH$31),$CS$6&lt;2,EG58=0),0,IF(EE58=-1,1,IF(AND(EE58=0,$EH$28&lt;&gt;0),1,IF(AND(EE58&gt;0,$EH$28=0),1,IF(AND(EE58&gt;0,EG58&lt;&gt;EE58),1,0)))))</f>
        <v>0</v>
      </c>
      <c r="EI58" s="57">
        <f t="shared" ref="EI58:EI69" ca="1" si="68">IF(EH58=0,EG58,CS58)</f>
        <v>0</v>
      </c>
      <c r="EJ58" s="57">
        <f t="shared" ref="EJ58:EJ69" ca="1" si="69">IF(EE58&gt;0,EE58,IF(EI58&gt;0,EI58,EE58))</f>
        <v>-1</v>
      </c>
      <c r="EK58" s="57">
        <v>0</v>
      </c>
      <c r="EM58" s="57">
        <f t="shared" ref="EM58:EM69" si="70">IF(EXACT(CE58,CM58),0,1)</f>
        <v>0</v>
      </c>
      <c r="EN58" s="57">
        <f t="shared" ref="EN58:EN69" si="71">IF(EXACT(CF58,CN58),0,1)</f>
        <v>0</v>
      </c>
      <c r="EO58" s="57">
        <f t="shared" ref="EO58:EO69" si="72">IF($CS$400,0,IF(EXACT(CG58,CO58),0,1))</f>
        <v>0</v>
      </c>
      <c r="EP58" s="57">
        <f>IF($CS$4&lt;&gt;3,0,IF(AND(CH58=INDEX(settings!$I$19:$P$19,1),LEN(CP58)=0),0,IF(EXACT(CH58,CP58),0,1)))</f>
        <v>0</v>
      </c>
      <c r="EQ58" s="57">
        <f>IF(settings!$C$1100,0,IF(CI58=CQ58,0,1))</f>
        <v>0</v>
      </c>
      <c r="ER58" s="57">
        <f t="shared" ref="ER58:ER69" si="73">IF($CS$6=0,0,IF(CJ58=CR58,0,1))</f>
        <v>0</v>
      </c>
      <c r="ES58" s="57">
        <f t="shared" ref="ES58:ES69" si="74">IF($CS$6&lt;2,0,IF(CK58=CS58,0,1))</f>
        <v>0</v>
      </c>
      <c r="ET58" s="57">
        <f t="shared" ref="ET58:ET69" si="75">IF(DR59&lt;37,0,IF(CL58=CT58,0,1))</f>
        <v>0</v>
      </c>
      <c r="EU58" s="57">
        <f t="shared" ref="EU58:EU69" si="76">IF(CD58,0,SUM(EM58:ET58))</f>
        <v>0</v>
      </c>
      <c r="FB58">
        <f>IF(DH58&lt;FH56,FH56,DH58)</f>
        <v>1</v>
      </c>
      <c r="FC58">
        <v>1</v>
      </c>
      <c r="FD58">
        <f>FH56</f>
        <v>1</v>
      </c>
      <c r="FE58">
        <f>IF(CD58,CP58,IF(FB58&gt;FI56,FI56,FB58))</f>
        <v>1</v>
      </c>
      <c r="FG58">
        <f>FE58</f>
        <v>1</v>
      </c>
      <c r="FH58">
        <f>FG56-SUM(FG57:FG58)-SUM(FD59:FD70)+FH56</f>
        <v>69</v>
      </c>
      <c r="FI58" t="b">
        <f t="shared" ref="FI58:FI69" si="77">FG58&lt;&gt;AJ58</f>
        <v>1</v>
      </c>
    </row>
    <row r="59" spans="3:165" ht="11.25" customHeight="1" x14ac:dyDescent="0.2">
      <c r="C59" s="91">
        <v>14</v>
      </c>
      <c r="Q59">
        <v>14</v>
      </c>
      <c r="S59" s="70"/>
      <c r="T59" s="120" t="str">
        <f t="shared" si="51"/>
        <v/>
      </c>
      <c r="U59" s="529">
        <v>45462.75</v>
      </c>
      <c r="V59" s="530"/>
      <c r="W59" s="531">
        <v>0.75</v>
      </c>
      <c r="X59" s="532" t="s">
        <v>1186</v>
      </c>
      <c r="Y59" s="532"/>
      <c r="Z59" s="533" t="s">
        <v>581</v>
      </c>
      <c r="AA59" s="493" t="s">
        <v>190</v>
      </c>
      <c r="AB59" s="493"/>
      <c r="AC59" s="121" t="s">
        <v>583</v>
      </c>
      <c r="AD59" s="494" t="s">
        <v>532</v>
      </c>
      <c r="AE59" s="494"/>
      <c r="AF59" s="122"/>
      <c r="AG59" s="123" t="s">
        <v>583</v>
      </c>
      <c r="AH59" s="124"/>
      <c r="AI59" s="125"/>
      <c r="AJ59" s="125"/>
      <c r="AK59" s="384" t="s">
        <v>411</v>
      </c>
      <c r="AL59" s="126"/>
      <c r="AM59" s="70"/>
      <c r="AN59" s="127"/>
      <c r="AO59" s="128" t="s">
        <v>583</v>
      </c>
      <c r="AP59" s="129"/>
      <c r="AQ59" s="70"/>
      <c r="AR59" s="70"/>
      <c r="AS59" s="139">
        <v>1</v>
      </c>
      <c r="AT59" s="140" t="str">
        <f>VLOOKUP(BT59,tabbermsp!$B$335:$N$358,4,FALSE)</f>
        <v>SLO</v>
      </c>
      <c r="AU59" s="141"/>
      <c r="AV59" s="140"/>
      <c r="AW59" s="140">
        <f>VLOOKUP(BT59,tabbermsp!$B$335:$N$358,7,FALSE)</f>
        <v>0</v>
      </c>
      <c r="AX59" s="142" t="s">
        <v>583</v>
      </c>
      <c r="AY59" s="140">
        <f>VLOOKUP(BT59,tabbermsp!$B$335:$N$358,8,FALSE)</f>
        <v>0</v>
      </c>
      <c r="AZ59" s="143"/>
      <c r="BA59" s="144">
        <f>VLOOKUP(BT59,tabbermsp!$B$335:$N$358,9,FALSE)</f>
        <v>0</v>
      </c>
      <c r="BB59" s="140"/>
      <c r="BC59" s="140">
        <f>VLOOKUP(BT59,tabbermsp!$B$335:$N$358,6,FALSE)</f>
        <v>0</v>
      </c>
      <c r="BD59" s="140"/>
      <c r="BE59" s="114"/>
      <c r="BF59" s="145"/>
      <c r="BG59" s="114"/>
      <c r="BH59" s="146" t="str">
        <f>"1 "</f>
        <v xml:space="preserve">1 </v>
      </c>
      <c r="BI59" s="147" t="str">
        <f>VLOOKUP(BT59,tabber!$B$335:$N$358,4,FALSE)</f>
        <v>SLO</v>
      </c>
      <c r="BJ59" s="148">
        <f>VLOOKUP(BT59,tabber!$B$335:$N$358,7,FALSE)</f>
        <v>0</v>
      </c>
      <c r="BK59" s="147" t="s">
        <v>583</v>
      </c>
      <c r="BL59" s="149">
        <f>VLOOKUP(BT59,tabber!$B$335:$N$358,8,FALSE)</f>
        <v>0</v>
      </c>
      <c r="BM59" s="150">
        <f>VLOOKUP(BT59,tabber!$B$335:$N$358,9,FALSE)</f>
        <v>0</v>
      </c>
      <c r="BN59" s="147">
        <f>VLOOKUP(BT59,tabber!$B$335:$N$358,6,FALSE)</f>
        <v>0</v>
      </c>
      <c r="BO59" s="114"/>
      <c r="BP59" s="145"/>
      <c r="BQ59" s="114"/>
      <c r="BR59" s="152">
        <f>IF(VLOOKUP(RIGHT(BT59,1),$DM$69:$DN$74,2,FALSE),1,IF(COUNTA(BF59:BF62)&lt;&gt;4,0,-1))</f>
        <v>0</v>
      </c>
      <c r="BS59" s="57">
        <f>IF(VLOOKUP(RIGHT(BT59,1),$DM$122:$DN$127,2,FALSE),1,IF(COUNTA(BP59:BP62)&lt;&gt;4,0,-1))</f>
        <v>0</v>
      </c>
      <c r="BT59" t="s">
        <v>630</v>
      </c>
      <c r="BU59" t="str">
        <f>VLOOKUP(BZ59,daten!$T$8:$U$31,2,FALSE)</f>
        <v>SLO</v>
      </c>
      <c r="BV59">
        <f>IF(ISERROR(MATCH(BF59,BU59:BU62,0)),0,IF(COUNTIF(BF59:BF62,"="&amp;BF59)&gt;1,0,MATCH(BF59,kuerzel,0)))</f>
        <v>0</v>
      </c>
      <c r="BW59">
        <f>IF(ISERROR(MATCH(BP59,BU59:BU62,0)),0,IF(COUNTIF(BP59:BP62,"="&amp;BP59)&gt;1,0,MATCH(BP59,kuerzel,0)))</f>
        <v>0</v>
      </c>
      <c r="BZ59" t="s">
        <v>630</v>
      </c>
      <c r="CA59" s="153">
        <f>VLOOKUP(BZ59,tabbermsp!$B$335:$O$358,14,FALSE)</f>
        <v>1</v>
      </c>
      <c r="CB59" s="91" t="str">
        <f>INDEX(daten!$G$59:$G$94,CC59)</f>
        <v>A-3</v>
      </c>
      <c r="CC59" s="59">
        <v>14</v>
      </c>
      <c r="CD59" t="b">
        <v>0</v>
      </c>
      <c r="CE59" s="57" t="str">
        <f t="shared" si="52"/>
        <v/>
      </c>
      <c r="CF59" s="57" t="str">
        <f t="shared" si="53"/>
        <v/>
      </c>
      <c r="CG59" s="57">
        <f t="shared" si="54"/>
        <v>0</v>
      </c>
      <c r="CH59" s="57">
        <f t="shared" si="55"/>
        <v>0</v>
      </c>
      <c r="CI59" s="57">
        <f t="shared" si="56"/>
        <v>0</v>
      </c>
      <c r="CJ59" s="57">
        <v>0</v>
      </c>
      <c r="CK59" s="57">
        <v>0</v>
      </c>
      <c r="CL59" s="57">
        <v>0</v>
      </c>
      <c r="CO59" s="57">
        <v>0</v>
      </c>
      <c r="CP59" s="57">
        <v>0</v>
      </c>
      <c r="CQ59" s="57">
        <v>0</v>
      </c>
      <c r="CR59" s="57">
        <v>0</v>
      </c>
      <c r="CS59" s="57">
        <v>0</v>
      </c>
      <c r="CT59" s="57">
        <v>0</v>
      </c>
      <c r="CV59">
        <f t="shared" si="57"/>
        <v>0</v>
      </c>
      <c r="CX59" t="b">
        <f t="shared" si="58"/>
        <v>0</v>
      </c>
      <c r="CY59" t="b">
        <f t="shared" si="59"/>
        <v>0</v>
      </c>
      <c r="CZ59" t="b">
        <v>0</v>
      </c>
      <c r="DA59">
        <f t="shared" si="60"/>
        <v>0</v>
      </c>
      <c r="DB59">
        <f>SUM($DA$56:$DA59)</f>
        <v>0</v>
      </c>
      <c r="DC59" t="b">
        <f t="shared" si="61"/>
        <v>0</v>
      </c>
      <c r="DE59">
        <v>2</v>
      </c>
      <c r="DF59" s="137">
        <v>1</v>
      </c>
      <c r="DG59" s="137">
        <v>10</v>
      </c>
      <c r="DH59">
        <f t="shared" si="62"/>
        <v>1</v>
      </c>
      <c r="DI59" s="138" t="str">
        <f t="shared" si="63"/>
        <v/>
      </c>
      <c r="DJ59" s="138" t="str">
        <f t="shared" si="64"/>
        <v/>
      </c>
      <c r="DL59" t="s">
        <v>487</v>
      </c>
      <c r="DM59" t="s">
        <v>659</v>
      </c>
      <c r="DN59">
        <f t="shared" si="44"/>
        <v>0</v>
      </c>
      <c r="DO59">
        <f>IF(DN59=0,0,INDEX(daten!$N$9:$N$32,DN59))</f>
        <v>0</v>
      </c>
      <c r="DQ59" t="s">
        <v>660</v>
      </c>
      <c r="DR59" s="59">
        <v>10</v>
      </c>
      <c r="DT59" s="154" t="str">
        <f t="shared" si="48"/>
        <v/>
      </c>
      <c r="DU59" s="154" t="str">
        <f t="shared" si="45"/>
        <v/>
      </c>
      <c r="DV59" s="155" t="str">
        <f t="shared" si="49"/>
        <v/>
      </c>
      <c r="DW59" s="155" t="str">
        <f t="shared" si="50"/>
        <v/>
      </c>
      <c r="ED59" s="57">
        <v>0</v>
      </c>
      <c r="EE59" s="57">
        <f t="shared" si="65"/>
        <v>-1</v>
      </c>
      <c r="EF59" s="57"/>
      <c r="EG59" s="57">
        <f t="shared" ca="1" si="66"/>
        <v>0</v>
      </c>
      <c r="EH59" s="57">
        <f t="shared" ca="1" si="67"/>
        <v>0</v>
      </c>
      <c r="EI59" s="57">
        <f t="shared" ca="1" si="68"/>
        <v>0</v>
      </c>
      <c r="EJ59" s="57">
        <f t="shared" ca="1" si="69"/>
        <v>-1</v>
      </c>
      <c r="EK59" s="57">
        <v>0</v>
      </c>
      <c r="EM59" s="57">
        <f t="shared" si="70"/>
        <v>0</v>
      </c>
      <c r="EN59" s="57">
        <f t="shared" si="71"/>
        <v>0</v>
      </c>
      <c r="EO59" s="57">
        <f t="shared" si="72"/>
        <v>0</v>
      </c>
      <c r="EP59" s="57">
        <f>IF($CS$4&lt;&gt;3,0,IF(AND(CH59=INDEX(settings!$I$19:$P$19,1),LEN(CP59)=0),0,IF(EXACT(CH59,CP59),0,1)))</f>
        <v>0</v>
      </c>
      <c r="EQ59" s="57">
        <f>IF(settings!$C$1100,0,IF(CI59=CQ59,0,1))</f>
        <v>0</v>
      </c>
      <c r="ER59" s="57">
        <f t="shared" si="73"/>
        <v>0</v>
      </c>
      <c r="ES59" s="57">
        <f t="shared" si="74"/>
        <v>0</v>
      </c>
      <c r="ET59" s="57">
        <f t="shared" si="75"/>
        <v>0</v>
      </c>
      <c r="EU59" s="57">
        <f t="shared" si="76"/>
        <v>0</v>
      </c>
      <c r="FB59">
        <f>IF(DH59&lt;FH56,FH56,DH59)</f>
        <v>1</v>
      </c>
      <c r="FC59">
        <v>2</v>
      </c>
      <c r="FD59">
        <f t="shared" ref="FD59:FD69" si="78">FD58</f>
        <v>1</v>
      </c>
      <c r="FE59">
        <f>IF(CD59,CP59,IF(FB59&gt;FI56,FI56,FB59))</f>
        <v>1</v>
      </c>
      <c r="FG59">
        <f t="shared" ref="FG59:FG69" si="79">IF(CD59,FE59,IF(FE59&lt;=FH58,FE59,IF(FH58&lt;0,0,FH58)))</f>
        <v>1</v>
      </c>
      <c r="FH59">
        <f>FG56-SUM(FG57:FG59)-SUM(FD60:FD70)+FH56</f>
        <v>69</v>
      </c>
      <c r="FI59" t="b">
        <f t="shared" si="77"/>
        <v>1</v>
      </c>
    </row>
    <row r="60" spans="3:165" ht="11.25" customHeight="1" thickBot="1" x14ac:dyDescent="0.25">
      <c r="C60" s="91">
        <v>15</v>
      </c>
      <c r="Q60">
        <v>15</v>
      </c>
      <c r="S60" s="70"/>
      <c r="T60" s="120" t="str">
        <f t="shared" si="51"/>
        <v/>
      </c>
      <c r="U60" s="529">
        <v>45462.875</v>
      </c>
      <c r="V60" s="530"/>
      <c r="W60" s="531">
        <v>0.875</v>
      </c>
      <c r="X60" s="532" t="s">
        <v>1182</v>
      </c>
      <c r="Y60" s="532"/>
      <c r="Z60" s="533" t="s">
        <v>581</v>
      </c>
      <c r="AA60" s="493" t="s">
        <v>193</v>
      </c>
      <c r="AB60" s="493"/>
      <c r="AC60" s="121" t="s">
        <v>583</v>
      </c>
      <c r="AD60" s="494" t="s">
        <v>1155</v>
      </c>
      <c r="AE60" s="494"/>
      <c r="AF60" s="122"/>
      <c r="AG60" s="123" t="s">
        <v>583</v>
      </c>
      <c r="AH60" s="124"/>
      <c r="AI60" s="125"/>
      <c r="AJ60" s="125"/>
      <c r="AK60" s="384" t="s">
        <v>411</v>
      </c>
      <c r="AL60" s="126"/>
      <c r="AM60" s="70"/>
      <c r="AN60" s="127"/>
      <c r="AO60" s="128" t="s">
        <v>583</v>
      </c>
      <c r="AP60" s="129"/>
      <c r="AQ60" s="70"/>
      <c r="AR60" s="70"/>
      <c r="AS60" s="156" t="str">
        <f>IF(CA60=CA59,"",CA60)</f>
        <v/>
      </c>
      <c r="AT60" s="140" t="str">
        <f>VLOOKUP(BT60,tabbermsp!$B$335:$N$358,4,FALSE)</f>
        <v>DEN</v>
      </c>
      <c r="AU60" s="141"/>
      <c r="AV60" s="140"/>
      <c r="AW60" s="140">
        <f>VLOOKUP(BT60,tabbermsp!$B$335:$N$358,7,FALSE)</f>
        <v>0</v>
      </c>
      <c r="AX60" s="142" t="s">
        <v>583</v>
      </c>
      <c r="AY60" s="140">
        <f>VLOOKUP(BT60,tabbermsp!$B$335:$N$358,8,FALSE)</f>
        <v>0</v>
      </c>
      <c r="AZ60" s="143"/>
      <c r="BA60" s="144">
        <f>VLOOKUP(BT60,tabbermsp!$B$335:$N$358,9,FALSE)</f>
        <v>0</v>
      </c>
      <c r="BB60" s="140"/>
      <c r="BC60" s="140">
        <f>VLOOKUP(BT60,tabbermsp!$B$335:$N$358,6,FALSE)</f>
        <v>0</v>
      </c>
      <c r="BD60" s="140"/>
      <c r="BE60" s="114"/>
      <c r="BF60" s="145"/>
      <c r="BG60" s="114"/>
      <c r="BH60" s="146" t="str">
        <f>IF(VLOOKUP(BZ60,tabber!$B$335:$O$358,14,FALSE)=VLOOKUP(BZ59,tabber!$B$335:$O$358,14,FALSE),"",VLOOKUP(BZ60,tabber!$B$335:$O$358,14,FALSE))&amp;" "</f>
        <v xml:space="preserve"> </v>
      </c>
      <c r="BI60" s="157" t="str">
        <f>VLOOKUP(BT60,tabber!$B$335:$N$358,4,FALSE)</f>
        <v>DEN</v>
      </c>
      <c r="BJ60" s="158">
        <f>VLOOKUP(BT60,tabber!$B$335:$N$358,7,FALSE)</f>
        <v>0</v>
      </c>
      <c r="BK60" s="159" t="s">
        <v>583</v>
      </c>
      <c r="BL60" s="160">
        <f>VLOOKUP(BT60,tabber!$B$335:$N$358,8,FALSE)</f>
        <v>0</v>
      </c>
      <c r="BM60" s="161">
        <f>VLOOKUP(BT60,tabber!$B$335:$N$358,9,FALSE)</f>
        <v>0</v>
      </c>
      <c r="BN60" s="157">
        <f>VLOOKUP(BT60,tabber!$B$335:$N$358,6,FALSE)</f>
        <v>0</v>
      </c>
      <c r="BO60" s="114"/>
      <c r="BP60" s="145"/>
      <c r="BQ60" s="114"/>
      <c r="BR60" s="152">
        <f>IF(VLOOKUP(RIGHT(BT60,1),$DM$69:$DN$74,2,FALSE),1,IF(COUNTA(BF59:BF62)&lt;&gt;4,0,-1))</f>
        <v>0</v>
      </c>
      <c r="BS60" s="57">
        <f>IF(VLOOKUP(RIGHT(BT60,1),$DM$122:$DN$127,2,FALSE),1,IF(COUNTA(BP59:BP62)&lt;&gt;4,0,-1))</f>
        <v>0</v>
      </c>
      <c r="BT60" t="s">
        <v>634</v>
      </c>
      <c r="BU60" t="str">
        <f>VLOOKUP(BZ60,daten!$T$8:$U$31,2,FALSE)</f>
        <v>DEN</v>
      </c>
      <c r="BV60">
        <f>IF(ISERROR(MATCH(BF60,BU59:BU62,0)),0,IF(COUNTIF(BF59:BF62,"="&amp;BF60)&gt;1,0,MATCH(BF60,kuerzel,0)))</f>
        <v>0</v>
      </c>
      <c r="BW60">
        <f>IF(ISERROR(MATCH(BP60,BU59:BU62,0)),0,IF(COUNTIF(BP59:BP62,"="&amp;BP60)&gt;1,0,MATCH(BP60,kuerzel,0)))</f>
        <v>0</v>
      </c>
      <c r="BZ60" t="s">
        <v>634</v>
      </c>
      <c r="CA60" s="153">
        <f>VLOOKUP(BZ60,tabbermsp!$B$335:$O$358,14,FALSE)</f>
        <v>1</v>
      </c>
      <c r="CB60" s="91" t="str">
        <f>INDEX(daten!$G$59:$G$94,CC60)</f>
        <v>A-4</v>
      </c>
      <c r="CC60" s="59">
        <v>15</v>
      </c>
      <c r="CD60" t="b">
        <v>0</v>
      </c>
      <c r="CE60" s="57" t="str">
        <f t="shared" si="52"/>
        <v/>
      </c>
      <c r="CF60" s="57" t="str">
        <f t="shared" si="53"/>
        <v/>
      </c>
      <c r="CG60" s="57">
        <f t="shared" si="54"/>
        <v>0</v>
      </c>
      <c r="CH60" s="57">
        <f t="shared" si="55"/>
        <v>0</v>
      </c>
      <c r="CI60" s="57">
        <f t="shared" si="56"/>
        <v>0</v>
      </c>
      <c r="CJ60" s="57">
        <v>0</v>
      </c>
      <c r="CK60" s="57">
        <v>0</v>
      </c>
      <c r="CL60" s="57">
        <v>0</v>
      </c>
      <c r="CO60" s="57">
        <v>0</v>
      </c>
      <c r="CP60" s="57">
        <v>0</v>
      </c>
      <c r="CQ60" s="57">
        <v>0</v>
      </c>
      <c r="CR60" s="57">
        <v>0</v>
      </c>
      <c r="CS60" s="57">
        <v>0</v>
      </c>
      <c r="CT60" s="57">
        <v>0</v>
      </c>
      <c r="CV60">
        <f t="shared" si="57"/>
        <v>0</v>
      </c>
      <c r="CX60" t="b">
        <f t="shared" si="58"/>
        <v>0</v>
      </c>
      <c r="CY60" t="b">
        <f t="shared" si="59"/>
        <v>0</v>
      </c>
      <c r="CZ60" t="b">
        <v>0</v>
      </c>
      <c r="DA60">
        <f t="shared" si="60"/>
        <v>0</v>
      </c>
      <c r="DB60">
        <f>SUM($DA$56:$DA60)</f>
        <v>0</v>
      </c>
      <c r="DC60" t="b">
        <f t="shared" si="61"/>
        <v>0</v>
      </c>
      <c r="DE60">
        <v>2</v>
      </c>
      <c r="DF60" s="137">
        <v>1</v>
      </c>
      <c r="DG60" s="137">
        <v>10</v>
      </c>
      <c r="DH60">
        <f t="shared" si="62"/>
        <v>1</v>
      </c>
      <c r="DI60" s="138" t="str">
        <f t="shared" si="63"/>
        <v/>
      </c>
      <c r="DJ60" s="138" t="str">
        <f t="shared" si="64"/>
        <v/>
      </c>
      <c r="DL60" t="s">
        <v>632</v>
      </c>
      <c r="DM60" t="s">
        <v>661</v>
      </c>
      <c r="DN60">
        <f t="shared" si="44"/>
        <v>0</v>
      </c>
      <c r="DO60">
        <f>IF(DN60=0,0,INDEX(daten!$N$9:$N$32,DN60))</f>
        <v>0</v>
      </c>
      <c r="DQ60" t="s">
        <v>662</v>
      </c>
      <c r="DR60" s="59">
        <v>20</v>
      </c>
      <c r="DT60" s="154" t="str">
        <f t="shared" si="48"/>
        <v/>
      </c>
      <c r="DU60" s="154" t="str">
        <f t="shared" si="45"/>
        <v/>
      </c>
      <c r="DV60" s="155" t="str">
        <f t="shared" si="49"/>
        <v/>
      </c>
      <c r="DW60" s="155" t="str">
        <f t="shared" si="50"/>
        <v/>
      </c>
      <c r="ED60" s="57">
        <v>0</v>
      </c>
      <c r="EE60" s="57">
        <f t="shared" si="65"/>
        <v>-1</v>
      </c>
      <c r="EF60" s="57"/>
      <c r="EG60" s="57">
        <f t="shared" ca="1" si="66"/>
        <v>0</v>
      </c>
      <c r="EH60" s="57">
        <f t="shared" ca="1" si="67"/>
        <v>0</v>
      </c>
      <c r="EI60" s="57">
        <f t="shared" ca="1" si="68"/>
        <v>0</v>
      </c>
      <c r="EJ60" s="57">
        <f t="shared" ca="1" si="69"/>
        <v>-1</v>
      </c>
      <c r="EK60" s="57">
        <v>0</v>
      </c>
      <c r="EM60" s="57">
        <f t="shared" si="70"/>
        <v>0</v>
      </c>
      <c r="EN60" s="57">
        <f t="shared" si="71"/>
        <v>0</v>
      </c>
      <c r="EO60" s="57">
        <f t="shared" si="72"/>
        <v>0</v>
      </c>
      <c r="EP60" s="57">
        <f>IF($CS$4&lt;&gt;3,0,IF(AND(CH60=INDEX(settings!$I$19:$P$19,1),LEN(CP60)=0),0,IF(EXACT(CH60,CP60),0,1)))</f>
        <v>0</v>
      </c>
      <c r="EQ60" s="57">
        <f>IF(settings!$C$1100,0,IF(CI60=CQ60,0,1))</f>
        <v>0</v>
      </c>
      <c r="ER60" s="57">
        <f t="shared" si="73"/>
        <v>0</v>
      </c>
      <c r="ES60" s="57">
        <f t="shared" si="74"/>
        <v>0</v>
      </c>
      <c r="ET60" s="57">
        <f t="shared" si="75"/>
        <v>0</v>
      </c>
      <c r="EU60" s="57">
        <f t="shared" si="76"/>
        <v>0</v>
      </c>
      <c r="FB60">
        <f>IF(DH60&lt;FH56,FH56,DH60)</f>
        <v>1</v>
      </c>
      <c r="FC60">
        <v>3</v>
      </c>
      <c r="FD60">
        <f t="shared" si="78"/>
        <v>1</v>
      </c>
      <c r="FE60">
        <f>IF(CD60,CP60,IF(FB60&gt;FI56,FI56,FB60))</f>
        <v>1</v>
      </c>
      <c r="FG60">
        <f t="shared" si="79"/>
        <v>1</v>
      </c>
      <c r="FH60">
        <f>FG56-SUM(FG57:FG60)-SUM(FD61:FD70)+FH56</f>
        <v>69</v>
      </c>
      <c r="FI60" t="b">
        <f t="shared" si="77"/>
        <v>1</v>
      </c>
    </row>
    <row r="61" spans="3:165" ht="11.25" customHeight="1" thickBot="1" x14ac:dyDescent="0.25">
      <c r="C61" s="91">
        <v>16</v>
      </c>
      <c r="Q61">
        <v>16</v>
      </c>
      <c r="S61" s="70"/>
      <c r="T61" s="120" t="str">
        <f t="shared" si="51"/>
        <v/>
      </c>
      <c r="U61" s="529">
        <v>45463.625</v>
      </c>
      <c r="V61" s="530"/>
      <c r="W61" s="531">
        <v>0.625</v>
      </c>
      <c r="X61" s="532" t="s">
        <v>1181</v>
      </c>
      <c r="Y61" s="532"/>
      <c r="Z61" s="533" t="s">
        <v>613</v>
      </c>
      <c r="AA61" s="493" t="s">
        <v>546</v>
      </c>
      <c r="AB61" s="493"/>
      <c r="AC61" s="121" t="s">
        <v>583</v>
      </c>
      <c r="AD61" s="494" t="s">
        <v>547</v>
      </c>
      <c r="AE61" s="494"/>
      <c r="AF61" s="122"/>
      <c r="AG61" s="123" t="s">
        <v>583</v>
      </c>
      <c r="AH61" s="124"/>
      <c r="AI61" s="125"/>
      <c r="AJ61" s="125"/>
      <c r="AK61" s="384" t="s">
        <v>411</v>
      </c>
      <c r="AL61" s="126"/>
      <c r="AM61" s="70"/>
      <c r="AN61" s="127"/>
      <c r="AO61" s="128" t="s">
        <v>583</v>
      </c>
      <c r="AP61" s="129"/>
      <c r="AQ61" s="70"/>
      <c r="AR61" s="70"/>
      <c r="AS61" s="156" t="str">
        <f>IF(CA61=CA60,"",CA61)</f>
        <v/>
      </c>
      <c r="AT61" s="162" t="str">
        <f>VLOOKUP(BT61,tabbermsp!$B$335:$N$358,4,FALSE)</f>
        <v>SRB</v>
      </c>
      <c r="AU61" s="162"/>
      <c r="AV61" s="162"/>
      <c r="AW61" s="162">
        <f>VLOOKUP(BT61,tabbermsp!$B$335:$N$358,7,FALSE)</f>
        <v>0</v>
      </c>
      <c r="AX61" s="163" t="s">
        <v>583</v>
      </c>
      <c r="AY61" s="162">
        <f>VLOOKUP(BT61,tabbermsp!$B$335:$N$358,8,FALSE)</f>
        <v>0</v>
      </c>
      <c r="AZ61" s="164"/>
      <c r="BA61" s="165">
        <f>VLOOKUP(BT61,tabbermsp!$B$335:$N$358,9,FALSE)</f>
        <v>0</v>
      </c>
      <c r="BB61" s="162"/>
      <c r="BC61" s="162">
        <f>VLOOKUP(BT61,tabbermsp!$B$335:$N$358,6,FALSE)</f>
        <v>0</v>
      </c>
      <c r="BD61" s="162"/>
      <c r="BE61" s="114"/>
      <c r="BF61" s="145"/>
      <c r="BG61" s="151"/>
      <c r="BH61" s="146" t="str">
        <f>IF(VLOOKUP(BZ61,tabber!$B$335:$O$358,14,FALSE)=VLOOKUP(BZ60,tabber!$B$335:$O$358,14,FALSE),"",VLOOKUP(BZ61,tabber!$B$335:$O$358,14,FALSE))&amp;" "</f>
        <v xml:space="preserve"> </v>
      </c>
      <c r="BI61" s="166" t="str">
        <f>VLOOKUP(BT61,tabber!$B$335:$N$358,4,FALSE)</f>
        <v>SRB</v>
      </c>
      <c r="BJ61" s="167">
        <f>VLOOKUP(BT61,tabber!$B$335:$N$358,7,FALSE)</f>
        <v>0</v>
      </c>
      <c r="BK61" s="166" t="s">
        <v>583</v>
      </c>
      <c r="BL61" s="168">
        <f>VLOOKUP(BT61,tabber!$B$335:$N$358,8,FALSE)</f>
        <v>0</v>
      </c>
      <c r="BM61" s="169">
        <f>VLOOKUP(BT61,tabber!$B$335:$N$358,9,FALSE)</f>
        <v>0</v>
      </c>
      <c r="BN61" s="166">
        <f>VLOOKUP(BT61,tabber!$B$335:$N$358,6,FALSE)</f>
        <v>0</v>
      </c>
      <c r="BO61" s="114"/>
      <c r="BP61" s="145"/>
      <c r="BQ61" s="151"/>
      <c r="BR61" s="152">
        <f>IF(VLOOKUP(RIGHT(BT61,1),$DM$69:$DN$74,2,FALSE),1,IF(COUNTA(BF59:BF62)&lt;&gt;4,0,-1))</f>
        <v>0</v>
      </c>
      <c r="BS61" s="57">
        <f>IF(VLOOKUP(RIGHT(BT61,1),$DM$122:$DN$127,2,FALSE),1,IF(COUNTA(BP59:BP62)&lt;&gt;4,0,-1))</f>
        <v>0</v>
      </c>
      <c r="BT61" t="s">
        <v>639</v>
      </c>
      <c r="BU61" t="str">
        <f>VLOOKUP(BZ61,daten!$T$8:$U$31,2,FALSE)</f>
        <v>SRB</v>
      </c>
      <c r="BV61">
        <f>IF(ISERROR(MATCH(BF61,BU59:BU62,0)),0,IF(COUNTIF(BF59:BF62,"="&amp;BF61)&gt;1,0,MATCH(BF61,kuerzel,0)))</f>
        <v>0</v>
      </c>
      <c r="BW61">
        <f>IF(ISERROR(MATCH(BP61,BU59:BU62,0)),0,IF(COUNTIF(BP59:BP62,"="&amp;BP61)&gt;1,0,MATCH(BP61,kuerzel,0)))</f>
        <v>0</v>
      </c>
      <c r="BX61" t="e">
        <f>MATCH(AT61,tabbermsp!$H$392:$K$392,0)</f>
        <v>#N/A</v>
      </c>
      <c r="BY61">
        <f>MATCH(BI61,tabber!$H$392:$K$392,0)</f>
        <v>4</v>
      </c>
      <c r="BZ61" t="s">
        <v>639</v>
      </c>
      <c r="CA61" s="153">
        <f>VLOOKUP(BZ61,tabbermsp!$B$335:$O$358,14,FALSE)</f>
        <v>1</v>
      </c>
      <c r="CB61" s="91" t="str">
        <f>INDEX(daten!$G$59:$G$94,CC61)</f>
        <v>C-3</v>
      </c>
      <c r="CC61" s="59">
        <v>16</v>
      </c>
      <c r="CD61" t="b">
        <v>0</v>
      </c>
      <c r="CE61" s="57" t="str">
        <f t="shared" si="52"/>
        <v/>
      </c>
      <c r="CF61" s="57" t="str">
        <f t="shared" si="53"/>
        <v/>
      </c>
      <c r="CG61" s="57">
        <f t="shared" si="54"/>
        <v>0</v>
      </c>
      <c r="CH61" s="57">
        <f t="shared" si="55"/>
        <v>0</v>
      </c>
      <c r="CI61" s="57">
        <f t="shared" si="56"/>
        <v>0</v>
      </c>
      <c r="CJ61" s="57">
        <v>0</v>
      </c>
      <c r="CK61" s="57">
        <v>0</v>
      </c>
      <c r="CL61" s="57">
        <v>0</v>
      </c>
      <c r="CO61" s="57">
        <v>0</v>
      </c>
      <c r="CP61" s="57">
        <v>0</v>
      </c>
      <c r="CQ61" s="57">
        <v>0</v>
      </c>
      <c r="CR61" s="57">
        <v>0</v>
      </c>
      <c r="CS61" s="57">
        <v>0</v>
      </c>
      <c r="CT61" s="57">
        <v>0</v>
      </c>
      <c r="CV61">
        <f t="shared" si="57"/>
        <v>0</v>
      </c>
      <c r="CX61" t="b">
        <f t="shared" si="58"/>
        <v>0</v>
      </c>
      <c r="CY61" t="b">
        <f t="shared" si="59"/>
        <v>0</v>
      </c>
      <c r="CZ61" t="b">
        <v>0</v>
      </c>
      <c r="DA61">
        <f t="shared" si="60"/>
        <v>0</v>
      </c>
      <c r="DB61">
        <f>SUM($DA$56:$DA61)</f>
        <v>0</v>
      </c>
      <c r="DC61" t="b">
        <f t="shared" si="61"/>
        <v>0</v>
      </c>
      <c r="DE61">
        <v>2</v>
      </c>
      <c r="DF61" s="137">
        <v>1</v>
      </c>
      <c r="DG61" s="137">
        <v>10</v>
      </c>
      <c r="DH61">
        <f t="shared" si="62"/>
        <v>1</v>
      </c>
      <c r="DI61" s="138" t="str">
        <f t="shared" si="63"/>
        <v/>
      </c>
      <c r="DJ61" s="138" t="str">
        <f t="shared" si="64"/>
        <v/>
      </c>
      <c r="DL61" t="s">
        <v>632</v>
      </c>
      <c r="DM61" t="s">
        <v>663</v>
      </c>
      <c r="DN61">
        <f t="shared" si="44"/>
        <v>0</v>
      </c>
      <c r="DO61">
        <f>IF(DN61=0,0,INDEX(daten!$N$9:$N$32,DN61))</f>
        <v>0</v>
      </c>
      <c r="DQ61" t="s">
        <v>664</v>
      </c>
      <c r="DR61" s="59">
        <v>21</v>
      </c>
      <c r="DT61" s="154" t="str">
        <f t="shared" si="48"/>
        <v/>
      </c>
      <c r="DU61" s="154" t="str">
        <f t="shared" si="45"/>
        <v/>
      </c>
      <c r="DV61" s="155" t="str">
        <f t="shared" si="49"/>
        <v/>
      </c>
      <c r="DW61" s="155" t="str">
        <f t="shared" si="50"/>
        <v/>
      </c>
      <c r="ED61" s="57">
        <v>0</v>
      </c>
      <c r="EE61" s="57">
        <f t="shared" si="65"/>
        <v>-1</v>
      </c>
      <c r="EF61" s="57"/>
      <c r="EG61" s="57">
        <f t="shared" ca="1" si="66"/>
        <v>0</v>
      </c>
      <c r="EH61" s="57">
        <f t="shared" ca="1" si="67"/>
        <v>0</v>
      </c>
      <c r="EI61" s="57">
        <f t="shared" ca="1" si="68"/>
        <v>0</v>
      </c>
      <c r="EJ61" s="57">
        <f t="shared" ca="1" si="69"/>
        <v>-1</v>
      </c>
      <c r="EK61" s="57">
        <v>0</v>
      </c>
      <c r="EM61" s="57">
        <f t="shared" si="70"/>
        <v>0</v>
      </c>
      <c r="EN61" s="57">
        <f t="shared" si="71"/>
        <v>0</v>
      </c>
      <c r="EO61" s="57">
        <f t="shared" si="72"/>
        <v>0</v>
      </c>
      <c r="EP61" s="57">
        <f>IF($CS$4&lt;&gt;3,0,IF(AND(CH61=INDEX(settings!$I$19:$P$19,1),LEN(CP61)=0),0,IF(EXACT(CH61,CP61),0,1)))</f>
        <v>0</v>
      </c>
      <c r="EQ61" s="57">
        <f>IF(settings!$C$1100,0,IF(CI61=CQ61,0,1))</f>
        <v>0</v>
      </c>
      <c r="ER61" s="57">
        <f t="shared" si="73"/>
        <v>0</v>
      </c>
      <c r="ES61" s="57">
        <f t="shared" si="74"/>
        <v>0</v>
      </c>
      <c r="ET61" s="57">
        <f t="shared" si="75"/>
        <v>0</v>
      </c>
      <c r="EU61" s="57">
        <f t="shared" si="76"/>
        <v>0</v>
      </c>
      <c r="FB61">
        <f>IF(DH61&lt;FH56,FH56,DH61)</f>
        <v>1</v>
      </c>
      <c r="FC61">
        <v>4</v>
      </c>
      <c r="FD61">
        <f t="shared" si="78"/>
        <v>1</v>
      </c>
      <c r="FE61">
        <f>IF(CD61,CP61,IF(FB61&gt;FI56,FI56,FB61))</f>
        <v>1</v>
      </c>
      <c r="FG61">
        <f t="shared" si="79"/>
        <v>1</v>
      </c>
      <c r="FH61">
        <f>FG56-SUM(FG57:FG61)-SUM(FD62:FD70)+FH56</f>
        <v>69</v>
      </c>
      <c r="FI61" t="b">
        <f t="shared" si="77"/>
        <v>1</v>
      </c>
    </row>
    <row r="62" spans="3:165" ht="11.25" customHeight="1" x14ac:dyDescent="0.2">
      <c r="C62" s="91">
        <v>17</v>
      </c>
      <c r="Q62">
        <v>17</v>
      </c>
      <c r="S62" s="70"/>
      <c r="T62" s="120" t="str">
        <f t="shared" si="51"/>
        <v/>
      </c>
      <c r="U62" s="529">
        <v>45463.75</v>
      </c>
      <c r="V62" s="530"/>
      <c r="W62" s="531">
        <v>0.75</v>
      </c>
      <c r="X62" s="532" t="s">
        <v>1188</v>
      </c>
      <c r="Y62" s="532"/>
      <c r="Z62" s="533" t="s">
        <v>613</v>
      </c>
      <c r="AA62" s="493" t="s">
        <v>198</v>
      </c>
      <c r="AB62" s="493"/>
      <c r="AC62" s="121" t="s">
        <v>583</v>
      </c>
      <c r="AD62" s="494" t="s">
        <v>199</v>
      </c>
      <c r="AE62" s="494"/>
      <c r="AF62" s="122"/>
      <c r="AG62" s="123" t="s">
        <v>583</v>
      </c>
      <c r="AH62" s="124"/>
      <c r="AI62" s="125"/>
      <c r="AJ62" s="125"/>
      <c r="AK62" s="384" t="s">
        <v>411</v>
      </c>
      <c r="AL62" s="126"/>
      <c r="AM62" s="70"/>
      <c r="AN62" s="127"/>
      <c r="AO62" s="128" t="s">
        <v>583</v>
      </c>
      <c r="AP62" s="129"/>
      <c r="AQ62" s="70"/>
      <c r="AR62" s="70"/>
      <c r="AS62" s="156" t="str">
        <f>IF(CA62=CA61,"",CA62)</f>
        <v/>
      </c>
      <c r="AT62" s="170" t="str">
        <f>VLOOKUP(BT62,tabbermsp!$B$335:$N$358,4,FALSE)</f>
        <v>ENG</v>
      </c>
      <c r="AU62" s="170"/>
      <c r="AV62" s="170"/>
      <c r="AW62" s="170">
        <f>VLOOKUP(BT62,tabbermsp!$B$335:$N$358,7,FALSE)</f>
        <v>0</v>
      </c>
      <c r="AX62" s="171" t="s">
        <v>583</v>
      </c>
      <c r="AY62" s="170">
        <f>VLOOKUP(BT62,tabbermsp!$B$335:$N$358,8,FALSE)</f>
        <v>0</v>
      </c>
      <c r="AZ62" s="172"/>
      <c r="BA62" s="173">
        <f>VLOOKUP(BT62,tabbermsp!$B$335:$N$358,9,FALSE)</f>
        <v>0</v>
      </c>
      <c r="BB62" s="170"/>
      <c r="BC62" s="170">
        <f>VLOOKUP(BT62,tabbermsp!$B$335:$N$358,6,FALSE)</f>
        <v>0</v>
      </c>
      <c r="BD62" s="170"/>
      <c r="BE62" s="114"/>
      <c r="BF62" s="145"/>
      <c r="BG62" s="114"/>
      <c r="BH62" s="146" t="str">
        <f>IF(VLOOKUP(BZ62,tabber!$B$335:$O$358,14,FALSE)=VLOOKUP(BZ61,tabber!$B$335:$O$358,14,FALSE),"",VLOOKUP(BZ62,tabber!$B$335:$O$358,14,FALSE))&amp;" "</f>
        <v xml:space="preserve"> </v>
      </c>
      <c r="BI62" s="174" t="str">
        <f>VLOOKUP(BT62,tabber!$B$335:$N$358,4,FALSE)</f>
        <v>ENG</v>
      </c>
      <c r="BJ62" s="175">
        <f>VLOOKUP(BT62,tabber!$B$335:$N$358,7,FALSE)</f>
        <v>0</v>
      </c>
      <c r="BK62" s="174" t="s">
        <v>583</v>
      </c>
      <c r="BL62" s="176">
        <f>VLOOKUP(BT62,tabber!$B$335:$N$358,8,FALSE)</f>
        <v>0</v>
      </c>
      <c r="BM62" s="177">
        <f>VLOOKUP(BT62,tabber!$B$335:$N$358,9,FALSE)</f>
        <v>0</v>
      </c>
      <c r="BN62" s="174">
        <f>VLOOKUP(BT62,tabber!$B$335:$N$358,6,FALSE)</f>
        <v>0</v>
      </c>
      <c r="BO62" s="114"/>
      <c r="BP62" s="145"/>
      <c r="BQ62" s="114"/>
      <c r="BR62" s="152">
        <f>IF(VLOOKUP(RIGHT(BT62,1),$DM$69:$DN$74,2,FALSE),1,IF(COUNTA(BF59:BF62)&lt;&gt;4,0,-1))</f>
        <v>0</v>
      </c>
      <c r="BS62" s="57">
        <f>IF(VLOOKUP(RIGHT(BT62,1),$DM$122:$DN$127,2,FALSE),1,IF(COUNTA(BP59:BP62)&lt;&gt;4,0,-1))</f>
        <v>0</v>
      </c>
      <c r="BT62" t="s">
        <v>641</v>
      </c>
      <c r="BU62" t="str">
        <f>VLOOKUP(BZ62,daten!$T$8:$U$31,2,FALSE)</f>
        <v>ENG</v>
      </c>
      <c r="BV62">
        <f>IF(ISERROR(MATCH(BF62,BU59:BU62,0)),0,IF(COUNTIF(BF59:BF62,"="&amp;BF62)&gt;1,0,MATCH(BF62,kuerzel,0)))</f>
        <v>0</v>
      </c>
      <c r="BW62">
        <f>IF(ISERROR(MATCH(BP62,BU59:BU62,0)),0,IF(COUNTIF(BP59:BP62,"="&amp;BP62)&gt;1,0,MATCH(BP62,kuerzel,0)))</f>
        <v>0</v>
      </c>
      <c r="BZ62" t="s">
        <v>641</v>
      </c>
      <c r="CA62" s="153">
        <f>VLOOKUP(BZ62,tabbermsp!$B$335:$O$358,14,FALSE)</f>
        <v>1</v>
      </c>
      <c r="CB62" s="91" t="str">
        <f>INDEX(daten!$G$59:$G$94,CC62)</f>
        <v>C-4</v>
      </c>
      <c r="CC62" s="59">
        <v>17</v>
      </c>
      <c r="CD62" t="b">
        <v>0</v>
      </c>
      <c r="CE62" s="57" t="str">
        <f t="shared" si="52"/>
        <v/>
      </c>
      <c r="CF62" s="57" t="str">
        <f t="shared" si="53"/>
        <v/>
      </c>
      <c r="CG62" s="57">
        <f t="shared" si="54"/>
        <v>0</v>
      </c>
      <c r="CH62" s="57">
        <f t="shared" si="55"/>
        <v>0</v>
      </c>
      <c r="CI62" s="57">
        <f t="shared" si="56"/>
        <v>0</v>
      </c>
      <c r="CJ62" s="57">
        <v>0</v>
      </c>
      <c r="CK62" s="57">
        <v>0</v>
      </c>
      <c r="CL62" s="57">
        <v>0</v>
      </c>
      <c r="CO62" s="57">
        <v>0</v>
      </c>
      <c r="CP62" s="57">
        <v>0</v>
      </c>
      <c r="CQ62" s="57">
        <v>0</v>
      </c>
      <c r="CR62" s="57">
        <v>0</v>
      </c>
      <c r="CS62" s="57">
        <v>0</v>
      </c>
      <c r="CT62" s="57">
        <v>0</v>
      </c>
      <c r="CV62">
        <f t="shared" si="57"/>
        <v>0</v>
      </c>
      <c r="CX62" t="b">
        <f t="shared" si="58"/>
        <v>0</v>
      </c>
      <c r="CY62" t="b">
        <f t="shared" si="59"/>
        <v>0</v>
      </c>
      <c r="CZ62" t="b">
        <v>0</v>
      </c>
      <c r="DA62">
        <f t="shared" si="60"/>
        <v>0</v>
      </c>
      <c r="DB62">
        <f>SUM($DA$56:$DA62)</f>
        <v>0</v>
      </c>
      <c r="DC62" t="b">
        <f t="shared" si="61"/>
        <v>0</v>
      </c>
      <c r="DE62">
        <v>2</v>
      </c>
      <c r="DF62" s="137">
        <v>1</v>
      </c>
      <c r="DG62" s="137">
        <v>10</v>
      </c>
      <c r="DH62">
        <f t="shared" si="62"/>
        <v>1</v>
      </c>
      <c r="DI62" s="138" t="str">
        <f t="shared" si="63"/>
        <v/>
      </c>
      <c r="DJ62" s="138" t="str">
        <f t="shared" si="64"/>
        <v/>
      </c>
      <c r="DL62" t="s">
        <v>632</v>
      </c>
      <c r="DM62" t="s">
        <v>665</v>
      </c>
      <c r="DN62">
        <f t="shared" si="44"/>
        <v>0</v>
      </c>
      <c r="DO62">
        <f>IF(DN62=0,0,INDEX(daten!$N$9:$N$32,DN62))</f>
        <v>0</v>
      </c>
      <c r="DQ62" t="s">
        <v>666</v>
      </c>
      <c r="DR62" s="59">
        <v>29</v>
      </c>
      <c r="DT62" s="154" t="str">
        <f t="shared" si="48"/>
        <v/>
      </c>
      <c r="DU62" s="154" t="str">
        <f t="shared" si="45"/>
        <v/>
      </c>
      <c r="DV62" s="155" t="str">
        <f t="shared" si="49"/>
        <v/>
      </c>
      <c r="DW62" s="155" t="str">
        <f t="shared" si="50"/>
        <v/>
      </c>
      <c r="ED62" s="57">
        <v>0</v>
      </c>
      <c r="EE62" s="57">
        <f t="shared" si="65"/>
        <v>-1</v>
      </c>
      <c r="EF62" s="57"/>
      <c r="EG62" s="57">
        <f t="shared" ca="1" si="66"/>
        <v>0</v>
      </c>
      <c r="EH62" s="57">
        <f t="shared" ca="1" si="67"/>
        <v>0</v>
      </c>
      <c r="EI62" s="57">
        <f t="shared" ca="1" si="68"/>
        <v>0</v>
      </c>
      <c r="EJ62" s="57">
        <f t="shared" ca="1" si="69"/>
        <v>-1</v>
      </c>
      <c r="EK62" s="57">
        <v>0</v>
      </c>
      <c r="EM62" s="57">
        <f t="shared" si="70"/>
        <v>0</v>
      </c>
      <c r="EN62" s="57">
        <f t="shared" si="71"/>
        <v>0</v>
      </c>
      <c r="EO62" s="57">
        <f t="shared" si="72"/>
        <v>0</v>
      </c>
      <c r="EP62" s="57">
        <f>IF($CS$4&lt;&gt;3,0,IF(AND(CH62=INDEX(settings!$I$19:$P$19,1),LEN(CP62)=0),0,IF(EXACT(CH62,CP62),0,1)))</f>
        <v>0</v>
      </c>
      <c r="EQ62" s="57">
        <f>IF(settings!$C$1100,0,IF(CI62=CQ62,0,1))</f>
        <v>0</v>
      </c>
      <c r="ER62" s="57">
        <f t="shared" si="73"/>
        <v>0</v>
      </c>
      <c r="ES62" s="57">
        <f t="shared" si="74"/>
        <v>0</v>
      </c>
      <c r="ET62" s="57">
        <f t="shared" si="75"/>
        <v>0</v>
      </c>
      <c r="EU62" s="57">
        <f t="shared" si="76"/>
        <v>0</v>
      </c>
      <c r="FB62">
        <f>IF(DH62&lt;FH56,FH56,DH62)</f>
        <v>1</v>
      </c>
      <c r="FC62">
        <v>5</v>
      </c>
      <c r="FD62">
        <f t="shared" si="78"/>
        <v>1</v>
      </c>
      <c r="FE62">
        <f>IF(CD62,CP62,IF(FB62&gt;FI56,FI56,FB62))</f>
        <v>1</v>
      </c>
      <c r="FG62">
        <f t="shared" si="79"/>
        <v>1</v>
      </c>
      <c r="FH62">
        <f>FG56-SUM(FG57:FG62)-SUM(FD63:FD70)+FH56</f>
        <v>69</v>
      </c>
      <c r="FI62" t="b">
        <f t="shared" si="77"/>
        <v>1</v>
      </c>
    </row>
    <row r="63" spans="3:165" ht="11.25" customHeight="1" x14ac:dyDescent="0.2">
      <c r="C63" s="91">
        <v>18</v>
      </c>
      <c r="Q63">
        <v>18</v>
      </c>
      <c r="S63" s="70"/>
      <c r="T63" s="120" t="str">
        <f t="shared" si="51"/>
        <v/>
      </c>
      <c r="U63" s="529">
        <v>45463.875</v>
      </c>
      <c r="V63" s="530"/>
      <c r="W63" s="531">
        <v>0.875</v>
      </c>
      <c r="X63" s="532" t="s">
        <v>1187</v>
      </c>
      <c r="Y63" s="532"/>
      <c r="Z63" s="533" t="s">
        <v>601</v>
      </c>
      <c r="AA63" s="493" t="s">
        <v>200</v>
      </c>
      <c r="AB63" s="493"/>
      <c r="AC63" s="121" t="s">
        <v>583</v>
      </c>
      <c r="AD63" s="494" t="s">
        <v>1154</v>
      </c>
      <c r="AE63" s="494"/>
      <c r="AF63" s="122"/>
      <c r="AG63" s="123" t="s">
        <v>583</v>
      </c>
      <c r="AH63" s="124"/>
      <c r="AI63" s="125"/>
      <c r="AJ63" s="125"/>
      <c r="AK63" s="384" t="s">
        <v>411</v>
      </c>
      <c r="AL63" s="126"/>
      <c r="AM63" s="70"/>
      <c r="AN63" s="127"/>
      <c r="AO63" s="128" t="s">
        <v>583</v>
      </c>
      <c r="AP63" s="129"/>
      <c r="AQ63" s="70"/>
      <c r="AR63" s="70"/>
      <c r="AS63" s="114"/>
      <c r="AT63" s="114"/>
      <c r="AU63" s="114"/>
      <c r="AV63" s="114"/>
      <c r="AW63" s="114"/>
      <c r="AX63" s="114"/>
      <c r="AY63" s="114"/>
      <c r="AZ63" s="114"/>
      <c r="BA63" s="114"/>
      <c r="BB63" s="114"/>
      <c r="BC63" s="114"/>
      <c r="BD63" s="114"/>
      <c r="BE63" s="114"/>
      <c r="BF63" s="114"/>
      <c r="BG63" s="114"/>
      <c r="BH63" s="114"/>
      <c r="BI63" s="114"/>
      <c r="BJ63" s="114"/>
      <c r="BK63" s="114"/>
      <c r="BL63" s="114"/>
      <c r="BM63" s="114"/>
      <c r="BN63" s="114"/>
      <c r="BO63" s="114"/>
      <c r="BP63" s="133"/>
      <c r="BQ63" s="114"/>
      <c r="BR63" s="70"/>
      <c r="CB63" s="91" t="str">
        <f>INDEX(daten!$G$59:$G$94,CC63)</f>
        <v>B-4</v>
      </c>
      <c r="CC63" s="59">
        <v>18</v>
      </c>
      <c r="CD63" t="b">
        <v>0</v>
      </c>
      <c r="CE63" s="57" t="str">
        <f t="shared" si="52"/>
        <v/>
      </c>
      <c r="CF63" s="57" t="str">
        <f t="shared" si="53"/>
        <v/>
      </c>
      <c r="CG63" s="57">
        <f t="shared" si="54"/>
        <v>0</v>
      </c>
      <c r="CH63" s="57">
        <f t="shared" si="55"/>
        <v>0</v>
      </c>
      <c r="CI63" s="57">
        <f t="shared" si="56"/>
        <v>0</v>
      </c>
      <c r="CJ63" s="57">
        <v>0</v>
      </c>
      <c r="CK63" s="57">
        <v>0</v>
      </c>
      <c r="CL63" s="57">
        <v>0</v>
      </c>
      <c r="CO63" s="57">
        <v>0</v>
      </c>
      <c r="CP63" s="57">
        <v>0</v>
      </c>
      <c r="CQ63" s="57">
        <v>0</v>
      </c>
      <c r="CR63" s="57">
        <v>0</v>
      </c>
      <c r="CS63" s="57">
        <v>0</v>
      </c>
      <c r="CT63" s="57">
        <v>0</v>
      </c>
      <c r="CV63">
        <f t="shared" si="57"/>
        <v>0</v>
      </c>
      <c r="CX63" t="b">
        <f t="shared" si="58"/>
        <v>0</v>
      </c>
      <c r="CY63" t="b">
        <f t="shared" si="59"/>
        <v>0</v>
      </c>
      <c r="CZ63" t="b">
        <v>0</v>
      </c>
      <c r="DA63">
        <f t="shared" si="60"/>
        <v>0</v>
      </c>
      <c r="DB63">
        <f>SUM($DA$56:$DA63)</f>
        <v>0</v>
      </c>
      <c r="DC63" t="b">
        <f t="shared" si="61"/>
        <v>0</v>
      </c>
      <c r="DE63">
        <v>2</v>
      </c>
      <c r="DF63" s="137">
        <v>1</v>
      </c>
      <c r="DG63" s="137">
        <v>10</v>
      </c>
      <c r="DH63">
        <f t="shared" si="62"/>
        <v>1</v>
      </c>
      <c r="DI63" s="138" t="str">
        <f t="shared" si="63"/>
        <v/>
      </c>
      <c r="DJ63" s="138" t="str">
        <f t="shared" si="64"/>
        <v/>
      </c>
      <c r="DL63" t="s">
        <v>632</v>
      </c>
      <c r="DM63" t="s">
        <v>430</v>
      </c>
      <c r="DN63">
        <f t="shared" si="44"/>
        <v>0</v>
      </c>
      <c r="DO63">
        <f>IF(DN63=0,0,INDEX(daten!$N$9:$N$32,DN63))</f>
        <v>0</v>
      </c>
      <c r="DQ63" t="s">
        <v>667</v>
      </c>
      <c r="DR63" s="59">
        <v>30</v>
      </c>
      <c r="DT63" s="154" t="str">
        <f t="shared" si="48"/>
        <v/>
      </c>
      <c r="DU63" s="154" t="str">
        <f t="shared" si="45"/>
        <v/>
      </c>
      <c r="DV63" s="155" t="str">
        <f t="shared" si="49"/>
        <v/>
      </c>
      <c r="DW63" s="155" t="str">
        <f t="shared" si="50"/>
        <v/>
      </c>
      <c r="ED63" s="57">
        <v>0</v>
      </c>
      <c r="EE63" s="57">
        <f t="shared" si="65"/>
        <v>-1</v>
      </c>
      <c r="EF63" s="57"/>
      <c r="EG63" s="57">
        <f t="shared" ca="1" si="66"/>
        <v>0</v>
      </c>
      <c r="EH63" s="57">
        <f t="shared" ca="1" si="67"/>
        <v>0</v>
      </c>
      <c r="EI63" s="57">
        <f t="shared" ca="1" si="68"/>
        <v>0</v>
      </c>
      <c r="EJ63" s="57">
        <f t="shared" ca="1" si="69"/>
        <v>-1</v>
      </c>
      <c r="EK63" s="57">
        <v>0</v>
      </c>
      <c r="EM63" s="57">
        <f t="shared" si="70"/>
        <v>0</v>
      </c>
      <c r="EN63" s="57">
        <f t="shared" si="71"/>
        <v>0</v>
      </c>
      <c r="EO63" s="57">
        <f t="shared" si="72"/>
        <v>0</v>
      </c>
      <c r="EP63" s="57">
        <f>IF($CS$4&lt;&gt;3,0,IF(AND(CH63=INDEX(settings!$I$19:$P$19,1),LEN(CP63)=0),0,IF(EXACT(CH63,CP63),0,1)))</f>
        <v>0</v>
      </c>
      <c r="EQ63" s="57">
        <f>IF(settings!$C$1100,0,IF(CI63=CQ63,0,1))</f>
        <v>0</v>
      </c>
      <c r="ER63" s="57">
        <f t="shared" si="73"/>
        <v>0</v>
      </c>
      <c r="ES63" s="57">
        <f t="shared" si="74"/>
        <v>0</v>
      </c>
      <c r="ET63" s="57">
        <f t="shared" si="75"/>
        <v>0</v>
      </c>
      <c r="EU63" s="57">
        <f t="shared" si="76"/>
        <v>0</v>
      </c>
      <c r="FB63">
        <f>IF(DH63&lt;FH56,FH56,DH63)</f>
        <v>1</v>
      </c>
      <c r="FC63">
        <v>6</v>
      </c>
      <c r="FD63">
        <f t="shared" si="78"/>
        <v>1</v>
      </c>
      <c r="FE63">
        <f>IF(CD63,CP63,IF(FB63&gt;FI56,FI56,FB63))</f>
        <v>1</v>
      </c>
      <c r="FG63">
        <f t="shared" si="79"/>
        <v>1</v>
      </c>
      <c r="FH63">
        <f>FG56-SUM(FG57:FG63)-SUM(FD64:FD70)+FH56</f>
        <v>69</v>
      </c>
      <c r="FI63" t="b">
        <f t="shared" si="77"/>
        <v>1</v>
      </c>
    </row>
    <row r="64" spans="3:165" ht="11.25" customHeight="1" x14ac:dyDescent="0.2">
      <c r="C64" s="91">
        <v>19</v>
      </c>
      <c r="Q64">
        <v>19</v>
      </c>
      <c r="S64" s="70"/>
      <c r="T64" s="120" t="str">
        <f t="shared" si="51"/>
        <v/>
      </c>
      <c r="U64" s="529">
        <v>45464.625</v>
      </c>
      <c r="V64" s="530"/>
      <c r="W64" s="531">
        <v>0.625</v>
      </c>
      <c r="X64" s="532" t="s">
        <v>1189</v>
      </c>
      <c r="Y64" s="532"/>
      <c r="Z64" s="533" t="s">
        <v>487</v>
      </c>
      <c r="AA64" s="493" t="s">
        <v>188</v>
      </c>
      <c r="AB64" s="493"/>
      <c r="AC64" s="121" t="s">
        <v>583</v>
      </c>
      <c r="AD64" s="494" t="s">
        <v>186</v>
      </c>
      <c r="AE64" s="494"/>
      <c r="AF64" s="122"/>
      <c r="AG64" s="123" t="s">
        <v>583</v>
      </c>
      <c r="AH64" s="124"/>
      <c r="AI64" s="125"/>
      <c r="AJ64" s="125"/>
      <c r="AK64" s="384" t="s">
        <v>411</v>
      </c>
      <c r="AL64" s="126"/>
      <c r="AM64" s="70"/>
      <c r="AN64" s="127"/>
      <c r="AO64" s="128" t="s">
        <v>583</v>
      </c>
      <c r="AP64" s="129"/>
      <c r="AQ64" s="70"/>
      <c r="AR64" s="70"/>
      <c r="AS64" s="114"/>
      <c r="AT64" s="114"/>
      <c r="AU64" s="114"/>
      <c r="AV64" s="114"/>
      <c r="AW64" s="114"/>
      <c r="AX64" s="114"/>
      <c r="AY64" s="114"/>
      <c r="AZ64" s="114"/>
      <c r="BA64" s="114"/>
      <c r="BB64" s="114"/>
      <c r="BC64" s="114"/>
      <c r="BD64" s="114"/>
      <c r="BE64" s="114"/>
      <c r="BF64" s="114"/>
      <c r="BG64" s="114"/>
      <c r="BH64" s="114"/>
      <c r="BI64" s="114"/>
      <c r="BJ64" s="114"/>
      <c r="BK64" s="114"/>
      <c r="BL64" s="114"/>
      <c r="BM64" s="114"/>
      <c r="BN64" s="114"/>
      <c r="BO64" s="114"/>
      <c r="BP64" s="133"/>
      <c r="BQ64" s="114"/>
      <c r="BR64" s="70"/>
      <c r="CB64" s="91" t="str">
        <f>INDEX(daten!$G$59:$G$94,CC64)</f>
        <v>E-3</v>
      </c>
      <c r="CC64" s="59">
        <v>19</v>
      </c>
      <c r="CD64" t="b">
        <v>0</v>
      </c>
      <c r="CE64" s="57" t="str">
        <f t="shared" si="52"/>
        <v/>
      </c>
      <c r="CF64" s="57" t="str">
        <f t="shared" si="53"/>
        <v/>
      </c>
      <c r="CG64" s="57">
        <f t="shared" si="54"/>
        <v>0</v>
      </c>
      <c r="CH64" s="57">
        <f t="shared" si="55"/>
        <v>0</v>
      </c>
      <c r="CI64" s="57">
        <f t="shared" si="56"/>
        <v>0</v>
      </c>
      <c r="CJ64" s="57">
        <v>0</v>
      </c>
      <c r="CK64" s="57">
        <v>0</v>
      </c>
      <c r="CL64" s="57">
        <v>0</v>
      </c>
      <c r="CO64" s="57">
        <v>0</v>
      </c>
      <c r="CP64" s="57">
        <v>0</v>
      </c>
      <c r="CQ64" s="57">
        <v>0</v>
      </c>
      <c r="CR64" s="57">
        <v>0</v>
      </c>
      <c r="CS64" s="57">
        <v>0</v>
      </c>
      <c r="CT64" s="57">
        <v>0</v>
      </c>
      <c r="CV64">
        <f t="shared" si="57"/>
        <v>0</v>
      </c>
      <c r="CX64" t="b">
        <f t="shared" si="58"/>
        <v>0</v>
      </c>
      <c r="CY64" t="b">
        <f t="shared" si="59"/>
        <v>0</v>
      </c>
      <c r="CZ64" t="b">
        <v>0</v>
      </c>
      <c r="DA64">
        <f t="shared" si="60"/>
        <v>0</v>
      </c>
      <c r="DB64">
        <f>SUM($DA$56:$DA64)</f>
        <v>0</v>
      </c>
      <c r="DC64" t="b">
        <f t="shared" si="61"/>
        <v>0</v>
      </c>
      <c r="DE64">
        <v>2</v>
      </c>
      <c r="DF64" s="137">
        <v>1</v>
      </c>
      <c r="DG64" s="137">
        <v>10</v>
      </c>
      <c r="DH64">
        <f t="shared" si="62"/>
        <v>1</v>
      </c>
      <c r="DI64" s="138" t="str">
        <f t="shared" si="63"/>
        <v/>
      </c>
      <c r="DJ64" s="138" t="str">
        <f t="shared" si="64"/>
        <v/>
      </c>
      <c r="DM64" t="s">
        <v>668</v>
      </c>
      <c r="DQ64" t="s">
        <v>669</v>
      </c>
      <c r="DR64" s="59">
        <v>8</v>
      </c>
      <c r="DT64" s="154" t="str">
        <f t="shared" si="48"/>
        <v/>
      </c>
      <c r="DU64" s="154" t="str">
        <f t="shared" si="45"/>
        <v/>
      </c>
      <c r="DV64" s="155" t="str">
        <f t="shared" si="49"/>
        <v/>
      </c>
      <c r="DW64" s="155" t="str">
        <f t="shared" si="50"/>
        <v/>
      </c>
      <c r="ED64" s="57">
        <v>0</v>
      </c>
      <c r="EE64" s="57">
        <f t="shared" si="65"/>
        <v>-1</v>
      </c>
      <c r="EF64" s="57"/>
      <c r="EG64" s="57">
        <f t="shared" ca="1" si="66"/>
        <v>0</v>
      </c>
      <c r="EH64" s="57">
        <f t="shared" ca="1" si="67"/>
        <v>0</v>
      </c>
      <c r="EI64" s="57">
        <f t="shared" ca="1" si="68"/>
        <v>0</v>
      </c>
      <c r="EJ64" s="57">
        <f t="shared" ca="1" si="69"/>
        <v>-1</v>
      </c>
      <c r="EK64" s="57">
        <v>0</v>
      </c>
      <c r="EM64" s="57">
        <f t="shared" si="70"/>
        <v>0</v>
      </c>
      <c r="EN64" s="57">
        <f t="shared" si="71"/>
        <v>0</v>
      </c>
      <c r="EO64" s="57">
        <f t="shared" si="72"/>
        <v>0</v>
      </c>
      <c r="EP64" s="57">
        <f>IF($CS$4&lt;&gt;3,0,IF(AND(CH64=INDEX(settings!$I$19:$P$19,1),LEN(CP64)=0),0,IF(EXACT(CH64,CP64),0,1)))</f>
        <v>0</v>
      </c>
      <c r="EQ64" s="57">
        <f>IF(settings!$C$1100,0,IF(CI64=CQ64,0,1))</f>
        <v>0</v>
      </c>
      <c r="ER64" s="57">
        <f t="shared" si="73"/>
        <v>0</v>
      </c>
      <c r="ES64" s="57">
        <f t="shared" si="74"/>
        <v>0</v>
      </c>
      <c r="ET64" s="57">
        <f t="shared" si="75"/>
        <v>0</v>
      </c>
      <c r="EU64" s="57">
        <f t="shared" si="76"/>
        <v>0</v>
      </c>
      <c r="FB64">
        <f>IF(DH64&lt;FH56,FH56,DH64)</f>
        <v>1</v>
      </c>
      <c r="FC64">
        <v>7</v>
      </c>
      <c r="FD64">
        <f t="shared" si="78"/>
        <v>1</v>
      </c>
      <c r="FE64">
        <f>IF(CD64,CP64,IF(FB64&gt;FI56,FI56,FB64))</f>
        <v>1</v>
      </c>
      <c r="FG64">
        <f t="shared" si="79"/>
        <v>1</v>
      </c>
      <c r="FH64">
        <f>FG56-SUM(FG57:FG64)-SUM(FD65:FD70)+FH56</f>
        <v>69</v>
      </c>
      <c r="FI64" t="b">
        <f t="shared" si="77"/>
        <v>1</v>
      </c>
    </row>
    <row r="65" spans="3:165" ht="11.25" customHeight="1" x14ac:dyDescent="0.2">
      <c r="C65" s="91">
        <v>20</v>
      </c>
      <c r="Q65">
        <v>20</v>
      </c>
      <c r="S65" s="70"/>
      <c r="T65" s="120" t="str">
        <f t="shared" si="51"/>
        <v/>
      </c>
      <c r="U65" s="529">
        <v>45464.75</v>
      </c>
      <c r="V65" s="530"/>
      <c r="W65" s="531">
        <v>0.75</v>
      </c>
      <c r="X65" s="532" t="s">
        <v>1183</v>
      </c>
      <c r="Y65" s="532"/>
      <c r="Z65" s="533" t="s">
        <v>608</v>
      </c>
      <c r="AA65" s="493" t="s">
        <v>195</v>
      </c>
      <c r="AB65" s="493"/>
      <c r="AC65" s="121" t="s">
        <v>583</v>
      </c>
      <c r="AD65" s="494" t="s">
        <v>192</v>
      </c>
      <c r="AE65" s="494"/>
      <c r="AF65" s="122"/>
      <c r="AG65" s="123" t="s">
        <v>583</v>
      </c>
      <c r="AH65" s="124"/>
      <c r="AI65" s="125"/>
      <c r="AJ65" s="125"/>
      <c r="AK65" s="384" t="s">
        <v>411</v>
      </c>
      <c r="AL65" s="126"/>
      <c r="AM65" s="70"/>
      <c r="AN65" s="127"/>
      <c r="AO65" s="128" t="s">
        <v>583</v>
      </c>
      <c r="AP65" s="129"/>
      <c r="AQ65" s="70"/>
      <c r="AR65" s="519" t="s">
        <v>608</v>
      </c>
      <c r="AS65" s="519"/>
      <c r="AT65" s="130" t="str">
        <f>IF(VLOOKUP(AR65,$DM$69:$DN$76,2,FALSE)," Manuell","")</f>
        <v/>
      </c>
      <c r="AU65" s="131"/>
      <c r="AV65" s="131"/>
      <c r="AW65" s="132" t="s">
        <v>585</v>
      </c>
      <c r="AX65" s="132"/>
      <c r="AY65" s="132"/>
      <c r="AZ65" s="131"/>
      <c r="BA65" s="132" t="s">
        <v>586</v>
      </c>
      <c r="BB65" s="132"/>
      <c r="BC65" s="132" t="s">
        <v>587</v>
      </c>
      <c r="BD65" s="132"/>
      <c r="BE65" s="114"/>
      <c r="BF65" s="133" t="s">
        <v>588</v>
      </c>
      <c r="BG65" s="133" t="s">
        <v>589</v>
      </c>
      <c r="BH65" s="134" t="s">
        <v>670</v>
      </c>
      <c r="BI65" s="135" t="str">
        <f>IF(VLOOKUP(AR65,$DM$122:$DN$129,2,FALSE)," Manuell","")</f>
        <v/>
      </c>
      <c r="BJ65" s="429" t="s">
        <v>585</v>
      </c>
      <c r="BK65" s="429"/>
      <c r="BL65" s="429"/>
      <c r="BM65" s="136" t="s">
        <v>586</v>
      </c>
      <c r="BN65" s="136" t="s">
        <v>587</v>
      </c>
      <c r="BO65" s="114"/>
      <c r="BP65" s="133" t="s">
        <v>588</v>
      </c>
      <c r="BQ65" s="133" t="s">
        <v>589</v>
      </c>
      <c r="BR65" s="70"/>
      <c r="CB65" s="91" t="str">
        <f>INDEX(daten!$G$59:$G$94,CC65)</f>
        <v>D-3</v>
      </c>
      <c r="CC65" s="59">
        <v>20</v>
      </c>
      <c r="CD65" t="b">
        <v>0</v>
      </c>
      <c r="CE65" s="57" t="str">
        <f t="shared" si="52"/>
        <v/>
      </c>
      <c r="CF65" s="57" t="str">
        <f t="shared" si="53"/>
        <v/>
      </c>
      <c r="CG65" s="57">
        <f t="shared" si="54"/>
        <v>0</v>
      </c>
      <c r="CH65" s="57">
        <f t="shared" si="55"/>
        <v>0</v>
      </c>
      <c r="CI65" s="57">
        <f t="shared" si="56"/>
        <v>0</v>
      </c>
      <c r="CJ65" s="57">
        <v>0</v>
      </c>
      <c r="CK65" s="57">
        <v>0</v>
      </c>
      <c r="CL65" s="57">
        <v>0</v>
      </c>
      <c r="CO65" s="57">
        <v>0</v>
      </c>
      <c r="CP65" s="57">
        <v>0</v>
      </c>
      <c r="CQ65" s="57">
        <v>0</v>
      </c>
      <c r="CR65" s="57">
        <v>0</v>
      </c>
      <c r="CS65" s="57">
        <v>0</v>
      </c>
      <c r="CT65" s="57">
        <v>0</v>
      </c>
      <c r="CV65">
        <f t="shared" si="57"/>
        <v>0</v>
      </c>
      <c r="CX65" t="b">
        <f t="shared" si="58"/>
        <v>0</v>
      </c>
      <c r="CY65" t="b">
        <f t="shared" si="59"/>
        <v>0</v>
      </c>
      <c r="CZ65" t="b">
        <v>0</v>
      </c>
      <c r="DA65">
        <f t="shared" si="60"/>
        <v>0</v>
      </c>
      <c r="DB65">
        <f>SUM($DA$56:$DA65)</f>
        <v>0</v>
      </c>
      <c r="DC65" t="b">
        <f t="shared" si="61"/>
        <v>0</v>
      </c>
      <c r="DE65">
        <v>2</v>
      </c>
      <c r="DF65" s="137">
        <v>1</v>
      </c>
      <c r="DG65" s="137">
        <v>10</v>
      </c>
      <c r="DH65">
        <f t="shared" si="62"/>
        <v>1</v>
      </c>
      <c r="DI65" s="138" t="str">
        <f t="shared" si="63"/>
        <v/>
      </c>
      <c r="DJ65" s="138" t="str">
        <f t="shared" si="64"/>
        <v/>
      </c>
      <c r="DM65" t="s">
        <v>671</v>
      </c>
      <c r="DQ65" t="s">
        <v>672</v>
      </c>
      <c r="DR65" s="59">
        <v>9</v>
      </c>
      <c r="DT65" s="154" t="str">
        <f t="shared" si="48"/>
        <v/>
      </c>
      <c r="DU65" s="154" t="str">
        <f t="shared" si="45"/>
        <v/>
      </c>
      <c r="DV65" s="155" t="str">
        <f t="shared" si="49"/>
        <v/>
      </c>
      <c r="DW65" s="155" t="str">
        <f t="shared" si="50"/>
        <v/>
      </c>
      <c r="ED65" s="57">
        <v>0</v>
      </c>
      <c r="EE65" s="57">
        <f t="shared" si="65"/>
        <v>-1</v>
      </c>
      <c r="EF65" s="57"/>
      <c r="EG65" s="57">
        <f t="shared" ca="1" si="66"/>
        <v>0</v>
      </c>
      <c r="EH65" s="57">
        <f t="shared" ca="1" si="67"/>
        <v>0</v>
      </c>
      <c r="EI65" s="57">
        <f t="shared" ca="1" si="68"/>
        <v>0</v>
      </c>
      <c r="EJ65" s="57">
        <f t="shared" ca="1" si="69"/>
        <v>-1</v>
      </c>
      <c r="EK65" s="57">
        <v>0</v>
      </c>
      <c r="EM65" s="57">
        <f t="shared" si="70"/>
        <v>0</v>
      </c>
      <c r="EN65" s="57">
        <f t="shared" si="71"/>
        <v>0</v>
      </c>
      <c r="EO65" s="57">
        <f t="shared" si="72"/>
        <v>0</v>
      </c>
      <c r="EP65" s="57">
        <f>IF($CS$4&lt;&gt;3,0,IF(AND(CH65=INDEX(settings!$I$19:$P$19,1),LEN(CP65)=0),0,IF(EXACT(CH65,CP65),0,1)))</f>
        <v>0</v>
      </c>
      <c r="EQ65" s="57">
        <f>IF(settings!$C$1100,0,IF(CI65=CQ65,0,1))</f>
        <v>0</v>
      </c>
      <c r="ER65" s="57">
        <f t="shared" si="73"/>
        <v>0</v>
      </c>
      <c r="ES65" s="57">
        <f t="shared" si="74"/>
        <v>0</v>
      </c>
      <c r="ET65" s="57">
        <f t="shared" si="75"/>
        <v>0</v>
      </c>
      <c r="EU65" s="57">
        <f t="shared" si="76"/>
        <v>0</v>
      </c>
      <c r="FB65">
        <f>IF(DH65&lt;FH56,FH56,DH65)</f>
        <v>1</v>
      </c>
      <c r="FC65">
        <v>8</v>
      </c>
      <c r="FD65">
        <f t="shared" si="78"/>
        <v>1</v>
      </c>
      <c r="FE65">
        <f>IF(CD65,CP65,IF(FB65&gt;FI56,FI56,FB65))</f>
        <v>1</v>
      </c>
      <c r="FG65">
        <f t="shared" si="79"/>
        <v>1</v>
      </c>
      <c r="FH65">
        <f>FG56-SUM(FG57:FG65)-SUM(FD66:FD70)+FH56</f>
        <v>69</v>
      </c>
      <c r="FI65" t="b">
        <f t="shared" si="77"/>
        <v>1</v>
      </c>
    </row>
    <row r="66" spans="3:165" ht="11.25" customHeight="1" x14ac:dyDescent="0.2">
      <c r="C66" s="91">
        <v>21</v>
      </c>
      <c r="Q66">
        <v>21</v>
      </c>
      <c r="S66" s="70"/>
      <c r="T66" s="120" t="str">
        <f t="shared" si="51"/>
        <v/>
      </c>
      <c r="U66" s="529">
        <v>45464.875</v>
      </c>
      <c r="V66" s="530"/>
      <c r="W66" s="531">
        <v>0.875</v>
      </c>
      <c r="X66" s="532" t="s">
        <v>1190</v>
      </c>
      <c r="Y66" s="532"/>
      <c r="Z66" s="533" t="s">
        <v>608</v>
      </c>
      <c r="AA66" s="493" t="s">
        <v>197</v>
      </c>
      <c r="AB66" s="493"/>
      <c r="AC66" s="121" t="s">
        <v>583</v>
      </c>
      <c r="AD66" s="494" t="s">
        <v>194</v>
      </c>
      <c r="AE66" s="494"/>
      <c r="AF66" s="122"/>
      <c r="AG66" s="123" t="s">
        <v>583</v>
      </c>
      <c r="AH66" s="124"/>
      <c r="AI66" s="125"/>
      <c r="AJ66" s="125"/>
      <c r="AK66" s="384" t="s">
        <v>411</v>
      </c>
      <c r="AL66" s="126"/>
      <c r="AM66" s="70"/>
      <c r="AN66" s="127"/>
      <c r="AO66" s="128" t="s">
        <v>583</v>
      </c>
      <c r="AP66" s="129"/>
      <c r="AQ66" s="70"/>
      <c r="AR66" s="70"/>
      <c r="AS66" s="139">
        <v>1</v>
      </c>
      <c r="AT66" s="140" t="str">
        <f>VLOOKUP(BT66,tabbermsp!$B$335:$N$358,4,FALSE)</f>
        <v>POL</v>
      </c>
      <c r="AU66" s="141"/>
      <c r="AV66" s="140"/>
      <c r="AW66" s="140">
        <f>VLOOKUP(BT66,tabbermsp!$B$335:$N$358,7,FALSE)</f>
        <v>0</v>
      </c>
      <c r="AX66" s="142" t="s">
        <v>583</v>
      </c>
      <c r="AY66" s="140">
        <f>VLOOKUP(BT66,tabbermsp!$B$335:$N$358,8,FALSE)</f>
        <v>0</v>
      </c>
      <c r="AZ66" s="143"/>
      <c r="BA66" s="144">
        <f>VLOOKUP(BT66,tabbermsp!$B$335:$N$358,9,FALSE)</f>
        <v>0</v>
      </c>
      <c r="BB66" s="140"/>
      <c r="BC66" s="140">
        <f>VLOOKUP(BT66,tabbermsp!$B$335:$N$358,6,FALSE)</f>
        <v>0</v>
      </c>
      <c r="BD66" s="140"/>
      <c r="BE66" s="114"/>
      <c r="BF66" s="145"/>
      <c r="BG66" s="114"/>
      <c r="BH66" s="146" t="str">
        <f>"1 "</f>
        <v xml:space="preserve">1 </v>
      </c>
      <c r="BI66" s="147" t="str">
        <f>VLOOKUP(BT66,tabber!$B$335:$N$358,4,FALSE)</f>
        <v>POL</v>
      </c>
      <c r="BJ66" s="148">
        <f>VLOOKUP(BT66,tabber!$B$335:$N$358,7,FALSE)</f>
        <v>0</v>
      </c>
      <c r="BK66" s="147" t="s">
        <v>583</v>
      </c>
      <c r="BL66" s="149">
        <f>VLOOKUP(BT66,tabber!$B$335:$N$358,8,FALSE)</f>
        <v>0</v>
      </c>
      <c r="BM66" s="150">
        <f>VLOOKUP(BT66,tabber!$B$335:$N$358,9,FALSE)</f>
        <v>0</v>
      </c>
      <c r="BN66" s="147">
        <f>VLOOKUP(BT66,tabber!$B$335:$N$358,6,FALSE)</f>
        <v>0</v>
      </c>
      <c r="BO66" s="114"/>
      <c r="BP66" s="145"/>
      <c r="BQ66" s="114"/>
      <c r="BR66" s="152">
        <f>IF(VLOOKUP(RIGHT(BT66,1),$DM$69:$DN$74,2,FALSE),1,IF(COUNTA(BF66:BF69)&lt;&gt;4,0,-1))</f>
        <v>0</v>
      </c>
      <c r="BS66" s="57">
        <f>IF(VLOOKUP(RIGHT(BT66,1),$DM$122:$DN$127,2,FALSE),1,IF(COUNTA(BP66:BP69)&lt;&gt;4,0,-1))</f>
        <v>0</v>
      </c>
      <c r="BT66" t="s">
        <v>643</v>
      </c>
      <c r="BU66" t="str">
        <f>VLOOKUP(BZ66,daten!$T$8:$U$31,2,FALSE)</f>
        <v>POL</v>
      </c>
      <c r="BV66">
        <f>IF(ISERROR(MATCH(BF66,BU66:BU69,0)),0,IF(COUNTIF(BF66:BF69,"="&amp;BF66)&gt;1,0,MATCH(BF66,kuerzel,0)))</f>
        <v>0</v>
      </c>
      <c r="BW66">
        <f>IF(ISERROR(MATCH(BP66,BU66:BU69,0)),0,IF(COUNTIF(BP66:BP69,"="&amp;BP66)&gt;1,0,MATCH(BP66,kuerzel,0)))</f>
        <v>0</v>
      </c>
      <c r="BZ66" t="s">
        <v>643</v>
      </c>
      <c r="CA66" s="153">
        <f>VLOOKUP(BZ66,tabbermsp!$B$335:$O$358,14,FALSE)</f>
        <v>1</v>
      </c>
      <c r="CB66" s="91" t="str">
        <f>INDEX(daten!$G$59:$G$94,CC66)</f>
        <v>D-4</v>
      </c>
      <c r="CC66" s="59">
        <v>21</v>
      </c>
      <c r="CD66" t="b">
        <v>0</v>
      </c>
      <c r="CE66" s="57" t="str">
        <f t="shared" si="52"/>
        <v/>
      </c>
      <c r="CF66" s="57" t="str">
        <f t="shared" si="53"/>
        <v/>
      </c>
      <c r="CG66" s="57">
        <f t="shared" si="54"/>
        <v>0</v>
      </c>
      <c r="CH66" s="57">
        <f t="shared" si="55"/>
        <v>0</v>
      </c>
      <c r="CI66" s="57">
        <f t="shared" si="56"/>
        <v>0</v>
      </c>
      <c r="CJ66" s="57">
        <v>0</v>
      </c>
      <c r="CK66" s="57">
        <v>0</v>
      </c>
      <c r="CL66" s="57">
        <v>0</v>
      </c>
      <c r="CO66" s="57">
        <v>0</v>
      </c>
      <c r="CP66" s="57">
        <v>0</v>
      </c>
      <c r="CQ66" s="57">
        <v>0</v>
      </c>
      <c r="CR66" s="57">
        <v>0</v>
      </c>
      <c r="CS66" s="57">
        <v>0</v>
      </c>
      <c r="CT66" s="57">
        <v>0</v>
      </c>
      <c r="CV66">
        <f t="shared" si="57"/>
        <v>0</v>
      </c>
      <c r="CX66" t="b">
        <f t="shared" si="58"/>
        <v>0</v>
      </c>
      <c r="CY66" t="b">
        <f t="shared" si="59"/>
        <v>0</v>
      </c>
      <c r="CZ66" t="b">
        <v>0</v>
      </c>
      <c r="DA66">
        <f t="shared" si="60"/>
        <v>0</v>
      </c>
      <c r="DB66">
        <f>SUM($DA$56:$DA66)</f>
        <v>0</v>
      </c>
      <c r="DC66" t="b">
        <f t="shared" si="61"/>
        <v>0</v>
      </c>
      <c r="DE66">
        <v>2</v>
      </c>
      <c r="DF66" s="137">
        <v>1</v>
      </c>
      <c r="DG66" s="137">
        <v>10</v>
      </c>
      <c r="DH66">
        <f t="shared" si="62"/>
        <v>1</v>
      </c>
      <c r="DI66" s="138" t="str">
        <f t="shared" si="63"/>
        <v/>
      </c>
      <c r="DJ66" s="138" t="str">
        <f t="shared" si="64"/>
        <v/>
      </c>
      <c r="DM66" t="s">
        <v>673</v>
      </c>
      <c r="DQ66" t="s">
        <v>674</v>
      </c>
      <c r="DR66" s="59">
        <v>19</v>
      </c>
      <c r="DT66" s="154" t="str">
        <f t="shared" si="48"/>
        <v/>
      </c>
      <c r="DU66" s="154" t="str">
        <f t="shared" si="45"/>
        <v/>
      </c>
      <c r="DV66" s="155" t="str">
        <f t="shared" si="49"/>
        <v/>
      </c>
      <c r="DW66" s="155" t="str">
        <f t="shared" si="50"/>
        <v/>
      </c>
      <c r="ED66" s="57">
        <v>0</v>
      </c>
      <c r="EE66" s="57">
        <f t="shared" si="65"/>
        <v>-1</v>
      </c>
      <c r="EF66" s="57"/>
      <c r="EG66" s="57">
        <f t="shared" ca="1" si="66"/>
        <v>0</v>
      </c>
      <c r="EH66" s="57">
        <f t="shared" ca="1" si="67"/>
        <v>0</v>
      </c>
      <c r="EI66" s="57">
        <f t="shared" ca="1" si="68"/>
        <v>0</v>
      </c>
      <c r="EJ66" s="57">
        <f t="shared" ca="1" si="69"/>
        <v>-1</v>
      </c>
      <c r="EK66" s="57">
        <v>0</v>
      </c>
      <c r="EM66" s="57">
        <f t="shared" si="70"/>
        <v>0</v>
      </c>
      <c r="EN66" s="57">
        <f t="shared" si="71"/>
        <v>0</v>
      </c>
      <c r="EO66" s="57">
        <f t="shared" si="72"/>
        <v>0</v>
      </c>
      <c r="EP66" s="57">
        <f>IF($CS$4&lt;&gt;3,0,IF(AND(CH66=INDEX(settings!$I$19:$P$19,1),LEN(CP66)=0),0,IF(EXACT(CH66,CP66),0,1)))</f>
        <v>0</v>
      </c>
      <c r="EQ66" s="57">
        <f>IF(settings!$C$1100,0,IF(CI66=CQ66,0,1))</f>
        <v>0</v>
      </c>
      <c r="ER66" s="57">
        <f t="shared" si="73"/>
        <v>0</v>
      </c>
      <c r="ES66" s="57">
        <f t="shared" si="74"/>
        <v>0</v>
      </c>
      <c r="ET66" s="57">
        <f t="shared" si="75"/>
        <v>0</v>
      </c>
      <c r="EU66" s="57">
        <f t="shared" si="76"/>
        <v>0</v>
      </c>
      <c r="FB66">
        <f>IF(DH66&lt;FH56,FH56,DH66)</f>
        <v>1</v>
      </c>
      <c r="FC66">
        <v>9</v>
      </c>
      <c r="FD66">
        <f t="shared" si="78"/>
        <v>1</v>
      </c>
      <c r="FE66">
        <f>IF(CD66,CP66,IF(FB66&gt;FI56,FI56,FB66))</f>
        <v>1</v>
      </c>
      <c r="FG66">
        <f t="shared" si="79"/>
        <v>1</v>
      </c>
      <c r="FH66">
        <f>FG56-SUM(FG57:FG66)-SUM(FD67:FD70)+FH56</f>
        <v>69</v>
      </c>
      <c r="FI66" t="b">
        <f t="shared" si="77"/>
        <v>1</v>
      </c>
    </row>
    <row r="67" spans="3:165" ht="11.25" customHeight="1" thickBot="1" x14ac:dyDescent="0.25">
      <c r="C67" s="91">
        <v>22</v>
      </c>
      <c r="Q67">
        <v>22</v>
      </c>
      <c r="S67" s="70"/>
      <c r="T67" s="120" t="str">
        <f t="shared" si="51"/>
        <v/>
      </c>
      <c r="U67" s="529">
        <v>45465.625</v>
      </c>
      <c r="V67" s="530"/>
      <c r="W67" s="531">
        <v>0.625</v>
      </c>
      <c r="X67" s="532" t="s">
        <v>1185</v>
      </c>
      <c r="Y67" s="532"/>
      <c r="Z67" s="533" t="s">
        <v>632</v>
      </c>
      <c r="AA67" s="493" t="s">
        <v>549</v>
      </c>
      <c r="AB67" s="493"/>
      <c r="AC67" s="121" t="s">
        <v>583</v>
      </c>
      <c r="AD67" s="494" t="s">
        <v>187</v>
      </c>
      <c r="AE67" s="494"/>
      <c r="AF67" s="122"/>
      <c r="AG67" s="123" t="s">
        <v>583</v>
      </c>
      <c r="AH67" s="124"/>
      <c r="AI67" s="125"/>
      <c r="AJ67" s="125"/>
      <c r="AK67" s="384" t="s">
        <v>411</v>
      </c>
      <c r="AL67" s="126"/>
      <c r="AM67" s="70"/>
      <c r="AN67" s="127"/>
      <c r="AO67" s="128" t="s">
        <v>583</v>
      </c>
      <c r="AP67" s="129"/>
      <c r="AQ67" s="70"/>
      <c r="AR67" s="70"/>
      <c r="AS67" s="156" t="str">
        <f>IF(CA67=CA66,"",CA67)</f>
        <v/>
      </c>
      <c r="AT67" s="140" t="str">
        <f>VLOOKUP(BT67,tabbermsp!$B$335:$N$358,4,FALSE)</f>
        <v>NED</v>
      </c>
      <c r="AU67" s="141"/>
      <c r="AV67" s="140"/>
      <c r="AW67" s="140">
        <f>VLOOKUP(BT67,tabbermsp!$B$335:$N$358,7,FALSE)</f>
        <v>0</v>
      </c>
      <c r="AX67" s="142" t="s">
        <v>583</v>
      </c>
      <c r="AY67" s="140">
        <f>VLOOKUP(BT67,tabbermsp!$B$335:$N$358,8,FALSE)</f>
        <v>0</v>
      </c>
      <c r="AZ67" s="143"/>
      <c r="BA67" s="144">
        <f>VLOOKUP(BT67,tabbermsp!$B$335:$N$358,9,FALSE)</f>
        <v>0</v>
      </c>
      <c r="BB67" s="140"/>
      <c r="BC67" s="140">
        <f>VLOOKUP(BT67,tabbermsp!$B$335:$N$358,6,FALSE)</f>
        <v>0</v>
      </c>
      <c r="BD67" s="140"/>
      <c r="BE67" s="114"/>
      <c r="BF67" s="145"/>
      <c r="BG67" s="114"/>
      <c r="BH67" s="146" t="str">
        <f>IF(VLOOKUP(BZ67,tabber!$B$335:$O$358,14,FALSE)=VLOOKUP(BZ66,tabber!$B$335:$O$358,14,FALSE),"",VLOOKUP(BZ67,tabber!$B$335:$O$358,14,FALSE))&amp;" "</f>
        <v xml:space="preserve"> </v>
      </c>
      <c r="BI67" s="157" t="str">
        <f>VLOOKUP(BT67,tabber!$B$335:$N$358,4,FALSE)</f>
        <v>NED</v>
      </c>
      <c r="BJ67" s="158">
        <f>VLOOKUP(BT67,tabber!$B$335:$N$358,7,FALSE)</f>
        <v>0</v>
      </c>
      <c r="BK67" s="159" t="s">
        <v>583</v>
      </c>
      <c r="BL67" s="160">
        <f>VLOOKUP(BT67,tabber!$B$335:$N$358,8,FALSE)</f>
        <v>0</v>
      </c>
      <c r="BM67" s="161">
        <f>VLOOKUP(BT67,tabber!$B$335:$N$358,9,FALSE)</f>
        <v>0</v>
      </c>
      <c r="BN67" s="157">
        <f>VLOOKUP(BT67,tabber!$B$335:$N$358,6,FALSE)</f>
        <v>0</v>
      </c>
      <c r="BO67" s="114"/>
      <c r="BP67" s="145"/>
      <c r="BQ67" s="114"/>
      <c r="BR67" s="152">
        <f>IF(VLOOKUP(RIGHT(BT67,1),$DM$69:$DN$74,2,FALSE),1,IF(COUNTA(BF66:BF69)&lt;&gt;4,0,-1))</f>
        <v>0</v>
      </c>
      <c r="BS67" s="57">
        <f>IF(VLOOKUP(RIGHT(BT67,1),$DM$122:$DN$127,2,FALSE),1,IF(COUNTA(BP66:BP69)&lt;&gt;4,0,-1))</f>
        <v>0</v>
      </c>
      <c r="BT67" t="s">
        <v>646</v>
      </c>
      <c r="BU67" t="str">
        <f>VLOOKUP(BZ67,daten!$T$8:$U$31,2,FALSE)</f>
        <v>NED</v>
      </c>
      <c r="BV67">
        <f>IF(ISERROR(MATCH(BF67,BU66:BU69,0)),0,IF(COUNTIF(BF66:BF69,"="&amp;BF67)&gt;1,0,MATCH(BF67,kuerzel,0)))</f>
        <v>0</v>
      </c>
      <c r="BW67">
        <f>IF(ISERROR(MATCH(BP67,BU66:BU69,0)),0,IF(COUNTIF(BP66:BP69,"="&amp;BP67)&gt;1,0,MATCH(BP67,kuerzel,0)))</f>
        <v>0</v>
      </c>
      <c r="BZ67" t="s">
        <v>646</v>
      </c>
      <c r="CA67" s="153">
        <f>VLOOKUP(BZ67,tabbermsp!$B$335:$O$358,14,FALSE)</f>
        <v>1</v>
      </c>
      <c r="CB67" s="91" t="str">
        <f>INDEX(daten!$G$59:$G$94,CC67)</f>
        <v>F-3</v>
      </c>
      <c r="CC67" s="59">
        <v>22</v>
      </c>
      <c r="CD67" t="b">
        <v>0</v>
      </c>
      <c r="CE67" s="57" t="str">
        <f t="shared" si="52"/>
        <v/>
      </c>
      <c r="CF67" s="57" t="str">
        <f t="shared" si="53"/>
        <v/>
      </c>
      <c r="CG67" s="57">
        <f t="shared" si="54"/>
        <v>0</v>
      </c>
      <c r="CH67" s="57">
        <f t="shared" si="55"/>
        <v>0</v>
      </c>
      <c r="CI67" s="57">
        <f t="shared" si="56"/>
        <v>0</v>
      </c>
      <c r="CJ67" s="57">
        <v>0</v>
      </c>
      <c r="CK67" s="57">
        <v>0</v>
      </c>
      <c r="CL67" s="57">
        <v>0</v>
      </c>
      <c r="CO67" s="57">
        <v>0</v>
      </c>
      <c r="CP67" s="57">
        <v>0</v>
      </c>
      <c r="CQ67" s="57">
        <v>0</v>
      </c>
      <c r="CR67" s="57">
        <v>0</v>
      </c>
      <c r="CS67" s="57">
        <v>0</v>
      </c>
      <c r="CT67" s="57">
        <v>0</v>
      </c>
      <c r="CV67">
        <f t="shared" si="57"/>
        <v>0</v>
      </c>
      <c r="CX67" t="b">
        <f t="shared" si="58"/>
        <v>0</v>
      </c>
      <c r="CY67" t="b">
        <f t="shared" si="59"/>
        <v>0</v>
      </c>
      <c r="CZ67" t="b">
        <v>0</v>
      </c>
      <c r="DA67">
        <f t="shared" si="60"/>
        <v>0</v>
      </c>
      <c r="DB67">
        <f>SUM($DA$56:$DA67)</f>
        <v>0</v>
      </c>
      <c r="DC67" t="b">
        <f t="shared" si="61"/>
        <v>0</v>
      </c>
      <c r="DE67">
        <v>2</v>
      </c>
      <c r="DF67" s="137">
        <v>1</v>
      </c>
      <c r="DG67" s="137">
        <v>10</v>
      </c>
      <c r="DH67">
        <f t="shared" si="62"/>
        <v>1</v>
      </c>
      <c r="DI67" s="138" t="str">
        <f t="shared" si="63"/>
        <v/>
      </c>
      <c r="DJ67" s="138" t="str">
        <f t="shared" si="64"/>
        <v/>
      </c>
      <c r="DM67" t="s">
        <v>675</v>
      </c>
      <c r="DQ67" t="s">
        <v>676</v>
      </c>
      <c r="DR67" s="59">
        <v>24</v>
      </c>
      <c r="DT67" s="154" t="str">
        <f t="shared" si="48"/>
        <v/>
      </c>
      <c r="DU67" s="154" t="str">
        <f t="shared" si="45"/>
        <v/>
      </c>
      <c r="DV67" s="155" t="str">
        <f t="shared" si="49"/>
        <v/>
      </c>
      <c r="DW67" s="155" t="str">
        <f t="shared" si="50"/>
        <v/>
      </c>
      <c r="ED67" s="57">
        <v>0</v>
      </c>
      <c r="EE67" s="57">
        <f t="shared" si="65"/>
        <v>-1</v>
      </c>
      <c r="EF67" s="57"/>
      <c r="EG67" s="57">
        <f t="shared" ca="1" si="66"/>
        <v>0</v>
      </c>
      <c r="EH67" s="57">
        <f t="shared" ca="1" si="67"/>
        <v>0</v>
      </c>
      <c r="EI67" s="57">
        <f t="shared" ca="1" si="68"/>
        <v>0</v>
      </c>
      <c r="EJ67" s="57">
        <f t="shared" ca="1" si="69"/>
        <v>-1</v>
      </c>
      <c r="EK67" s="57">
        <v>0</v>
      </c>
      <c r="EM67" s="57">
        <f t="shared" si="70"/>
        <v>0</v>
      </c>
      <c r="EN67" s="57">
        <f t="shared" si="71"/>
        <v>0</v>
      </c>
      <c r="EO67" s="57">
        <f t="shared" si="72"/>
        <v>0</v>
      </c>
      <c r="EP67" s="57">
        <f>IF($CS$4&lt;&gt;3,0,IF(AND(CH67=INDEX(settings!$I$19:$P$19,1),LEN(CP67)=0),0,IF(EXACT(CH67,CP67),0,1)))</f>
        <v>0</v>
      </c>
      <c r="EQ67" s="57">
        <f>IF(settings!$C$1100,0,IF(CI67=CQ67,0,1))</f>
        <v>0</v>
      </c>
      <c r="ER67" s="57">
        <f t="shared" si="73"/>
        <v>0</v>
      </c>
      <c r="ES67" s="57">
        <f t="shared" si="74"/>
        <v>0</v>
      </c>
      <c r="ET67" s="57">
        <f t="shared" si="75"/>
        <v>0</v>
      </c>
      <c r="EU67" s="57">
        <f t="shared" si="76"/>
        <v>0</v>
      </c>
      <c r="FB67">
        <f>IF(DH67&lt;FH56,FH56,DH67)</f>
        <v>1</v>
      </c>
      <c r="FC67">
        <v>10</v>
      </c>
      <c r="FD67">
        <f t="shared" si="78"/>
        <v>1</v>
      </c>
      <c r="FE67">
        <f>IF(CD67,CP67,IF(FB67&gt;FI56,FI56,FB67))</f>
        <v>1</v>
      </c>
      <c r="FG67">
        <f t="shared" si="79"/>
        <v>1</v>
      </c>
      <c r="FH67">
        <f>FG56-SUM(FG57:FG67)-SUM(FD68:FD70)+FH56</f>
        <v>69</v>
      </c>
      <c r="FI67" t="b">
        <f t="shared" si="77"/>
        <v>1</v>
      </c>
    </row>
    <row r="68" spans="3:165" ht="11.25" customHeight="1" thickBot="1" x14ac:dyDescent="0.25">
      <c r="C68" s="91">
        <v>23</v>
      </c>
      <c r="Q68">
        <v>23</v>
      </c>
      <c r="S68" s="70"/>
      <c r="T68" s="120" t="str">
        <f t="shared" si="51"/>
        <v/>
      </c>
      <c r="U68" s="529">
        <v>45465.75</v>
      </c>
      <c r="V68" s="530"/>
      <c r="W68" s="531">
        <v>0.75</v>
      </c>
      <c r="X68" s="532" t="s">
        <v>1184</v>
      </c>
      <c r="Y68" s="532"/>
      <c r="Z68" s="533" t="s">
        <v>632</v>
      </c>
      <c r="AA68" s="493" t="s">
        <v>196</v>
      </c>
      <c r="AB68" s="493"/>
      <c r="AC68" s="121" t="s">
        <v>583</v>
      </c>
      <c r="AD68" s="494" t="s">
        <v>189</v>
      </c>
      <c r="AE68" s="494"/>
      <c r="AF68" s="122"/>
      <c r="AG68" s="123" t="s">
        <v>583</v>
      </c>
      <c r="AH68" s="124"/>
      <c r="AI68" s="125"/>
      <c r="AJ68" s="125"/>
      <c r="AK68" s="384" t="s">
        <v>411</v>
      </c>
      <c r="AL68" s="126"/>
      <c r="AM68" s="70"/>
      <c r="AN68" s="127"/>
      <c r="AO68" s="128" t="s">
        <v>583</v>
      </c>
      <c r="AP68" s="129"/>
      <c r="AQ68" s="70"/>
      <c r="AR68" s="70"/>
      <c r="AS68" s="156" t="str">
        <f>IF(CA68=CA67,"",CA68)</f>
        <v/>
      </c>
      <c r="AT68" s="162" t="str">
        <f>VLOOKUP(BT68,tabbermsp!$B$335:$N$358,4,FALSE)</f>
        <v>AUT</v>
      </c>
      <c r="AU68" s="162"/>
      <c r="AV68" s="162"/>
      <c r="AW68" s="162">
        <f>VLOOKUP(BT68,tabbermsp!$B$335:$N$358,7,FALSE)</f>
        <v>0</v>
      </c>
      <c r="AX68" s="163" t="s">
        <v>583</v>
      </c>
      <c r="AY68" s="162">
        <f>VLOOKUP(BT68,tabbermsp!$B$335:$N$358,8,FALSE)</f>
        <v>0</v>
      </c>
      <c r="AZ68" s="164"/>
      <c r="BA68" s="165">
        <f>VLOOKUP(BT68,tabbermsp!$B$335:$N$358,9,FALSE)</f>
        <v>0</v>
      </c>
      <c r="BB68" s="162"/>
      <c r="BC68" s="162">
        <f>VLOOKUP(BT68,tabbermsp!$B$335:$N$358,6,FALSE)</f>
        <v>0</v>
      </c>
      <c r="BD68" s="162"/>
      <c r="BE68" s="114"/>
      <c r="BF68" s="145"/>
      <c r="BG68" s="151"/>
      <c r="BH68" s="146" t="str">
        <f>IF(VLOOKUP(BZ68,tabber!$B$335:$O$358,14,FALSE)=VLOOKUP(BZ67,tabber!$B$335:$O$358,14,FALSE),"",VLOOKUP(BZ68,tabber!$B$335:$O$358,14,FALSE))&amp;" "</f>
        <v xml:space="preserve"> </v>
      </c>
      <c r="BI68" s="166" t="str">
        <f>VLOOKUP(BT68,tabber!$B$335:$N$358,4,FALSE)</f>
        <v>AUT</v>
      </c>
      <c r="BJ68" s="167">
        <f>VLOOKUP(BT68,tabber!$B$335:$N$358,7,FALSE)</f>
        <v>0</v>
      </c>
      <c r="BK68" s="166" t="s">
        <v>583</v>
      </c>
      <c r="BL68" s="168">
        <f>VLOOKUP(BT68,tabber!$B$335:$N$358,8,FALSE)</f>
        <v>0</v>
      </c>
      <c r="BM68" s="169">
        <f>VLOOKUP(BT68,tabber!$B$335:$N$358,9,FALSE)</f>
        <v>0</v>
      </c>
      <c r="BN68" s="166">
        <f>VLOOKUP(BT68,tabber!$B$335:$N$358,6,FALSE)</f>
        <v>0</v>
      </c>
      <c r="BO68" s="114"/>
      <c r="BP68" s="145"/>
      <c r="BQ68" s="151"/>
      <c r="BR68" s="152">
        <f>IF(VLOOKUP(RIGHT(BT68,1),$DM$69:$DN$74,2,FALSE),1,IF(COUNTA(BF66:BF69)&lt;&gt;4,0,-1))</f>
        <v>0</v>
      </c>
      <c r="BS68" s="57">
        <f>IF(VLOOKUP(RIGHT(BT68,1),$DM$122:$DN$127,2,FALSE),1,IF(COUNTA(BP66:BP69)&lt;&gt;4,0,-1))</f>
        <v>0</v>
      </c>
      <c r="BT68" t="s">
        <v>648</v>
      </c>
      <c r="BU68" t="str">
        <f>VLOOKUP(BZ68,daten!$T$8:$U$31,2,FALSE)</f>
        <v>AUT</v>
      </c>
      <c r="BV68">
        <f>IF(ISERROR(MATCH(BF68,BU66:BU69,0)),0,IF(COUNTIF(BF66:BF69,"="&amp;BF68)&gt;1,0,MATCH(BF68,kuerzel,0)))</f>
        <v>0</v>
      </c>
      <c r="BW68">
        <f>IF(ISERROR(MATCH(BP68,BU66:BU69,0)),0,IF(COUNTIF(BP66:BP69,"="&amp;BP68)&gt;1,0,MATCH(BP68,kuerzel,0)))</f>
        <v>0</v>
      </c>
      <c r="BX68" t="e">
        <f>MATCH(AT68,tabbermsp!$H$392:$K$392,0)</f>
        <v>#N/A</v>
      </c>
      <c r="BY68">
        <f>MATCH(BI68,tabber!$H$392:$K$392,0)</f>
        <v>2</v>
      </c>
      <c r="BZ68" t="s">
        <v>648</v>
      </c>
      <c r="CA68" s="153">
        <f>VLOOKUP(BZ68,tabbermsp!$B$335:$O$358,14,FALSE)</f>
        <v>1</v>
      </c>
      <c r="CB68" s="91" t="str">
        <f>INDEX(daten!$G$59:$G$94,CC68)</f>
        <v>F-4</v>
      </c>
      <c r="CC68" s="59">
        <v>23</v>
      </c>
      <c r="CD68" t="b">
        <v>0</v>
      </c>
      <c r="CE68" s="57" t="str">
        <f t="shared" si="52"/>
        <v/>
      </c>
      <c r="CF68" s="57" t="str">
        <f t="shared" si="53"/>
        <v/>
      </c>
      <c r="CG68" s="57">
        <f t="shared" si="54"/>
        <v>0</v>
      </c>
      <c r="CH68" s="57">
        <f t="shared" si="55"/>
        <v>0</v>
      </c>
      <c r="CI68" s="57">
        <f t="shared" si="56"/>
        <v>0</v>
      </c>
      <c r="CJ68" s="57">
        <v>0</v>
      </c>
      <c r="CK68" s="57">
        <v>0</v>
      </c>
      <c r="CL68" s="57">
        <v>0</v>
      </c>
      <c r="CO68" s="57">
        <v>0</v>
      </c>
      <c r="CP68" s="57">
        <v>0</v>
      </c>
      <c r="CQ68" s="57">
        <v>0</v>
      </c>
      <c r="CR68" s="57">
        <v>0</v>
      </c>
      <c r="CS68" s="57">
        <v>0</v>
      </c>
      <c r="CT68" s="57">
        <v>0</v>
      </c>
      <c r="CV68">
        <f t="shared" si="57"/>
        <v>0</v>
      </c>
      <c r="CX68" t="b">
        <f t="shared" si="58"/>
        <v>0</v>
      </c>
      <c r="CY68" t="b">
        <f t="shared" si="59"/>
        <v>0</v>
      </c>
      <c r="CZ68" t="b">
        <v>0</v>
      </c>
      <c r="DA68">
        <f t="shared" si="60"/>
        <v>0</v>
      </c>
      <c r="DB68">
        <f>SUM($DA$56:$DA68)</f>
        <v>0</v>
      </c>
      <c r="DC68" t="b">
        <f t="shared" si="61"/>
        <v>0</v>
      </c>
      <c r="DE68">
        <v>2</v>
      </c>
      <c r="DF68" s="137">
        <v>1</v>
      </c>
      <c r="DG68" s="137">
        <v>10</v>
      </c>
      <c r="DH68">
        <f t="shared" si="62"/>
        <v>1</v>
      </c>
      <c r="DI68" s="138" t="str">
        <f t="shared" si="63"/>
        <v/>
      </c>
      <c r="DJ68" s="138" t="str">
        <f t="shared" si="64"/>
        <v/>
      </c>
      <c r="DN68" t="s">
        <v>677</v>
      </c>
      <c r="DQ68" t="s">
        <v>678</v>
      </c>
      <c r="DR68" s="59">
        <v>33</v>
      </c>
      <c r="DT68" s="154" t="str">
        <f t="shared" si="48"/>
        <v/>
      </c>
      <c r="DU68" s="154" t="str">
        <f t="shared" si="45"/>
        <v/>
      </c>
      <c r="DV68" s="155" t="str">
        <f t="shared" si="49"/>
        <v/>
      </c>
      <c r="DW68" s="155" t="str">
        <f t="shared" si="50"/>
        <v/>
      </c>
      <c r="ED68" s="57">
        <v>0</v>
      </c>
      <c r="EE68" s="57">
        <f t="shared" si="65"/>
        <v>-1</v>
      </c>
      <c r="EF68" s="57"/>
      <c r="EG68" s="57">
        <f t="shared" ca="1" si="66"/>
        <v>0</v>
      </c>
      <c r="EH68" s="57">
        <f t="shared" ca="1" si="67"/>
        <v>0</v>
      </c>
      <c r="EI68" s="57">
        <f t="shared" ca="1" si="68"/>
        <v>0</v>
      </c>
      <c r="EJ68" s="57">
        <f t="shared" ca="1" si="69"/>
        <v>-1</v>
      </c>
      <c r="EK68" s="57">
        <v>0</v>
      </c>
      <c r="EM68" s="57">
        <f t="shared" si="70"/>
        <v>0</v>
      </c>
      <c r="EN68" s="57">
        <f t="shared" si="71"/>
        <v>0</v>
      </c>
      <c r="EO68" s="57">
        <f t="shared" si="72"/>
        <v>0</v>
      </c>
      <c r="EP68" s="57">
        <f>IF($CS$4&lt;&gt;3,0,IF(AND(CH68=INDEX(settings!$I$19:$P$19,1),LEN(CP68)=0),0,IF(EXACT(CH68,CP68),0,1)))</f>
        <v>0</v>
      </c>
      <c r="EQ68" s="57">
        <f>IF(settings!$C$1100,0,IF(CI68=CQ68,0,1))</f>
        <v>0</v>
      </c>
      <c r="ER68" s="57">
        <f t="shared" si="73"/>
        <v>0</v>
      </c>
      <c r="ES68" s="57">
        <f t="shared" si="74"/>
        <v>0</v>
      </c>
      <c r="ET68" s="57">
        <f t="shared" si="75"/>
        <v>0</v>
      </c>
      <c r="EU68" s="57">
        <f t="shared" si="76"/>
        <v>0</v>
      </c>
      <c r="FB68">
        <f>IF(DH68&lt;FH56,FH56,DH68)</f>
        <v>1</v>
      </c>
      <c r="FC68">
        <v>11</v>
      </c>
      <c r="FD68">
        <f t="shared" si="78"/>
        <v>1</v>
      </c>
      <c r="FE68">
        <f>IF(CD68,CP68,IF(FB68&gt;FI56,FI56,FB68))</f>
        <v>1</v>
      </c>
      <c r="FG68">
        <f t="shared" si="79"/>
        <v>1</v>
      </c>
      <c r="FH68">
        <f>FG56-SUM(FG57:FG68)-SUM(FD69:FD70)+FH56</f>
        <v>69</v>
      </c>
      <c r="FI68" t="b">
        <f t="shared" si="77"/>
        <v>1</v>
      </c>
    </row>
    <row r="69" spans="3:165" ht="11.25" customHeight="1" x14ac:dyDescent="0.2">
      <c r="C69" s="91">
        <v>24</v>
      </c>
      <c r="Q69">
        <v>24</v>
      </c>
      <c r="S69" s="70"/>
      <c r="T69" s="120" t="str">
        <f t="shared" si="51"/>
        <v/>
      </c>
      <c r="U69" s="534">
        <v>45465.875</v>
      </c>
      <c r="V69" s="535"/>
      <c r="W69" s="536">
        <v>0.875</v>
      </c>
      <c r="X69" s="537" t="s">
        <v>1182</v>
      </c>
      <c r="Y69" s="537"/>
      <c r="Z69" s="538" t="s">
        <v>487</v>
      </c>
      <c r="AA69" s="493" t="s">
        <v>191</v>
      </c>
      <c r="AB69" s="493"/>
      <c r="AC69" s="121" t="s">
        <v>583</v>
      </c>
      <c r="AD69" s="494" t="s">
        <v>548</v>
      </c>
      <c r="AE69" s="494"/>
      <c r="AF69" s="122"/>
      <c r="AG69" s="123" t="s">
        <v>583</v>
      </c>
      <c r="AH69" s="124"/>
      <c r="AI69" s="125"/>
      <c r="AJ69" s="125"/>
      <c r="AK69" s="384" t="s">
        <v>411</v>
      </c>
      <c r="AL69" s="126"/>
      <c r="AM69" s="70"/>
      <c r="AN69" s="127"/>
      <c r="AO69" s="128" t="s">
        <v>583</v>
      </c>
      <c r="AP69" s="129"/>
      <c r="AQ69" s="70"/>
      <c r="AR69" s="70"/>
      <c r="AS69" s="156" t="str">
        <f>IF(CA69=CA68,"",CA69)</f>
        <v/>
      </c>
      <c r="AT69" s="170" t="str">
        <f>VLOOKUP(BT69,tabbermsp!$B$335:$N$358,4,FALSE)</f>
        <v>FRA</v>
      </c>
      <c r="AU69" s="170"/>
      <c r="AV69" s="170"/>
      <c r="AW69" s="170">
        <f>VLOOKUP(BT69,tabbermsp!$B$335:$N$358,7,FALSE)</f>
        <v>0</v>
      </c>
      <c r="AX69" s="171" t="s">
        <v>583</v>
      </c>
      <c r="AY69" s="170">
        <f>VLOOKUP(BT69,tabbermsp!$B$335:$N$358,8,FALSE)</f>
        <v>0</v>
      </c>
      <c r="AZ69" s="172"/>
      <c r="BA69" s="173">
        <f>VLOOKUP(BT69,tabbermsp!$B$335:$N$358,9,FALSE)</f>
        <v>0</v>
      </c>
      <c r="BB69" s="170"/>
      <c r="BC69" s="170">
        <f>VLOOKUP(BT69,tabbermsp!$B$335:$N$358,6,FALSE)</f>
        <v>0</v>
      </c>
      <c r="BD69" s="170"/>
      <c r="BE69" s="114"/>
      <c r="BF69" s="145"/>
      <c r="BG69" s="114"/>
      <c r="BH69" s="146" t="str">
        <f>IF(VLOOKUP(BZ69,tabber!$B$335:$O$358,14,FALSE)=VLOOKUP(BZ68,tabber!$B$335:$O$358,14,FALSE),"",VLOOKUP(BZ69,tabber!$B$335:$O$358,14,FALSE))&amp;" "</f>
        <v xml:space="preserve"> </v>
      </c>
      <c r="BI69" s="174" t="str">
        <f>VLOOKUP(BT69,tabber!$B$335:$N$358,4,FALSE)</f>
        <v>FRA</v>
      </c>
      <c r="BJ69" s="175">
        <f>VLOOKUP(BT69,tabber!$B$335:$N$358,7,FALSE)</f>
        <v>0</v>
      </c>
      <c r="BK69" s="174" t="s">
        <v>583</v>
      </c>
      <c r="BL69" s="176">
        <f>VLOOKUP(BT69,tabber!$B$335:$N$358,8,FALSE)</f>
        <v>0</v>
      </c>
      <c r="BM69" s="177">
        <f>VLOOKUP(BT69,tabber!$B$335:$N$358,9,FALSE)</f>
        <v>0</v>
      </c>
      <c r="BN69" s="174">
        <f>VLOOKUP(BT69,tabber!$B$335:$N$358,6,FALSE)</f>
        <v>0</v>
      </c>
      <c r="BO69" s="114"/>
      <c r="BP69" s="145"/>
      <c r="BQ69" s="114"/>
      <c r="BR69" s="152">
        <f>IF(VLOOKUP(RIGHT(BT69,1),$DM$69:$DN$74,2,FALSE),1,IF(COUNTA(BF66:BF69)&lt;&gt;4,0,-1))</f>
        <v>0</v>
      </c>
      <c r="BS69" s="57">
        <f>IF(VLOOKUP(RIGHT(BT69,1),$DM$122:$DN$127,2,FALSE),1,IF(COUNTA(BP66:BP69)&lt;&gt;4,0,-1))</f>
        <v>0</v>
      </c>
      <c r="BT69" t="s">
        <v>650</v>
      </c>
      <c r="BU69" t="str">
        <f>VLOOKUP(BZ69,daten!$T$8:$U$31,2,FALSE)</f>
        <v>FRA</v>
      </c>
      <c r="BV69">
        <f>IF(ISERROR(MATCH(BF69,BU66:BU69,0)),0,IF(COUNTIF(BF66:BF69,"="&amp;BF69)&gt;1,0,MATCH(BF69,kuerzel,0)))</f>
        <v>0</v>
      </c>
      <c r="BW69">
        <f>IF(ISERROR(MATCH(BP69,BU66:BU69,0)),0,IF(COUNTIF(BP66:BP69,"="&amp;BP69)&gt;1,0,MATCH(BP69,kuerzel,0)))</f>
        <v>0</v>
      </c>
      <c r="BZ69" t="s">
        <v>650</v>
      </c>
      <c r="CA69" s="153">
        <f>VLOOKUP(BZ69,tabbermsp!$B$335:$O$358,14,FALSE)</f>
        <v>1</v>
      </c>
      <c r="CB69" s="91" t="str">
        <f>INDEX(daten!$G$59:$G$94,CC69)</f>
        <v>E-4</v>
      </c>
      <c r="CC69" s="59">
        <v>24</v>
      </c>
      <c r="CD69" t="b">
        <v>0</v>
      </c>
      <c r="CE69" s="57" t="str">
        <f t="shared" si="52"/>
        <v/>
      </c>
      <c r="CF69" s="57" t="str">
        <f t="shared" si="53"/>
        <v/>
      </c>
      <c r="CG69" s="57">
        <f t="shared" si="54"/>
        <v>0</v>
      </c>
      <c r="CH69" s="57">
        <f t="shared" si="55"/>
        <v>0</v>
      </c>
      <c r="CI69" s="57">
        <f t="shared" si="56"/>
        <v>0</v>
      </c>
      <c r="CJ69" s="57">
        <v>0</v>
      </c>
      <c r="CK69" s="57">
        <v>0</v>
      </c>
      <c r="CL69" s="57">
        <v>0</v>
      </c>
      <c r="CO69" s="57">
        <v>0</v>
      </c>
      <c r="CP69" s="57">
        <v>0</v>
      </c>
      <c r="CQ69" s="57">
        <v>0</v>
      </c>
      <c r="CR69" s="57">
        <v>0</v>
      </c>
      <c r="CS69" s="57">
        <v>0</v>
      </c>
      <c r="CT69" s="57">
        <v>0</v>
      </c>
      <c r="CV69">
        <f t="shared" si="57"/>
        <v>0</v>
      </c>
      <c r="CX69" t="b">
        <f t="shared" si="58"/>
        <v>0</v>
      </c>
      <c r="CY69" t="b">
        <f t="shared" si="59"/>
        <v>0</v>
      </c>
      <c r="CZ69" t="b">
        <v>0</v>
      </c>
      <c r="DA69">
        <f t="shared" si="60"/>
        <v>0</v>
      </c>
      <c r="DB69">
        <f>SUM($DA$56:$DA69)</f>
        <v>0</v>
      </c>
      <c r="DC69" t="b">
        <f t="shared" si="61"/>
        <v>0</v>
      </c>
      <c r="DE69">
        <v>2</v>
      </c>
      <c r="DF69" s="137">
        <v>1</v>
      </c>
      <c r="DG69" s="137">
        <v>10</v>
      </c>
      <c r="DH69">
        <f t="shared" si="62"/>
        <v>1</v>
      </c>
      <c r="DI69" s="138" t="str">
        <f t="shared" si="63"/>
        <v/>
      </c>
      <c r="DJ69" s="138" t="str">
        <f t="shared" si="64"/>
        <v/>
      </c>
      <c r="DM69" t="s">
        <v>581</v>
      </c>
      <c r="DN69" t="b">
        <f t="array" ref="DN69">SUM(IF(DL40:DL63=DM69,IF(DO40:DO63&gt;0,1,0)))=4</f>
        <v>0</v>
      </c>
      <c r="DQ69" t="s">
        <v>679</v>
      </c>
      <c r="DR69" s="59">
        <v>34</v>
      </c>
      <c r="DT69" s="154" t="str">
        <f t="shared" si="48"/>
        <v/>
      </c>
      <c r="DU69" s="154" t="str">
        <f t="shared" si="45"/>
        <v/>
      </c>
      <c r="DV69" s="155" t="str">
        <f t="shared" si="49"/>
        <v/>
      </c>
      <c r="DW69" s="155" t="str">
        <f t="shared" si="50"/>
        <v/>
      </c>
      <c r="ED69" s="57">
        <v>0</v>
      </c>
      <c r="EE69" s="57">
        <f t="shared" si="65"/>
        <v>-1</v>
      </c>
      <c r="EF69" s="57"/>
      <c r="EG69" s="57">
        <f t="shared" ca="1" si="66"/>
        <v>0</v>
      </c>
      <c r="EH69" s="57">
        <f t="shared" ca="1" si="67"/>
        <v>0</v>
      </c>
      <c r="EI69" s="57">
        <f t="shared" ca="1" si="68"/>
        <v>0</v>
      </c>
      <c r="EJ69" s="57">
        <f t="shared" ca="1" si="69"/>
        <v>-1</v>
      </c>
      <c r="EK69" s="57">
        <v>0</v>
      </c>
      <c r="EM69" s="57">
        <f t="shared" si="70"/>
        <v>0</v>
      </c>
      <c r="EN69" s="57">
        <f t="shared" si="71"/>
        <v>0</v>
      </c>
      <c r="EO69" s="57">
        <f t="shared" si="72"/>
        <v>0</v>
      </c>
      <c r="EP69" s="57">
        <f>IF($CS$4&lt;&gt;3,0,IF(AND(CH69=INDEX(settings!$I$19:$P$19,1),LEN(CP69)=0),0,IF(EXACT(CH69,CP69),0,1)))</f>
        <v>0</v>
      </c>
      <c r="EQ69" s="57">
        <f>IF(settings!$C$1100,0,IF(CI69=CQ69,0,1))</f>
        <v>0</v>
      </c>
      <c r="ER69" s="57">
        <f t="shared" si="73"/>
        <v>0</v>
      </c>
      <c r="ES69" s="57">
        <f t="shared" si="74"/>
        <v>0</v>
      </c>
      <c r="ET69" s="57">
        <f t="shared" si="75"/>
        <v>0</v>
      </c>
      <c r="EU69" s="57">
        <f t="shared" si="76"/>
        <v>0</v>
      </c>
      <c r="FB69">
        <f>IF(DH69&lt;FH56,FH56,DH69)</f>
        <v>1</v>
      </c>
      <c r="FC69">
        <v>12</v>
      </c>
      <c r="FD69">
        <f t="shared" si="78"/>
        <v>1</v>
      </c>
      <c r="FE69">
        <f>IF(CD69,CP69,IF(FB69&gt;FI56,FI56,FB69))</f>
        <v>1</v>
      </c>
      <c r="FG69">
        <f t="shared" si="79"/>
        <v>1</v>
      </c>
      <c r="FH69">
        <f>FG56-SUM(FG57:FG69)-SUM(FD70:FD70)+FH56</f>
        <v>69</v>
      </c>
      <c r="FI69" t="b">
        <f t="shared" si="77"/>
        <v>1</v>
      </c>
    </row>
    <row r="70" spans="3:165" ht="6.9" customHeight="1" thickBot="1" x14ac:dyDescent="0.25">
      <c r="C70" s="91"/>
      <c r="S70" s="70"/>
      <c r="T70" s="178"/>
      <c r="U70" s="192"/>
      <c r="V70" s="193"/>
      <c r="W70" s="193"/>
      <c r="X70" s="193"/>
      <c r="Y70" s="193"/>
      <c r="Z70" s="193"/>
      <c r="AA70" s="194"/>
      <c r="AB70" s="194"/>
      <c r="AC70" s="193"/>
      <c r="AD70" s="195"/>
      <c r="AE70" s="195"/>
      <c r="AF70" s="196"/>
      <c r="AG70" s="197"/>
      <c r="AH70" s="198"/>
      <c r="AI70" s="192"/>
      <c r="AJ70" s="192"/>
      <c r="AK70" s="192"/>
      <c r="AL70" s="183"/>
      <c r="AM70" s="70"/>
      <c r="AN70" s="70"/>
      <c r="AO70" s="70"/>
      <c r="AP70" s="70"/>
      <c r="AQ70" s="70"/>
      <c r="AR70" s="70"/>
      <c r="AS70" s="199"/>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33"/>
      <c r="BQ70" s="114"/>
      <c r="BR70" s="70"/>
      <c r="CB70" s="91"/>
      <c r="DF70" s="137"/>
      <c r="DG70" s="137"/>
      <c r="DM70" t="s">
        <v>601</v>
      </c>
      <c r="DN70" t="b">
        <f t="array" ref="DN70">SUM(IF(DL40:DL63=DM70,IF(DO40:DO63&gt;0,1,0)))=4</f>
        <v>0</v>
      </c>
      <c r="DQ70" t="s">
        <v>680</v>
      </c>
      <c r="DR70" s="59">
        <v>11</v>
      </c>
      <c r="DT70" s="154" t="str">
        <f t="shared" si="48"/>
        <v/>
      </c>
      <c r="DU70" s="154" t="str">
        <f t="shared" si="45"/>
        <v/>
      </c>
      <c r="DV70" s="155" t="str">
        <f t="shared" si="49"/>
        <v/>
      </c>
      <c r="DW70" s="155" t="str">
        <f t="shared" si="50"/>
        <v/>
      </c>
    </row>
    <row r="71" spans="3:165" ht="3" customHeight="1" x14ac:dyDescent="0.2">
      <c r="C71" s="91"/>
      <c r="S71" s="70"/>
      <c r="T71" s="99"/>
      <c r="U71" s="110"/>
      <c r="V71" s="179"/>
      <c r="W71" s="179"/>
      <c r="X71" s="179"/>
      <c r="Y71" s="179"/>
      <c r="Z71" s="179"/>
      <c r="AA71" s="180"/>
      <c r="AB71" s="180"/>
      <c r="AC71" s="179"/>
      <c r="AD71" s="181"/>
      <c r="AE71" s="181"/>
      <c r="AF71" s="106"/>
      <c r="AG71" s="102"/>
      <c r="AH71" s="182"/>
      <c r="AI71" s="110"/>
      <c r="AJ71" s="110"/>
      <c r="AK71" s="110"/>
      <c r="AL71" s="191"/>
      <c r="AM71" s="70"/>
      <c r="AN71" s="70"/>
      <c r="AO71" s="70"/>
      <c r="AP71" s="70"/>
      <c r="AQ71" s="70"/>
      <c r="AR71" s="70"/>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33"/>
      <c r="BQ71" s="114"/>
      <c r="BR71" s="70"/>
      <c r="CB71" s="91"/>
      <c r="DF71" s="137"/>
      <c r="DG71" s="137"/>
      <c r="DM71" t="s">
        <v>613</v>
      </c>
      <c r="DN71" t="b">
        <f t="array" ref="DN71">SUM(IF(DL40:DL63=DM71,IF(DO40:DO63&gt;0,1,0)))=4</f>
        <v>0</v>
      </c>
      <c r="DQ71" t="s">
        <v>681</v>
      </c>
      <c r="DR71" s="59">
        <v>12</v>
      </c>
      <c r="DT71" s="154" t="str">
        <f t="shared" si="48"/>
        <v/>
      </c>
      <c r="DU71" s="154" t="str">
        <f t="shared" si="45"/>
        <v/>
      </c>
      <c r="DV71" s="155" t="str">
        <f t="shared" si="49"/>
        <v/>
      </c>
      <c r="DW71" s="155" t="str">
        <f t="shared" si="50"/>
        <v/>
      </c>
    </row>
    <row r="72" spans="3:165" ht="15" customHeight="1" x14ac:dyDescent="0.2">
      <c r="C72" s="91"/>
      <c r="S72" s="70"/>
      <c r="T72" s="99"/>
      <c r="U72" s="100" t="s">
        <v>682</v>
      </c>
      <c r="V72" s="101"/>
      <c r="W72" s="101"/>
      <c r="X72" s="101"/>
      <c r="Y72" s="101"/>
      <c r="Z72" s="101"/>
      <c r="AA72" s="101"/>
      <c r="AB72" s="101"/>
      <c r="AC72" s="101"/>
      <c r="AD72" s="101"/>
      <c r="AE72" s="101"/>
      <c r="AF72" s="102"/>
      <c r="AG72" s="102"/>
      <c r="AH72" s="102"/>
      <c r="AI72" s="102"/>
      <c r="AJ72" s="102"/>
      <c r="AK72" s="102"/>
      <c r="AL72" s="103"/>
      <c r="AM72" s="70"/>
      <c r="AN72" s="70"/>
      <c r="AO72" s="70"/>
      <c r="AP72" s="70"/>
      <c r="AQ72" s="70"/>
      <c r="AR72" s="70"/>
      <c r="AS72" s="114"/>
      <c r="AT72" s="114"/>
      <c r="AU72" s="114"/>
      <c r="AV72" s="114"/>
      <c r="AW72" s="114"/>
      <c r="AX72" s="114"/>
      <c r="AY72" s="114"/>
      <c r="AZ72" s="114"/>
      <c r="BA72" s="114"/>
      <c r="BB72" s="114"/>
      <c r="BC72" s="114"/>
      <c r="BD72" s="114"/>
      <c r="BE72" s="114"/>
      <c r="BF72" s="114"/>
      <c r="BG72" s="114"/>
      <c r="BH72" s="114"/>
      <c r="BI72" s="114"/>
      <c r="BJ72" s="114"/>
      <c r="BK72" s="114"/>
      <c r="BL72" s="114"/>
      <c r="BM72" s="114"/>
      <c r="BN72" s="114"/>
      <c r="BO72" s="114"/>
      <c r="BP72" s="133"/>
      <c r="BQ72" s="114"/>
      <c r="BR72" s="70"/>
      <c r="CB72" s="91"/>
      <c r="DF72" s="137"/>
      <c r="DG72" s="137"/>
      <c r="DM72" t="s">
        <v>608</v>
      </c>
      <c r="DN72" t="b">
        <f t="array" ref="DN72">SUM(IF(DL40:DL63=DM72,IF(DO40:DO63&gt;0,1,0)))=4</f>
        <v>0</v>
      </c>
      <c r="DQ72" t="s">
        <v>683</v>
      </c>
      <c r="DR72" s="59">
        <v>22</v>
      </c>
      <c r="DT72" s="154" t="str">
        <f t="shared" si="48"/>
        <v/>
      </c>
      <c r="DU72" s="154" t="str">
        <f t="shared" si="45"/>
        <v/>
      </c>
      <c r="DV72" s="155" t="str">
        <f t="shared" si="49"/>
        <v/>
      </c>
      <c r="DW72" s="155" t="str">
        <f t="shared" si="50"/>
        <v/>
      </c>
      <c r="FG72" s="57"/>
      <c r="FH72" s="57"/>
      <c r="FI72" s="57"/>
    </row>
    <row r="73" spans="3:165" ht="11.25" hidden="1" customHeight="1" thickBot="1" x14ac:dyDescent="0.25">
      <c r="C73" s="91"/>
      <c r="S73" s="70"/>
      <c r="T73" s="99"/>
      <c r="U73" s="481" t="s">
        <v>469</v>
      </c>
      <c r="V73" s="481"/>
      <c r="W73" s="482"/>
      <c r="X73" s="104">
        <f>INDEX(settings!$I$18:$P$18,DE77)</f>
        <v>80</v>
      </c>
      <c r="Y73" s="481" t="s">
        <v>470</v>
      </c>
      <c r="Z73" s="482"/>
      <c r="AA73" s="105">
        <f>DF77</f>
        <v>1</v>
      </c>
      <c r="AB73" s="104">
        <f>DG77</f>
        <v>10</v>
      </c>
      <c r="AC73" s="481" t="s">
        <v>471</v>
      </c>
      <c r="AD73" s="482"/>
      <c r="AE73" s="104">
        <f>X73-AJ73</f>
        <v>68</v>
      </c>
      <c r="AF73" s="483"/>
      <c r="AG73" s="484"/>
      <c r="AH73" s="484"/>
      <c r="AI73" s="102"/>
      <c r="AJ73" s="107">
        <f>SUM(FG77:FG88)</f>
        <v>12</v>
      </c>
      <c r="AK73" s="101"/>
      <c r="AL73" s="108"/>
      <c r="AM73" s="70"/>
      <c r="AN73" s="70"/>
      <c r="AO73" s="70"/>
      <c r="AP73" s="70"/>
      <c r="AQ73" s="70"/>
      <c r="AR73" s="70"/>
      <c r="AS73" s="114"/>
      <c r="AT73" s="114"/>
      <c r="AU73" s="114"/>
      <c r="AV73" s="114"/>
      <c r="AW73" s="114"/>
      <c r="AX73" s="114"/>
      <c r="AY73" s="114"/>
      <c r="AZ73" s="114"/>
      <c r="BA73" s="114"/>
      <c r="BB73" s="114"/>
      <c r="BC73" s="114"/>
      <c r="BD73" s="114"/>
      <c r="BE73" s="114"/>
      <c r="BF73" s="114"/>
      <c r="BG73" s="114"/>
      <c r="BH73" s="114"/>
      <c r="BI73" s="114"/>
      <c r="BJ73" s="114"/>
      <c r="BK73" s="114"/>
      <c r="BL73" s="114"/>
      <c r="BM73" s="114"/>
      <c r="BN73" s="114"/>
      <c r="BO73" s="114"/>
      <c r="BP73" s="133"/>
      <c r="BQ73" s="114"/>
      <c r="BR73" s="70"/>
      <c r="CB73" s="91"/>
      <c r="DF73" s="137"/>
      <c r="DG73" s="137"/>
      <c r="DM73" t="s">
        <v>487</v>
      </c>
      <c r="DN73" t="b">
        <f t="array" ref="DN73">SUM(IF(DL40:DL63=DM73,IF(DO40:DO63&gt;0,1,0)))=4</f>
        <v>0</v>
      </c>
      <c r="DQ73" t="s">
        <v>684</v>
      </c>
      <c r="DR73" s="59">
        <v>23</v>
      </c>
      <c r="DT73" s="154" t="str">
        <f t="shared" si="48"/>
        <v/>
      </c>
      <c r="DU73" s="154" t="str">
        <f t="shared" si="45"/>
        <v/>
      </c>
      <c r="DV73" s="155" t="str">
        <f t="shared" si="49"/>
        <v/>
      </c>
      <c r="DW73" s="155" t="str">
        <f t="shared" si="50"/>
        <v/>
      </c>
      <c r="FG73" s="57"/>
      <c r="FH73" s="57"/>
      <c r="FI73" s="57"/>
    </row>
    <row r="74" spans="3:165" ht="3.9" customHeight="1" x14ac:dyDescent="0.2">
      <c r="C74" s="91"/>
      <c r="S74" s="70"/>
      <c r="T74" s="99"/>
      <c r="U74" s="106"/>
      <c r="V74" s="106"/>
      <c r="W74" s="106"/>
      <c r="X74" s="110"/>
      <c r="Y74" s="106"/>
      <c r="Z74" s="106"/>
      <c r="AA74" s="110"/>
      <c r="AB74" s="110"/>
      <c r="AC74" s="106"/>
      <c r="AD74" s="106"/>
      <c r="AE74" s="110"/>
      <c r="AF74" s="101"/>
      <c r="AG74" s="101"/>
      <c r="AH74" s="101"/>
      <c r="AI74" s="101"/>
      <c r="AJ74" s="101"/>
      <c r="AK74" s="101"/>
      <c r="AL74" s="108"/>
      <c r="AM74" s="70"/>
      <c r="AN74" s="70"/>
      <c r="AO74" s="70"/>
      <c r="AP74" s="70"/>
      <c r="AQ74" s="70"/>
      <c r="AR74" s="70"/>
      <c r="AS74" s="114"/>
      <c r="AT74" s="114"/>
      <c r="AU74" s="114"/>
      <c r="AV74" s="114"/>
      <c r="AW74" s="114"/>
      <c r="AX74" s="114"/>
      <c r="AY74" s="114"/>
      <c r="AZ74" s="114"/>
      <c r="BA74" s="114"/>
      <c r="BB74" s="114"/>
      <c r="BC74" s="114"/>
      <c r="BD74" s="114"/>
      <c r="BE74" s="114"/>
      <c r="BF74" s="114"/>
      <c r="BG74" s="114"/>
      <c r="BH74" s="114"/>
      <c r="BI74" s="114"/>
      <c r="BJ74" s="114"/>
      <c r="BK74" s="114"/>
      <c r="BL74" s="114"/>
      <c r="BM74" s="114"/>
      <c r="BN74" s="114"/>
      <c r="BO74" s="114"/>
      <c r="BP74" s="133"/>
      <c r="BQ74" s="114"/>
      <c r="BR74" s="70"/>
      <c r="CB74" s="91"/>
      <c r="DF74" s="137"/>
      <c r="DG74" s="137"/>
      <c r="DM74" t="s">
        <v>632</v>
      </c>
      <c r="DN74" t="b">
        <f t="array" ref="DN74">SUM(IF(DL40:DL63=DM74,IF(DO40:DO63&gt;0,1,0)))=4</f>
        <v>0</v>
      </c>
      <c r="DQ74" t="s">
        <v>685</v>
      </c>
      <c r="DR74" s="59">
        <v>35</v>
      </c>
      <c r="DT74" s="154" t="str">
        <f t="shared" si="48"/>
        <v/>
      </c>
      <c r="DU74" s="154" t="str">
        <f t="shared" si="45"/>
        <v/>
      </c>
      <c r="DV74" s="155" t="str">
        <f t="shared" si="49"/>
        <v/>
      </c>
      <c r="DW74" s="155" t="str">
        <f t="shared" si="50"/>
        <v/>
      </c>
      <c r="FG74" s="57" t="s">
        <v>482</v>
      </c>
      <c r="FH74" s="57" t="s">
        <v>483</v>
      </c>
      <c r="FI74" s="57" t="s">
        <v>484</v>
      </c>
    </row>
    <row r="75" spans="3:165" x14ac:dyDescent="0.2">
      <c r="C75" s="91"/>
      <c r="S75" s="70"/>
      <c r="T75" s="99"/>
      <c r="U75" s="111" t="str">
        <f>IF($CS$4&lt;&gt;3,"","Für Spiele OHNE Einsatz gilt automatisch der Mindesteinsatz. ROT: Eintrag wird auf min. bzw. max. erlaubte Werte korrigiert.")</f>
        <v/>
      </c>
      <c r="V75" s="101"/>
      <c r="W75" s="101"/>
      <c r="X75" s="101"/>
      <c r="Y75" s="101"/>
      <c r="Z75" s="101"/>
      <c r="AA75" s="101"/>
      <c r="AB75" s="101"/>
      <c r="AC75" s="101"/>
      <c r="AD75" s="101"/>
      <c r="AE75" s="101"/>
      <c r="AF75" s="422" t="s">
        <v>486</v>
      </c>
      <c r="AG75" s="422"/>
      <c r="AH75" s="422"/>
      <c r="AI75" s="102" t="str">
        <f>IF($CS$4=2,"TS","J")</f>
        <v>J</v>
      </c>
      <c r="AJ75" s="102" t="s">
        <v>487</v>
      </c>
      <c r="AK75" s="102" t="s">
        <v>488</v>
      </c>
      <c r="AL75" s="103"/>
      <c r="AM75" s="70"/>
      <c r="AN75" s="71" t="s">
        <v>489</v>
      </c>
      <c r="AO75" s="70"/>
      <c r="AP75" s="70"/>
      <c r="AQ75" s="70"/>
      <c r="AR75" s="70"/>
      <c r="AS75" s="114"/>
      <c r="AT75" s="114"/>
      <c r="AU75" s="114"/>
      <c r="AV75" s="114"/>
      <c r="AW75" s="114"/>
      <c r="AX75" s="114"/>
      <c r="AY75" s="114"/>
      <c r="AZ75" s="114"/>
      <c r="BA75" s="114"/>
      <c r="BB75" s="114"/>
      <c r="BC75" s="114"/>
      <c r="BD75" s="114"/>
      <c r="BE75" s="114"/>
      <c r="BF75" s="114"/>
      <c r="BG75" s="114"/>
      <c r="BH75" s="114"/>
      <c r="BI75" s="114"/>
      <c r="BJ75" s="114"/>
      <c r="BK75" s="114"/>
      <c r="BL75" s="114"/>
      <c r="BM75" s="114"/>
      <c r="BN75" s="114"/>
      <c r="BO75" s="114"/>
      <c r="BP75" s="133"/>
      <c r="BQ75" s="114"/>
      <c r="BR75" s="70"/>
      <c r="CB75" s="91"/>
      <c r="DF75" s="137"/>
      <c r="DG75" s="137"/>
      <c r="DQ75" t="s">
        <v>686</v>
      </c>
      <c r="DR75" s="59">
        <v>36</v>
      </c>
      <c r="DT75" s="154" t="str">
        <f t="shared" si="48"/>
        <v/>
      </c>
      <c r="DU75" s="154" t="str">
        <f t="shared" si="45"/>
        <v/>
      </c>
      <c r="DV75" s="155" t="str">
        <f t="shared" si="49"/>
        <v/>
      </c>
      <c r="DW75" s="155" t="str">
        <f t="shared" si="50"/>
        <v/>
      </c>
      <c r="FD75">
        <v>3</v>
      </c>
      <c r="FE75" t="s">
        <v>578</v>
      </c>
      <c r="FG75" s="57">
        <f>INDEX(settings!$I$18:$P$20,1,FD75)</f>
        <v>80</v>
      </c>
      <c r="FH75" s="57">
        <f>INDEX(settings!$I$18:$P$20,2,FD75)</f>
        <v>1</v>
      </c>
      <c r="FI75" s="57">
        <f>INDEX(settings!$I$18:$P$20,3,FD75)</f>
        <v>10</v>
      </c>
    </row>
    <row r="76" spans="3:165" ht="3.9" customHeight="1" x14ac:dyDescent="0.2">
      <c r="C76" s="91"/>
      <c r="S76" s="70"/>
      <c r="T76" s="99"/>
      <c r="U76" s="101"/>
      <c r="V76" s="119"/>
      <c r="W76" s="119"/>
      <c r="X76" s="119"/>
      <c r="Y76" s="119"/>
      <c r="Z76" s="119"/>
      <c r="AA76" s="119"/>
      <c r="AB76" s="119"/>
      <c r="AC76" s="119"/>
      <c r="AD76" s="119"/>
      <c r="AE76" s="119"/>
      <c r="AF76" s="119"/>
      <c r="AG76" s="119"/>
      <c r="AH76" s="119"/>
      <c r="AI76" s="119"/>
      <c r="AJ76" s="119"/>
      <c r="AK76" s="119"/>
      <c r="AL76" s="108"/>
      <c r="AM76" s="70"/>
      <c r="AN76" s="70"/>
      <c r="AO76" s="70"/>
      <c r="AP76" s="70"/>
      <c r="AQ76" s="70"/>
      <c r="AR76" s="70"/>
      <c r="AS76" s="114"/>
      <c r="AT76" s="114"/>
      <c r="AU76" s="114"/>
      <c r="AV76" s="114"/>
      <c r="AW76" s="114"/>
      <c r="AX76" s="114"/>
      <c r="AY76" s="114"/>
      <c r="AZ76" s="114"/>
      <c r="BA76" s="114"/>
      <c r="BB76" s="114"/>
      <c r="BC76" s="114"/>
      <c r="BD76" s="114"/>
      <c r="BE76" s="114"/>
      <c r="BF76" s="114"/>
      <c r="BG76" s="114"/>
      <c r="BH76" s="114"/>
      <c r="BI76" s="114"/>
      <c r="BJ76" s="114"/>
      <c r="BK76" s="114"/>
      <c r="BL76" s="114"/>
      <c r="BM76" s="114"/>
      <c r="BN76" s="114"/>
      <c r="BO76" s="114"/>
      <c r="BP76" s="133"/>
      <c r="BQ76" s="114"/>
      <c r="BR76" s="70"/>
      <c r="CB76" s="91"/>
      <c r="DF76" s="137"/>
      <c r="DG76" s="137"/>
      <c r="FB76" t="s">
        <v>580</v>
      </c>
    </row>
    <row r="77" spans="3:165" ht="11.25" customHeight="1" x14ac:dyDescent="0.2">
      <c r="C77" s="91">
        <v>25</v>
      </c>
      <c r="Q77">
        <v>25</v>
      </c>
      <c r="S77" s="70"/>
      <c r="T77" s="120" t="str">
        <f t="shared" ref="T77:T88" si="80">IF(CZ77,zeichen_gesperrt,"")</f>
        <v/>
      </c>
      <c r="U77" s="524">
        <v>45466.875</v>
      </c>
      <c r="V77" s="525"/>
      <c r="W77" s="526">
        <v>0.875</v>
      </c>
      <c r="X77" s="527" t="s">
        <v>1188</v>
      </c>
      <c r="Y77" s="527"/>
      <c r="Z77" s="528" t="s">
        <v>581</v>
      </c>
      <c r="AA77" s="493" t="s">
        <v>1155</v>
      </c>
      <c r="AB77" s="493"/>
      <c r="AC77" s="121" t="s">
        <v>583</v>
      </c>
      <c r="AD77" s="494" t="s">
        <v>190</v>
      </c>
      <c r="AE77" s="494"/>
      <c r="AF77" s="122"/>
      <c r="AG77" s="123" t="s">
        <v>583</v>
      </c>
      <c r="AH77" s="124"/>
      <c r="AI77" s="125"/>
      <c r="AJ77" s="125"/>
      <c r="AK77" s="384" t="s">
        <v>411</v>
      </c>
      <c r="AL77" s="126"/>
      <c r="AM77" s="70"/>
      <c r="AN77" s="127"/>
      <c r="AO77" s="128" t="s">
        <v>583</v>
      </c>
      <c r="AP77" s="129"/>
      <c r="AQ77" s="70"/>
      <c r="AR77" s="519" t="s">
        <v>487</v>
      </c>
      <c r="AS77" s="519"/>
      <c r="AT77" s="130" t="str">
        <f>IF(VLOOKUP(AR77,$DM$69:$DN$76,2,FALSE)," Manuell","")</f>
        <v/>
      </c>
      <c r="AU77" s="131"/>
      <c r="AV77" s="131"/>
      <c r="AW77" s="132" t="s">
        <v>585</v>
      </c>
      <c r="AX77" s="132"/>
      <c r="AY77" s="132"/>
      <c r="AZ77" s="131"/>
      <c r="BA77" s="132" t="s">
        <v>586</v>
      </c>
      <c r="BB77" s="132"/>
      <c r="BC77" s="132" t="s">
        <v>587</v>
      </c>
      <c r="BD77" s="132"/>
      <c r="BE77" s="114"/>
      <c r="BF77" s="133" t="s">
        <v>588</v>
      </c>
      <c r="BG77" s="133" t="s">
        <v>589</v>
      </c>
      <c r="BH77" s="134" t="s">
        <v>687</v>
      </c>
      <c r="BI77" s="135" t="str">
        <f>IF(VLOOKUP(AR77,$DM$122:$DN$129,2,FALSE)," Manuell","")</f>
        <v/>
      </c>
      <c r="BJ77" s="429" t="s">
        <v>585</v>
      </c>
      <c r="BK77" s="429"/>
      <c r="BL77" s="429"/>
      <c r="BM77" s="136" t="s">
        <v>586</v>
      </c>
      <c r="BN77" s="136" t="s">
        <v>587</v>
      </c>
      <c r="BO77" s="114"/>
      <c r="BP77" s="133" t="s">
        <v>588</v>
      </c>
      <c r="BQ77" s="133" t="s">
        <v>589</v>
      </c>
      <c r="BR77" s="70"/>
      <c r="CB77" s="91" t="str">
        <f>INDEX(daten!$G$59:$G$94,CC77)</f>
        <v>A-5</v>
      </c>
      <c r="CC77" s="59">
        <v>25</v>
      </c>
      <c r="CD77" t="b">
        <v>0</v>
      </c>
      <c r="CE77" s="57" t="str">
        <f t="shared" ref="CE77:CE88" si="81">IF(CD77,IF(COUNT(CM77:CN77)=2,ABS(CM77),""),IF(COUNT(AF77,AH77)=2,ABS(AF77),""))</f>
        <v/>
      </c>
      <c r="CF77" s="57" t="str">
        <f t="shared" ref="CF77:CF88" si="82">IF(CD77,IF(COUNT(CM77:CN77)=2,ABS(CN77),""),IF(COUNT(AF77,AH77)=2,ABS(AH77),""))</f>
        <v/>
      </c>
      <c r="CG77" s="57">
        <f t="shared" ref="CG77:CG88" si="83">IF(SUM($CV$77:$CV$88)&gt;0,CO77,IF($CS$4&lt;&gt;1,CO77,IF(AND(LEN(AI77)&gt;0,$CS$4=1,NOT(DC77)),1,0)))</f>
        <v>0</v>
      </c>
      <c r="CH77" s="57">
        <f t="shared" ref="CH77:CH88" si="84">IF(OR(CD77,$CS$4&lt;&gt;3),CP77,ABS(VALUE(FG77)))</f>
        <v>0</v>
      </c>
      <c r="CI77" s="57">
        <f t="shared" ref="CI77:CI88" si="85">IF(OR(CD77,CY77,NOT(CX77)),CQ77,IF(LEN(AK77)=0,0,IF(AK77=$CV$4,1,IF(AK77=$CV$5,2,0))))</f>
        <v>0</v>
      </c>
      <c r="CJ77" s="57">
        <v>0</v>
      </c>
      <c r="CK77" s="57">
        <v>0</v>
      </c>
      <c r="CL77" s="57">
        <v>0</v>
      </c>
      <c r="CO77" s="57">
        <v>0</v>
      </c>
      <c r="CP77" s="57">
        <v>0</v>
      </c>
      <c r="CQ77" s="57">
        <v>0</v>
      </c>
      <c r="CR77" s="57">
        <v>0</v>
      </c>
      <c r="CS77" s="57">
        <v>0</v>
      </c>
      <c r="CT77" s="57">
        <v>0</v>
      </c>
      <c r="CV77">
        <f t="shared" ref="CV77:CV88" si="86">IF(AND(CO77=1,CD77),1,0)</f>
        <v>0</v>
      </c>
      <c r="CX77" t="b">
        <f t="shared" ref="CX77:CX88" si="87">AND($CS$5=1,COUNT(CE77:CF77)=2,CE77&lt;&gt;CF77)</f>
        <v>0</v>
      </c>
      <c r="CY77" t="b">
        <f t="shared" ref="CY77:CY88" si="88">IF(LEN(AK77)=0,FALSE,IF(COUNT(CE77:CF77)&lt;&gt;2,TRUE,IF(AND(CX77,AK77=$CV$4,ABS(CE77-CF77)&gt;=2),FALSE,IF(AND(CX77,AK77=$CV$5,ABS(CE77-CF77)&gt;=3),FALSE,TRUE))))</f>
        <v>0</v>
      </c>
      <c r="CZ77" t="b">
        <v>0</v>
      </c>
      <c r="DA77">
        <f t="shared" ref="DA77:DA88" si="89">IF(SUM($CV$77:$CV$88)&gt;0,CO77,IF(AND(LEN(AI77)&gt;0),1,0))</f>
        <v>0</v>
      </c>
      <c r="DB77">
        <f>SUM($DA$75:$DA77)</f>
        <v>0</v>
      </c>
      <c r="DC77" t="b">
        <f t="shared" ref="DC77:DC88" si="90">OR(AND(DA77=1,OR(DB77&gt;1,$CS$4=3)))</f>
        <v>0</v>
      </c>
      <c r="DE77">
        <v>3</v>
      </c>
      <c r="DF77" s="137">
        <v>1</v>
      </c>
      <c r="DG77" s="137">
        <v>10</v>
      </c>
      <c r="DH77">
        <f t="shared" ref="DH77:DH88" si="91">IF(NOT(ISNUMBER(AJ77)),DF77,IF(LEN(AJ77)=0,DF77,IF(AJ77&gt;DG77,DG77,IF(AJ77&lt;DF77,DF77,AJ77))))</f>
        <v>1</v>
      </c>
      <c r="DI77" s="138" t="str">
        <f t="shared" ref="DI77:DI88" si="92">IF(COUNT(AN77,AP77)&lt;&gt;2,"",AN77)</f>
        <v/>
      </c>
      <c r="DJ77" s="138" t="str">
        <f t="shared" ref="DJ77:DJ88" si="93">IF(COUNT(AN77,AP77)&lt;&gt;2,"",AP77)</f>
        <v/>
      </c>
      <c r="ED77" s="57">
        <v>0</v>
      </c>
      <c r="EE77" s="57">
        <f t="shared" ref="EE77:EE88" si="94">IF(COUNT(CE77:CF77)&lt;&gt;2,-1,IF(CE77&gt;CF77,1,IF(CE77&lt;CF77,2,0)))</f>
        <v>-1</v>
      </c>
      <c r="EF77" s="57"/>
      <c r="EG77" s="57">
        <f t="shared" ref="EG77:EG88" ca="1" si="95">IF(CC77&lt;37,0,IF(ISERROR(MATCH(EF77,OFFSET($CR$15:$CR$16,0,CC77-36),0)),0,MATCH(EF77,OFFSET($CR$15:$CR$16,0,CC77-36),0)))</f>
        <v>0</v>
      </c>
      <c r="EH77" s="57">
        <f t="shared" ref="EH77:EH88" ca="1" si="96">IF(OR(CC77&lt;37,NOT($EH$31),$CS$6&lt;2,EG77=0),0,IF(EE77=-1,1,IF(AND(EE77=0,$EH$28&lt;&gt;0),1,IF(AND(EE77&gt;0,$EH$28=0),1,IF(AND(EE77&gt;0,EG77&lt;&gt;EE77),1,0)))))</f>
        <v>0</v>
      </c>
      <c r="EI77" s="57">
        <f t="shared" ref="EI77:EI88" ca="1" si="97">IF(EH77=0,EG77,CS77)</f>
        <v>0</v>
      </c>
      <c r="EJ77" s="57">
        <f t="shared" ref="EJ77:EJ88" ca="1" si="98">IF(EE77&gt;0,EE77,IF(EI77&gt;0,EI77,EE77))</f>
        <v>-1</v>
      </c>
      <c r="EK77" s="57">
        <v>0</v>
      </c>
      <c r="EM77" s="57">
        <f t="shared" ref="EM77:EM88" si="99">IF(EXACT(CE77,CM77),0,1)</f>
        <v>0</v>
      </c>
      <c r="EN77" s="57">
        <f t="shared" ref="EN77:EN88" si="100">IF(EXACT(CF77,CN77),0,1)</f>
        <v>0</v>
      </c>
      <c r="EO77" s="57">
        <f t="shared" ref="EO77:EO88" si="101">IF($CS$400,0,IF(EXACT(CG77,CO77),0,1))</f>
        <v>0</v>
      </c>
      <c r="EP77" s="57">
        <f>IF($CS$4&lt;&gt;3,0,IF(AND(CH77=INDEX(settings!$I$19:$P$19,1),LEN(CP77)=0),0,IF(EXACT(CH77,CP77),0,1)))</f>
        <v>0</v>
      </c>
      <c r="EQ77" s="57">
        <f>IF(settings!$C$1100,0,IF(CI77=CQ77,0,1))</f>
        <v>0</v>
      </c>
      <c r="ER77" s="57">
        <f t="shared" ref="ER77:ER88" si="102">IF($CS$6=0,0,IF(CJ77=CR77,0,1))</f>
        <v>0</v>
      </c>
      <c r="ES77" s="57">
        <f t="shared" ref="ES77:ES88" si="103">IF($CS$6&lt;2,0,IF(CK77=CS77,0,1))</f>
        <v>0</v>
      </c>
      <c r="ET77" s="57">
        <f t="shared" ref="ET77:ET88" si="104">IF(DR78&lt;37,0,IF(CL77=CT77,0,1))</f>
        <v>0</v>
      </c>
      <c r="EU77" s="57">
        <f t="shared" ref="EU77:EU88" si="105">IF(CD77,0,SUM(EM77:ET77))</f>
        <v>0</v>
      </c>
      <c r="FB77">
        <f>IF(DH77&lt;FH75,FH75,DH77)</f>
        <v>1</v>
      </c>
      <c r="FC77">
        <v>1</v>
      </c>
      <c r="FD77">
        <f>FH75</f>
        <v>1</v>
      </c>
      <c r="FE77">
        <f>IF(CD77,CP77,IF(FB77&gt;FI75,FI75,FB77))</f>
        <v>1</v>
      </c>
      <c r="FG77">
        <f>FE77</f>
        <v>1</v>
      </c>
      <c r="FH77">
        <f>FG75-SUM(FG76:FG77)-SUM(FD78:FD89)+FH75</f>
        <v>69</v>
      </c>
      <c r="FI77" t="b">
        <f t="shared" ref="FI77:FI88" si="106">FG77&lt;&gt;AJ77</f>
        <v>1</v>
      </c>
    </row>
    <row r="78" spans="3:165" ht="11.25" customHeight="1" x14ac:dyDescent="0.2">
      <c r="C78" s="91">
        <v>26</v>
      </c>
      <c r="Q78">
        <v>26</v>
      </c>
      <c r="S78" s="70"/>
      <c r="T78" s="120" t="str">
        <f t="shared" si="80"/>
        <v/>
      </c>
      <c r="U78" s="529">
        <v>45466.875</v>
      </c>
      <c r="V78" s="530"/>
      <c r="W78" s="531">
        <v>0.875</v>
      </c>
      <c r="X78" s="532" t="s">
        <v>1186</v>
      </c>
      <c r="Y78" s="532"/>
      <c r="Z78" s="533" t="s">
        <v>581</v>
      </c>
      <c r="AA78" s="493" t="s">
        <v>193</v>
      </c>
      <c r="AB78" s="493"/>
      <c r="AC78" s="121" t="s">
        <v>583</v>
      </c>
      <c r="AD78" s="494" t="s">
        <v>532</v>
      </c>
      <c r="AE78" s="494"/>
      <c r="AF78" s="122"/>
      <c r="AG78" s="123" t="s">
        <v>583</v>
      </c>
      <c r="AH78" s="124"/>
      <c r="AI78" s="125"/>
      <c r="AJ78" s="125"/>
      <c r="AK78" s="384" t="s">
        <v>411</v>
      </c>
      <c r="AL78" s="126"/>
      <c r="AM78" s="70"/>
      <c r="AN78" s="127"/>
      <c r="AO78" s="128" t="s">
        <v>583</v>
      </c>
      <c r="AP78" s="129"/>
      <c r="AQ78" s="70"/>
      <c r="AR78" s="70"/>
      <c r="AS78" s="139">
        <v>1</v>
      </c>
      <c r="AT78" s="140" t="str">
        <f>VLOOKUP(BT78,tabbermsp!$B$335:$N$358,4,FALSE)</f>
        <v>BEL</v>
      </c>
      <c r="AU78" s="141"/>
      <c r="AV78" s="140"/>
      <c r="AW78" s="140">
        <f>VLOOKUP(BT78,tabbermsp!$B$335:$N$358,7,FALSE)</f>
        <v>0</v>
      </c>
      <c r="AX78" s="142" t="s">
        <v>583</v>
      </c>
      <c r="AY78" s="140">
        <f>VLOOKUP(BT78,tabbermsp!$B$335:$N$358,8,FALSE)</f>
        <v>0</v>
      </c>
      <c r="AZ78" s="143"/>
      <c r="BA78" s="144">
        <f>VLOOKUP(BT78,tabbermsp!$B$335:$N$358,9,FALSE)</f>
        <v>0</v>
      </c>
      <c r="BB78" s="140"/>
      <c r="BC78" s="140">
        <f>VLOOKUP(BT78,tabbermsp!$B$335:$N$358,6,FALSE)</f>
        <v>0</v>
      </c>
      <c r="BD78" s="140"/>
      <c r="BE78" s="114"/>
      <c r="BF78" s="145"/>
      <c r="BG78" s="114"/>
      <c r="BH78" s="146" t="str">
        <f>"1 "</f>
        <v xml:space="preserve">1 </v>
      </c>
      <c r="BI78" s="147" t="str">
        <f>VLOOKUP(BT78,tabber!$B$335:$N$358,4,FALSE)</f>
        <v>BEL</v>
      </c>
      <c r="BJ78" s="148">
        <f>VLOOKUP(BT78,tabber!$B$335:$N$358,7,FALSE)</f>
        <v>0</v>
      </c>
      <c r="BK78" s="147" t="s">
        <v>583</v>
      </c>
      <c r="BL78" s="149">
        <f>VLOOKUP(BT78,tabber!$B$335:$N$358,8,FALSE)</f>
        <v>0</v>
      </c>
      <c r="BM78" s="150">
        <f>VLOOKUP(BT78,tabber!$B$335:$N$358,9,FALSE)</f>
        <v>0</v>
      </c>
      <c r="BN78" s="147">
        <f>VLOOKUP(BT78,tabber!$B$335:$N$358,6,FALSE)</f>
        <v>0</v>
      </c>
      <c r="BO78" s="114"/>
      <c r="BP78" s="145"/>
      <c r="BQ78" s="114"/>
      <c r="BR78" s="152">
        <f>IF(VLOOKUP(RIGHT(BT78,1),$DM$69:$DN$74,2,FALSE),1,IF(COUNTA(BF78:BF81)&lt;&gt;4,0,-1))</f>
        <v>0</v>
      </c>
      <c r="BS78" s="57">
        <f>IF(VLOOKUP(RIGHT(BT78,1),$DM$122:$DN$127,2,FALSE),1,IF(COUNTA(BP78:BP81)&lt;&gt;4,0,-1))</f>
        <v>0</v>
      </c>
      <c r="BT78" t="s">
        <v>652</v>
      </c>
      <c r="BU78" t="str">
        <f>VLOOKUP(BZ78,daten!$T$8:$U$31,2,FALSE)</f>
        <v>BEL</v>
      </c>
      <c r="BV78">
        <f>IF(ISERROR(MATCH(BF78,BU78:BU81,0)),0,IF(COUNTIF(BF78:BF81,"="&amp;BF78)&gt;1,0,MATCH(BF78,kuerzel,0)))</f>
        <v>0</v>
      </c>
      <c r="BW78">
        <f>IF(ISERROR(MATCH(BP78,BU78:BU81,0)),0,IF(COUNTIF(BP78:BP81,"="&amp;BP78)&gt;1,0,MATCH(BP78,kuerzel,0)))</f>
        <v>0</v>
      </c>
      <c r="BZ78" t="s">
        <v>652</v>
      </c>
      <c r="CA78" s="153">
        <f>VLOOKUP(BZ78,tabbermsp!$B$335:$O$358,14,FALSE)</f>
        <v>1</v>
      </c>
      <c r="CB78" s="91" t="str">
        <f>INDEX(daten!$G$59:$G$94,CC78)</f>
        <v>A-6</v>
      </c>
      <c r="CC78" s="59">
        <v>26</v>
      </c>
      <c r="CD78" t="b">
        <v>0</v>
      </c>
      <c r="CE78" s="57" t="str">
        <f t="shared" si="81"/>
        <v/>
      </c>
      <c r="CF78" s="57" t="str">
        <f t="shared" si="82"/>
        <v/>
      </c>
      <c r="CG78" s="57">
        <f t="shared" si="83"/>
        <v>0</v>
      </c>
      <c r="CH78" s="57">
        <f t="shared" si="84"/>
        <v>0</v>
      </c>
      <c r="CI78" s="57">
        <f t="shared" si="85"/>
        <v>0</v>
      </c>
      <c r="CJ78" s="57">
        <v>0</v>
      </c>
      <c r="CK78" s="57">
        <v>0</v>
      </c>
      <c r="CL78" s="57">
        <v>0</v>
      </c>
      <c r="CO78" s="57">
        <v>0</v>
      </c>
      <c r="CP78" s="57">
        <v>0</v>
      </c>
      <c r="CQ78" s="57">
        <v>0</v>
      </c>
      <c r="CR78" s="57">
        <v>0</v>
      </c>
      <c r="CS78" s="57">
        <v>0</v>
      </c>
      <c r="CT78" s="57">
        <v>0</v>
      </c>
      <c r="CV78">
        <f t="shared" si="86"/>
        <v>0</v>
      </c>
      <c r="CX78" t="b">
        <f t="shared" si="87"/>
        <v>0</v>
      </c>
      <c r="CY78" t="b">
        <f t="shared" si="88"/>
        <v>0</v>
      </c>
      <c r="CZ78" t="b">
        <v>0</v>
      </c>
      <c r="DA78">
        <f t="shared" si="89"/>
        <v>0</v>
      </c>
      <c r="DB78">
        <f>SUM($DA$75:$DA78)</f>
        <v>0</v>
      </c>
      <c r="DC78" t="b">
        <f t="shared" si="90"/>
        <v>0</v>
      </c>
      <c r="DE78">
        <v>3</v>
      </c>
      <c r="DF78" s="137">
        <v>1</v>
      </c>
      <c r="DG78" s="137">
        <v>10</v>
      </c>
      <c r="DH78">
        <f t="shared" si="91"/>
        <v>1</v>
      </c>
      <c r="DI78" s="138" t="str">
        <f t="shared" si="92"/>
        <v/>
      </c>
      <c r="DJ78" s="138" t="str">
        <f t="shared" si="93"/>
        <v/>
      </c>
      <c r="ED78" s="57">
        <v>0</v>
      </c>
      <c r="EE78" s="57">
        <f t="shared" si="94"/>
        <v>-1</v>
      </c>
      <c r="EF78" s="57"/>
      <c r="EG78" s="57">
        <f t="shared" ca="1" si="95"/>
        <v>0</v>
      </c>
      <c r="EH78" s="57">
        <f t="shared" ca="1" si="96"/>
        <v>0</v>
      </c>
      <c r="EI78" s="57">
        <f t="shared" ca="1" si="97"/>
        <v>0</v>
      </c>
      <c r="EJ78" s="57">
        <f t="shared" ca="1" si="98"/>
        <v>-1</v>
      </c>
      <c r="EK78" s="57">
        <v>0</v>
      </c>
      <c r="EM78" s="57">
        <f t="shared" si="99"/>
        <v>0</v>
      </c>
      <c r="EN78" s="57">
        <f t="shared" si="100"/>
        <v>0</v>
      </c>
      <c r="EO78" s="57">
        <f t="shared" si="101"/>
        <v>0</v>
      </c>
      <c r="EP78" s="57">
        <f>IF($CS$4&lt;&gt;3,0,IF(AND(CH78=INDEX(settings!$I$19:$P$19,1),LEN(CP78)=0),0,IF(EXACT(CH78,CP78),0,1)))</f>
        <v>0</v>
      </c>
      <c r="EQ78" s="57">
        <f>IF(settings!$C$1100,0,IF(CI78=CQ78,0,1))</f>
        <v>0</v>
      </c>
      <c r="ER78" s="57">
        <f t="shared" si="102"/>
        <v>0</v>
      </c>
      <c r="ES78" s="57">
        <f t="shared" si="103"/>
        <v>0</v>
      </c>
      <c r="ET78" s="57">
        <f t="shared" si="104"/>
        <v>0</v>
      </c>
      <c r="EU78" s="57">
        <f t="shared" si="105"/>
        <v>0</v>
      </c>
      <c r="FB78">
        <f>IF(DH78&lt;FH75,FH75,DH78)</f>
        <v>1</v>
      </c>
      <c r="FC78">
        <v>2</v>
      </c>
      <c r="FD78">
        <f t="shared" ref="FD78:FD88" si="107">FD77</f>
        <v>1</v>
      </c>
      <c r="FE78">
        <f>IF(CD78,CP78,IF(FB78&gt;FI75,FI75,FB78))</f>
        <v>1</v>
      </c>
      <c r="FG78">
        <f t="shared" ref="FG78:FG88" si="108">IF(CD78,FE78,IF(FE78&lt;=FH77,FE78,IF(FH77&lt;0,0,FH77)))</f>
        <v>1</v>
      </c>
      <c r="FH78">
        <f>FG75-SUM(FG76:FG78)-SUM(FD79:FD89)+FH75</f>
        <v>69</v>
      </c>
      <c r="FI78" t="b">
        <f t="shared" si="106"/>
        <v>1</v>
      </c>
    </row>
    <row r="79" spans="3:165" ht="11.25" customHeight="1" thickBot="1" x14ac:dyDescent="0.25">
      <c r="C79" s="91">
        <v>27</v>
      </c>
      <c r="H79" s="57"/>
      <c r="I79" s="57"/>
      <c r="Q79">
        <v>27</v>
      </c>
      <c r="S79" s="70"/>
      <c r="T79" s="120" t="str">
        <f t="shared" si="80"/>
        <v/>
      </c>
      <c r="U79" s="529">
        <v>45467.875</v>
      </c>
      <c r="V79" s="530"/>
      <c r="W79" s="531">
        <v>0.875</v>
      </c>
      <c r="X79" s="532" t="s">
        <v>1190</v>
      </c>
      <c r="Y79" s="532"/>
      <c r="Z79" s="533" t="s">
        <v>601</v>
      </c>
      <c r="AA79" s="493" t="s">
        <v>1156</v>
      </c>
      <c r="AB79" s="493"/>
      <c r="AC79" s="121" t="s">
        <v>583</v>
      </c>
      <c r="AD79" s="494" t="s">
        <v>1154</v>
      </c>
      <c r="AE79" s="494"/>
      <c r="AF79" s="122"/>
      <c r="AG79" s="123" t="s">
        <v>583</v>
      </c>
      <c r="AH79" s="124"/>
      <c r="AI79" s="125"/>
      <c r="AJ79" s="125"/>
      <c r="AK79" s="384" t="s">
        <v>411</v>
      </c>
      <c r="AL79" s="126"/>
      <c r="AM79" s="70"/>
      <c r="AN79" s="127"/>
      <c r="AO79" s="128" t="s">
        <v>583</v>
      </c>
      <c r="AP79" s="129"/>
      <c r="AQ79" s="70"/>
      <c r="AR79" s="70"/>
      <c r="AS79" s="156" t="str">
        <f>IF(CA79=CA78,"",CA79)</f>
        <v/>
      </c>
      <c r="AT79" s="140" t="str">
        <f>VLOOKUP(BT79,tabbermsp!$B$335:$N$358,4,FALSE)</f>
        <v>SVK</v>
      </c>
      <c r="AU79" s="141"/>
      <c r="AV79" s="140"/>
      <c r="AW79" s="140">
        <f>VLOOKUP(BT79,tabbermsp!$B$335:$N$358,7,FALSE)</f>
        <v>0</v>
      </c>
      <c r="AX79" s="142" t="s">
        <v>583</v>
      </c>
      <c r="AY79" s="140">
        <f>VLOOKUP(BT79,tabbermsp!$B$335:$N$358,8,FALSE)</f>
        <v>0</v>
      </c>
      <c r="AZ79" s="143"/>
      <c r="BA79" s="144">
        <f>VLOOKUP(BT79,tabbermsp!$B$335:$N$358,9,FALSE)</f>
        <v>0</v>
      </c>
      <c r="BB79" s="140"/>
      <c r="BC79" s="140">
        <f>VLOOKUP(BT79,tabbermsp!$B$335:$N$358,6,FALSE)</f>
        <v>0</v>
      </c>
      <c r="BD79" s="140"/>
      <c r="BE79" s="114"/>
      <c r="BF79" s="145"/>
      <c r="BG79" s="114"/>
      <c r="BH79" s="146" t="str">
        <f>IF(VLOOKUP(BZ79,tabber!$B$335:$O$358,14,FALSE)=VLOOKUP(BZ78,tabber!$B$335:$O$358,14,FALSE),"",VLOOKUP(BZ79,tabber!$B$335:$O$358,14,FALSE))&amp;" "</f>
        <v xml:space="preserve"> </v>
      </c>
      <c r="BI79" s="157" t="str">
        <f>VLOOKUP(BT79,tabber!$B$335:$N$358,4,FALSE)</f>
        <v>SVK</v>
      </c>
      <c r="BJ79" s="158">
        <f>VLOOKUP(BT79,tabber!$B$335:$N$358,7,FALSE)</f>
        <v>0</v>
      </c>
      <c r="BK79" s="159" t="s">
        <v>583</v>
      </c>
      <c r="BL79" s="160">
        <f>VLOOKUP(BT79,tabber!$B$335:$N$358,8,FALSE)</f>
        <v>0</v>
      </c>
      <c r="BM79" s="161">
        <f>VLOOKUP(BT79,tabber!$B$335:$N$358,9,FALSE)</f>
        <v>0</v>
      </c>
      <c r="BN79" s="157">
        <f>VLOOKUP(BT79,tabber!$B$335:$N$358,6,FALSE)</f>
        <v>0</v>
      </c>
      <c r="BO79" s="114"/>
      <c r="BP79" s="145"/>
      <c r="BQ79" s="114"/>
      <c r="BR79" s="152">
        <f>IF(VLOOKUP(RIGHT(BT79,1),$DM$69:$DN$74,2,FALSE),1,IF(COUNTA(BF78:BF81)&lt;&gt;4,0,-1))</f>
        <v>0</v>
      </c>
      <c r="BS79" s="57">
        <f>IF(VLOOKUP(RIGHT(BT79,1),$DM$122:$DN$127,2,FALSE),1,IF(COUNTA(BP78:BP81)&lt;&gt;4,0,-1))</f>
        <v>0</v>
      </c>
      <c r="BT79" t="s">
        <v>654</v>
      </c>
      <c r="BU79" t="str">
        <f>VLOOKUP(BZ79,daten!$T$8:$U$31,2,FALSE)</f>
        <v>SVK</v>
      </c>
      <c r="BV79">
        <f>IF(ISERROR(MATCH(BF79,BU78:BU81,0)),0,IF(COUNTIF(BF78:BF81,"="&amp;BF79)&gt;1,0,MATCH(BF79,kuerzel,0)))</f>
        <v>0</v>
      </c>
      <c r="BW79">
        <f>IF(ISERROR(MATCH(BP79,BU78:BU81,0)),0,IF(COUNTIF(BP78:BP81,"="&amp;BP79)&gt;1,0,MATCH(BP79,kuerzel,0)))</f>
        <v>0</v>
      </c>
      <c r="BZ79" t="s">
        <v>654</v>
      </c>
      <c r="CA79" s="153">
        <f>VLOOKUP(BZ79,tabbermsp!$B$335:$O$358,14,FALSE)</f>
        <v>1</v>
      </c>
      <c r="CB79" s="91" t="str">
        <f>INDEX(daten!$G$59:$G$94,CC79)</f>
        <v>B-5</v>
      </c>
      <c r="CC79" s="59">
        <v>27</v>
      </c>
      <c r="CD79" t="b">
        <v>0</v>
      </c>
      <c r="CE79" s="57" t="str">
        <f t="shared" si="81"/>
        <v/>
      </c>
      <c r="CF79" s="57" t="str">
        <f t="shared" si="82"/>
        <v/>
      </c>
      <c r="CG79" s="57">
        <f t="shared" si="83"/>
        <v>0</v>
      </c>
      <c r="CH79" s="57">
        <f t="shared" si="84"/>
        <v>0</v>
      </c>
      <c r="CI79" s="57">
        <f t="shared" si="85"/>
        <v>0</v>
      </c>
      <c r="CJ79" s="57">
        <v>0</v>
      </c>
      <c r="CK79" s="57">
        <v>0</v>
      </c>
      <c r="CL79" s="57">
        <v>0</v>
      </c>
      <c r="CO79" s="57">
        <v>0</v>
      </c>
      <c r="CP79" s="57">
        <v>0</v>
      </c>
      <c r="CQ79" s="57">
        <v>0</v>
      </c>
      <c r="CR79" s="57">
        <v>0</v>
      </c>
      <c r="CS79" s="57">
        <v>0</v>
      </c>
      <c r="CT79" s="57">
        <v>0</v>
      </c>
      <c r="CV79">
        <f t="shared" si="86"/>
        <v>0</v>
      </c>
      <c r="CX79" t="b">
        <f t="shared" si="87"/>
        <v>0</v>
      </c>
      <c r="CY79" t="b">
        <f t="shared" si="88"/>
        <v>0</v>
      </c>
      <c r="CZ79" t="b">
        <v>0</v>
      </c>
      <c r="DA79">
        <f t="shared" si="89"/>
        <v>0</v>
      </c>
      <c r="DB79">
        <f>SUM($DA$75:$DA79)</f>
        <v>0</v>
      </c>
      <c r="DC79" t="b">
        <f t="shared" si="90"/>
        <v>0</v>
      </c>
      <c r="DE79">
        <v>3</v>
      </c>
      <c r="DF79" s="137">
        <v>1</v>
      </c>
      <c r="DG79" s="137">
        <v>10</v>
      </c>
      <c r="DH79">
        <f t="shared" si="91"/>
        <v>1</v>
      </c>
      <c r="DI79" s="138" t="str">
        <f t="shared" si="92"/>
        <v/>
      </c>
      <c r="DJ79" s="138" t="str">
        <f t="shared" si="93"/>
        <v/>
      </c>
      <c r="ED79" s="57">
        <v>0</v>
      </c>
      <c r="EE79" s="57">
        <f t="shared" si="94"/>
        <v>-1</v>
      </c>
      <c r="EF79" s="57"/>
      <c r="EG79" s="57">
        <f t="shared" ca="1" si="95"/>
        <v>0</v>
      </c>
      <c r="EH79" s="57">
        <f t="shared" ca="1" si="96"/>
        <v>0</v>
      </c>
      <c r="EI79" s="57">
        <f t="shared" ca="1" si="97"/>
        <v>0</v>
      </c>
      <c r="EJ79" s="57">
        <f t="shared" ca="1" si="98"/>
        <v>-1</v>
      </c>
      <c r="EK79" s="57">
        <v>0</v>
      </c>
      <c r="EM79" s="57">
        <f t="shared" si="99"/>
        <v>0</v>
      </c>
      <c r="EN79" s="57">
        <f t="shared" si="100"/>
        <v>0</v>
      </c>
      <c r="EO79" s="57">
        <f t="shared" si="101"/>
        <v>0</v>
      </c>
      <c r="EP79" s="57">
        <f>IF($CS$4&lt;&gt;3,0,IF(AND(CH79=INDEX(settings!$I$19:$P$19,1),LEN(CP79)=0),0,IF(EXACT(CH79,CP79),0,1)))</f>
        <v>0</v>
      </c>
      <c r="EQ79" s="57">
        <f>IF(settings!$C$1100,0,IF(CI79=CQ79,0,1))</f>
        <v>0</v>
      </c>
      <c r="ER79" s="57">
        <f t="shared" si="102"/>
        <v>0</v>
      </c>
      <c r="ES79" s="57">
        <f t="shared" si="103"/>
        <v>0</v>
      </c>
      <c r="ET79" s="57">
        <f t="shared" si="104"/>
        <v>0</v>
      </c>
      <c r="EU79" s="57">
        <f t="shared" si="105"/>
        <v>0</v>
      </c>
      <c r="FB79">
        <f>IF(DH79&lt;FH75,FH75,DH79)</f>
        <v>1</v>
      </c>
      <c r="FC79">
        <v>3</v>
      </c>
      <c r="FD79">
        <f t="shared" si="107"/>
        <v>1</v>
      </c>
      <c r="FE79">
        <f>IF(CD79,CP79,IF(FB79&gt;FI75,FI75,FB79))</f>
        <v>1</v>
      </c>
      <c r="FG79">
        <f t="shared" si="108"/>
        <v>1</v>
      </c>
      <c r="FH79">
        <f>FG75-SUM(FG76:FG79)-SUM(FD80:FD89)+FH75</f>
        <v>69</v>
      </c>
      <c r="FI79" t="b">
        <f t="shared" si="106"/>
        <v>1</v>
      </c>
    </row>
    <row r="80" spans="3:165" ht="11.25" customHeight="1" thickBot="1" x14ac:dyDescent="0.25">
      <c r="C80" s="91">
        <v>28</v>
      </c>
      <c r="Q80">
        <v>28</v>
      </c>
      <c r="S80" s="70"/>
      <c r="T80" s="120" t="str">
        <f t="shared" si="80"/>
        <v/>
      </c>
      <c r="U80" s="529">
        <v>45467.875</v>
      </c>
      <c r="V80" s="530"/>
      <c r="W80" s="531">
        <v>0.875</v>
      </c>
      <c r="X80" s="532" t="s">
        <v>1189</v>
      </c>
      <c r="Y80" s="532"/>
      <c r="Z80" s="533" t="s">
        <v>601</v>
      </c>
      <c r="AA80" s="493" t="s">
        <v>545</v>
      </c>
      <c r="AB80" s="493"/>
      <c r="AC80" s="121" t="s">
        <v>583</v>
      </c>
      <c r="AD80" s="494" t="s">
        <v>200</v>
      </c>
      <c r="AE80" s="494"/>
      <c r="AF80" s="122"/>
      <c r="AG80" s="123" t="s">
        <v>583</v>
      </c>
      <c r="AH80" s="124"/>
      <c r="AI80" s="125"/>
      <c r="AJ80" s="125"/>
      <c r="AK80" s="384" t="s">
        <v>411</v>
      </c>
      <c r="AL80" s="126"/>
      <c r="AM80" s="70"/>
      <c r="AN80" s="127"/>
      <c r="AO80" s="128" t="s">
        <v>583</v>
      </c>
      <c r="AP80" s="129"/>
      <c r="AQ80" s="70"/>
      <c r="AR80" s="70"/>
      <c r="AS80" s="156" t="str">
        <f>IF(CA80=CA79,"",CA80)</f>
        <v/>
      </c>
      <c r="AT80" s="162" t="str">
        <f>VLOOKUP(BT80,tabbermsp!$B$335:$N$358,4,FALSE)</f>
        <v>ROM</v>
      </c>
      <c r="AU80" s="162"/>
      <c r="AV80" s="162"/>
      <c r="AW80" s="162">
        <f>VLOOKUP(BT80,tabbermsp!$B$335:$N$358,7,FALSE)</f>
        <v>0</v>
      </c>
      <c r="AX80" s="163" t="s">
        <v>583</v>
      </c>
      <c r="AY80" s="162">
        <f>VLOOKUP(BT80,tabbermsp!$B$335:$N$358,8,FALSE)</f>
        <v>0</v>
      </c>
      <c r="AZ80" s="164"/>
      <c r="BA80" s="165">
        <f>VLOOKUP(BT80,tabbermsp!$B$335:$N$358,9,FALSE)</f>
        <v>0</v>
      </c>
      <c r="BB80" s="162"/>
      <c r="BC80" s="162">
        <f>VLOOKUP(BT80,tabbermsp!$B$335:$N$358,6,FALSE)</f>
        <v>0</v>
      </c>
      <c r="BD80" s="162"/>
      <c r="BE80" s="114"/>
      <c r="BF80" s="145"/>
      <c r="BG80" s="151"/>
      <c r="BH80" s="146" t="str">
        <f>IF(VLOOKUP(BZ80,tabber!$B$335:$O$358,14,FALSE)=VLOOKUP(BZ79,tabber!$B$335:$O$358,14,FALSE),"",VLOOKUP(BZ80,tabber!$B$335:$O$358,14,FALSE))&amp;" "</f>
        <v xml:space="preserve"> </v>
      </c>
      <c r="BI80" s="166" t="str">
        <f>VLOOKUP(BT80,tabber!$B$335:$N$358,4,FALSE)</f>
        <v>ROM</v>
      </c>
      <c r="BJ80" s="167">
        <f>VLOOKUP(BT80,tabber!$B$335:$N$358,7,FALSE)</f>
        <v>0</v>
      </c>
      <c r="BK80" s="166" t="s">
        <v>583</v>
      </c>
      <c r="BL80" s="168">
        <f>VLOOKUP(BT80,tabber!$B$335:$N$358,8,FALSE)</f>
        <v>0</v>
      </c>
      <c r="BM80" s="169">
        <f>VLOOKUP(BT80,tabber!$B$335:$N$358,9,FALSE)</f>
        <v>0</v>
      </c>
      <c r="BN80" s="166">
        <f>VLOOKUP(BT80,tabber!$B$335:$N$358,6,FALSE)</f>
        <v>0</v>
      </c>
      <c r="BO80" s="114"/>
      <c r="BP80" s="145"/>
      <c r="BQ80" s="151"/>
      <c r="BR80" s="152">
        <f>IF(VLOOKUP(RIGHT(BT80,1),$DM$69:$DN$74,2,FALSE),1,IF(COUNTA(BF78:BF81)&lt;&gt;4,0,-1))</f>
        <v>0</v>
      </c>
      <c r="BS80" s="57">
        <f>IF(VLOOKUP(RIGHT(BT80,1),$DM$122:$DN$127,2,FALSE),1,IF(COUNTA(BP78:BP81)&lt;&gt;4,0,-1))</f>
        <v>0</v>
      </c>
      <c r="BT80" t="s">
        <v>657</v>
      </c>
      <c r="BU80" t="str">
        <f>VLOOKUP(BZ80,daten!$T$8:$U$31,2,FALSE)</f>
        <v>ROM</v>
      </c>
      <c r="BV80">
        <f>IF(ISERROR(MATCH(BF80,BU78:BU81,0)),0,IF(COUNTIF(BF78:BF81,"="&amp;BF80)&gt;1,0,MATCH(BF80,kuerzel,0)))</f>
        <v>0</v>
      </c>
      <c r="BW80">
        <f>IF(ISERROR(MATCH(BP80,BU78:BU81,0)),0,IF(COUNTIF(BP78:BP81,"="&amp;BP80)&gt;1,0,MATCH(BP80,kuerzel,0)))</f>
        <v>0</v>
      </c>
      <c r="BX80" t="e">
        <f>MATCH(AT80,tabbermsp!$H$392:$K$392,0)</f>
        <v>#N/A</v>
      </c>
      <c r="BY80" t="e">
        <f>MATCH(BI80,tabber!$H$392:$K$392,0)</f>
        <v>#N/A</v>
      </c>
      <c r="BZ80" t="s">
        <v>657</v>
      </c>
      <c r="CA80" s="153">
        <f>VLOOKUP(BZ80,tabbermsp!$B$335:$O$358,14,FALSE)</f>
        <v>1</v>
      </c>
      <c r="CB80" s="91" t="str">
        <f>INDEX(daten!$G$59:$G$94,CC80)</f>
        <v>B-6</v>
      </c>
      <c r="CC80" s="59">
        <v>28</v>
      </c>
      <c r="CD80" t="b">
        <v>0</v>
      </c>
      <c r="CE80" s="57" t="str">
        <f t="shared" si="81"/>
        <v/>
      </c>
      <c r="CF80" s="57" t="str">
        <f t="shared" si="82"/>
        <v/>
      </c>
      <c r="CG80" s="57">
        <f t="shared" si="83"/>
        <v>0</v>
      </c>
      <c r="CH80" s="57">
        <f t="shared" si="84"/>
        <v>0</v>
      </c>
      <c r="CI80" s="57">
        <f t="shared" si="85"/>
        <v>0</v>
      </c>
      <c r="CJ80" s="57">
        <v>0</v>
      </c>
      <c r="CK80" s="57">
        <v>0</v>
      </c>
      <c r="CL80" s="57">
        <v>0</v>
      </c>
      <c r="CO80" s="57">
        <v>0</v>
      </c>
      <c r="CP80" s="57">
        <v>0</v>
      </c>
      <c r="CQ80" s="57">
        <v>0</v>
      </c>
      <c r="CR80" s="57">
        <v>0</v>
      </c>
      <c r="CS80" s="57">
        <v>0</v>
      </c>
      <c r="CT80" s="57">
        <v>0</v>
      </c>
      <c r="CV80">
        <f t="shared" si="86"/>
        <v>0</v>
      </c>
      <c r="CX80" t="b">
        <f t="shared" si="87"/>
        <v>0</v>
      </c>
      <c r="CY80" t="b">
        <f t="shared" si="88"/>
        <v>0</v>
      </c>
      <c r="CZ80" t="b">
        <v>0</v>
      </c>
      <c r="DA80">
        <f t="shared" si="89"/>
        <v>0</v>
      </c>
      <c r="DB80">
        <f>SUM($DA$75:$DA80)</f>
        <v>0</v>
      </c>
      <c r="DC80" t="b">
        <f t="shared" si="90"/>
        <v>0</v>
      </c>
      <c r="DE80">
        <v>3</v>
      </c>
      <c r="DF80" s="137">
        <v>1</v>
      </c>
      <c r="DG80" s="137">
        <v>10</v>
      </c>
      <c r="DH80">
        <f t="shared" si="91"/>
        <v>1</v>
      </c>
      <c r="DI80" s="138" t="str">
        <f t="shared" si="92"/>
        <v/>
      </c>
      <c r="DJ80" s="138" t="str">
        <f t="shared" si="93"/>
        <v/>
      </c>
      <c r="DM80" t="s">
        <v>688</v>
      </c>
      <c r="DO80">
        <f>SUM(DO81:DO86)</f>
        <v>0</v>
      </c>
      <c r="DP80" t="b">
        <f>SUM($DO$81:$DO$86)=4</f>
        <v>0</v>
      </c>
      <c r="DR80" t="s">
        <v>689</v>
      </c>
      <c r="DT80" t="s">
        <v>690</v>
      </c>
      <c r="ED80" s="57">
        <v>0</v>
      </c>
      <c r="EE80" s="57">
        <f t="shared" si="94"/>
        <v>-1</v>
      </c>
      <c r="EF80" s="57"/>
      <c r="EG80" s="57">
        <f t="shared" ca="1" si="95"/>
        <v>0</v>
      </c>
      <c r="EH80" s="57">
        <f t="shared" ca="1" si="96"/>
        <v>0</v>
      </c>
      <c r="EI80" s="57">
        <f t="shared" ca="1" si="97"/>
        <v>0</v>
      </c>
      <c r="EJ80" s="57">
        <f t="shared" ca="1" si="98"/>
        <v>-1</v>
      </c>
      <c r="EK80" s="57">
        <v>0</v>
      </c>
      <c r="EM80" s="57">
        <f t="shared" si="99"/>
        <v>0</v>
      </c>
      <c r="EN80" s="57">
        <f t="shared" si="100"/>
        <v>0</v>
      </c>
      <c r="EO80" s="57">
        <f t="shared" si="101"/>
        <v>0</v>
      </c>
      <c r="EP80" s="57">
        <f>IF($CS$4&lt;&gt;3,0,IF(AND(CH80=INDEX(settings!$I$19:$P$19,1),LEN(CP80)=0),0,IF(EXACT(CH80,CP80),0,1)))</f>
        <v>0</v>
      </c>
      <c r="EQ80" s="57">
        <f>IF(settings!$C$1100,0,IF(CI80=CQ80,0,1))</f>
        <v>0</v>
      </c>
      <c r="ER80" s="57">
        <f t="shared" si="102"/>
        <v>0</v>
      </c>
      <c r="ES80" s="57">
        <f t="shared" si="103"/>
        <v>0</v>
      </c>
      <c r="ET80" s="57">
        <f t="shared" si="104"/>
        <v>0</v>
      </c>
      <c r="EU80" s="57">
        <f t="shared" si="105"/>
        <v>0</v>
      </c>
      <c r="FB80">
        <f>IF(DH80&lt;FH75,FH75,DH80)</f>
        <v>1</v>
      </c>
      <c r="FC80">
        <v>4</v>
      </c>
      <c r="FD80">
        <f t="shared" si="107"/>
        <v>1</v>
      </c>
      <c r="FE80">
        <f>IF(CD80,CP80,IF(FB80&gt;FI75,FI75,FB80))</f>
        <v>1</v>
      </c>
      <c r="FG80">
        <f t="shared" si="108"/>
        <v>1</v>
      </c>
      <c r="FH80">
        <f>FG75-SUM(FG76:FG80)-SUM(FD81:FD89)+FH75</f>
        <v>69</v>
      </c>
      <c r="FI80" t="b">
        <f t="shared" si="106"/>
        <v>1</v>
      </c>
    </row>
    <row r="81" spans="3:165" ht="11.25" customHeight="1" x14ac:dyDescent="0.2">
      <c r="C81" s="91">
        <v>29</v>
      </c>
      <c r="Q81">
        <v>29</v>
      </c>
      <c r="S81" s="70"/>
      <c r="T81" s="120" t="str">
        <f t="shared" si="80"/>
        <v/>
      </c>
      <c r="U81" s="529">
        <v>45468.75</v>
      </c>
      <c r="V81" s="530"/>
      <c r="W81" s="531">
        <v>0.75</v>
      </c>
      <c r="X81" s="532" t="s">
        <v>1183</v>
      </c>
      <c r="Y81" s="532"/>
      <c r="Z81" s="533" t="s">
        <v>608</v>
      </c>
      <c r="AA81" s="493" t="s">
        <v>197</v>
      </c>
      <c r="AB81" s="493"/>
      <c r="AC81" s="121" t="s">
        <v>583</v>
      </c>
      <c r="AD81" s="494" t="s">
        <v>192</v>
      </c>
      <c r="AE81" s="494"/>
      <c r="AF81" s="122"/>
      <c r="AG81" s="123" t="s">
        <v>583</v>
      </c>
      <c r="AH81" s="124"/>
      <c r="AI81" s="125"/>
      <c r="AJ81" s="125"/>
      <c r="AK81" s="384" t="s">
        <v>411</v>
      </c>
      <c r="AL81" s="126"/>
      <c r="AM81" s="70"/>
      <c r="AN81" s="127"/>
      <c r="AO81" s="128" t="s">
        <v>583</v>
      </c>
      <c r="AP81" s="129"/>
      <c r="AQ81" s="70"/>
      <c r="AR81" s="70"/>
      <c r="AS81" s="156" t="str">
        <f>IF(CA81=CA80,"",CA81)</f>
        <v/>
      </c>
      <c r="AT81" s="170" t="str">
        <f>VLOOKUP(BT81,tabbermsp!$B$335:$N$358,4,FALSE)</f>
        <v>UKR</v>
      </c>
      <c r="AU81" s="170"/>
      <c r="AV81" s="170"/>
      <c r="AW81" s="170">
        <f>VLOOKUP(BT81,tabbermsp!$B$335:$N$358,7,FALSE)</f>
        <v>0</v>
      </c>
      <c r="AX81" s="171" t="s">
        <v>583</v>
      </c>
      <c r="AY81" s="170">
        <f>VLOOKUP(BT81,tabbermsp!$B$335:$N$358,8,FALSE)</f>
        <v>0</v>
      </c>
      <c r="AZ81" s="172"/>
      <c r="BA81" s="173">
        <f>VLOOKUP(BT81,tabbermsp!$B$335:$N$358,9,FALSE)</f>
        <v>0</v>
      </c>
      <c r="BB81" s="170"/>
      <c r="BC81" s="170">
        <f>VLOOKUP(BT81,tabbermsp!$B$335:$N$358,6,FALSE)</f>
        <v>0</v>
      </c>
      <c r="BD81" s="170"/>
      <c r="BE81" s="114"/>
      <c r="BF81" s="145"/>
      <c r="BG81" s="114"/>
      <c r="BH81" s="146" t="str">
        <f>IF(VLOOKUP(BZ81,tabber!$B$335:$O$358,14,FALSE)=VLOOKUP(BZ80,tabber!$B$335:$O$358,14,FALSE),"",VLOOKUP(BZ81,tabber!$B$335:$O$358,14,FALSE))&amp;" "</f>
        <v xml:space="preserve"> </v>
      </c>
      <c r="BI81" s="174" t="str">
        <f>VLOOKUP(BT81,tabber!$B$335:$N$358,4,FALSE)</f>
        <v>UKR</v>
      </c>
      <c r="BJ81" s="175">
        <f>VLOOKUP(BT81,tabber!$B$335:$N$358,7,FALSE)</f>
        <v>0</v>
      </c>
      <c r="BK81" s="174" t="s">
        <v>583</v>
      </c>
      <c r="BL81" s="176">
        <f>VLOOKUP(BT81,tabber!$B$335:$N$358,8,FALSE)</f>
        <v>0</v>
      </c>
      <c r="BM81" s="177">
        <f>VLOOKUP(BT81,tabber!$B$335:$N$358,9,FALSE)</f>
        <v>0</v>
      </c>
      <c r="BN81" s="174">
        <f>VLOOKUP(BT81,tabber!$B$335:$N$358,6,FALSE)</f>
        <v>0</v>
      </c>
      <c r="BO81" s="114"/>
      <c r="BP81" s="145"/>
      <c r="BQ81" s="114"/>
      <c r="BR81" s="152">
        <f>IF(VLOOKUP(RIGHT(BT81,1),$DM$69:$DN$74,2,FALSE),1,IF(COUNTA(BF78:BF81)&lt;&gt;4,0,-1))</f>
        <v>0</v>
      </c>
      <c r="BS81" s="57">
        <f>IF(VLOOKUP(RIGHT(BT81,1),$DM$122:$DN$127,2,FALSE),1,IF(COUNTA(BP78:BP81)&lt;&gt;4,0,-1))</f>
        <v>0</v>
      </c>
      <c r="BT81" t="s">
        <v>659</v>
      </c>
      <c r="BU81" t="str">
        <f>VLOOKUP(BZ81,daten!$T$8:$U$31,2,FALSE)</f>
        <v>UKR</v>
      </c>
      <c r="BV81">
        <f>IF(ISERROR(MATCH(BF81,BU78:BU81,0)),0,IF(COUNTIF(BF78:BF81,"="&amp;BF81)&gt;1,0,MATCH(BF81,kuerzel,0)))</f>
        <v>0</v>
      </c>
      <c r="BW81">
        <f>IF(ISERROR(MATCH(BP81,BU78:BU81,0)),0,IF(COUNTIF(BP78:BP81,"="&amp;BP81)&gt;1,0,MATCH(BP81,kuerzel,0)))</f>
        <v>0</v>
      </c>
      <c r="BZ81" t="s">
        <v>659</v>
      </c>
      <c r="CA81" s="153">
        <f>VLOOKUP(BZ81,tabbermsp!$B$335:$O$358,14,FALSE)</f>
        <v>1</v>
      </c>
      <c r="CB81" s="91" t="str">
        <f>INDEX(daten!$G$59:$G$94,CC81)</f>
        <v>D-5</v>
      </c>
      <c r="CC81" s="59">
        <v>29</v>
      </c>
      <c r="CD81" t="b">
        <v>0</v>
      </c>
      <c r="CE81" s="57" t="str">
        <f t="shared" si="81"/>
        <v/>
      </c>
      <c r="CF81" s="57" t="str">
        <f t="shared" si="82"/>
        <v/>
      </c>
      <c r="CG81" s="57">
        <f t="shared" si="83"/>
        <v>0</v>
      </c>
      <c r="CH81" s="57">
        <f t="shared" si="84"/>
        <v>0</v>
      </c>
      <c r="CI81" s="57">
        <f t="shared" si="85"/>
        <v>0</v>
      </c>
      <c r="CJ81" s="57">
        <v>0</v>
      </c>
      <c r="CK81" s="57">
        <v>0</v>
      </c>
      <c r="CL81" s="57">
        <v>0</v>
      </c>
      <c r="CO81" s="57">
        <v>0</v>
      </c>
      <c r="CP81" s="57">
        <v>0</v>
      </c>
      <c r="CQ81" s="57">
        <v>0</v>
      </c>
      <c r="CR81" s="57">
        <v>0</v>
      </c>
      <c r="CS81" s="57">
        <v>0</v>
      </c>
      <c r="CT81" s="57">
        <v>0</v>
      </c>
      <c r="CV81">
        <f t="shared" si="86"/>
        <v>0</v>
      </c>
      <c r="CX81" t="b">
        <f t="shared" si="87"/>
        <v>0</v>
      </c>
      <c r="CY81" t="b">
        <f t="shared" si="88"/>
        <v>0</v>
      </c>
      <c r="CZ81" t="b">
        <v>0</v>
      </c>
      <c r="DA81">
        <f t="shared" si="89"/>
        <v>0</v>
      </c>
      <c r="DB81">
        <f>SUM($DA$75:$DA81)</f>
        <v>0</v>
      </c>
      <c r="DC81" t="b">
        <f t="shared" si="90"/>
        <v>0</v>
      </c>
      <c r="DE81">
        <v>3</v>
      </c>
      <c r="DF81" s="137">
        <v>1</v>
      </c>
      <c r="DG81" s="137">
        <v>10</v>
      </c>
      <c r="DH81">
        <f t="shared" si="91"/>
        <v>1</v>
      </c>
      <c r="DI81" s="138" t="str">
        <f t="shared" si="92"/>
        <v/>
      </c>
      <c r="DJ81" s="138" t="str">
        <f t="shared" si="93"/>
        <v/>
      </c>
      <c r="DM81" t="s">
        <v>581</v>
      </c>
      <c r="DN81">
        <f>$BG$42</f>
        <v>0</v>
      </c>
      <c r="DO81">
        <f t="shared" ref="DO81:DO86" si="109">IF(DN81=$DD$2,1,0)</f>
        <v>0</v>
      </c>
      <c r="DP81">
        <f t="shared" ref="DP81:DP86" si="110">IF(NOT(mandrtipp),99,IF(DO81=1,ROW()-80,99))</f>
        <v>99</v>
      </c>
      <c r="DR81">
        <f>SMALL($DP$81:$DP$86,1)</f>
        <v>99</v>
      </c>
      <c r="DT81" t="str">
        <f>tabbermsp!H392</f>
        <v>x</v>
      </c>
      <c r="DU81" t="str">
        <f>tabbermsp!I392</f>
        <v>x</v>
      </c>
      <c r="DV81" t="str">
        <f>tabbermsp!J392</f>
        <v>x</v>
      </c>
      <c r="DW81" t="str">
        <f>tabbermsp!K392</f>
        <v>x</v>
      </c>
      <c r="ED81" s="57">
        <v>0</v>
      </c>
      <c r="EE81" s="57">
        <f t="shared" si="94"/>
        <v>-1</v>
      </c>
      <c r="EF81" s="57"/>
      <c r="EG81" s="57">
        <f t="shared" ca="1" si="95"/>
        <v>0</v>
      </c>
      <c r="EH81" s="57">
        <f t="shared" ca="1" si="96"/>
        <v>0</v>
      </c>
      <c r="EI81" s="57">
        <f t="shared" ca="1" si="97"/>
        <v>0</v>
      </c>
      <c r="EJ81" s="57">
        <f t="shared" ca="1" si="98"/>
        <v>-1</v>
      </c>
      <c r="EK81" s="57">
        <v>0</v>
      </c>
      <c r="EM81" s="57">
        <f t="shared" si="99"/>
        <v>0</v>
      </c>
      <c r="EN81" s="57">
        <f t="shared" si="100"/>
        <v>0</v>
      </c>
      <c r="EO81" s="57">
        <f t="shared" si="101"/>
        <v>0</v>
      </c>
      <c r="EP81" s="57">
        <f>IF($CS$4&lt;&gt;3,0,IF(AND(CH81=INDEX(settings!$I$19:$P$19,1),LEN(CP81)=0),0,IF(EXACT(CH81,CP81),0,1)))</f>
        <v>0</v>
      </c>
      <c r="EQ81" s="57">
        <f>IF(settings!$C$1100,0,IF(CI81=CQ81,0,1))</f>
        <v>0</v>
      </c>
      <c r="ER81" s="57">
        <f t="shared" si="102"/>
        <v>0</v>
      </c>
      <c r="ES81" s="57">
        <f t="shared" si="103"/>
        <v>0</v>
      </c>
      <c r="ET81" s="57">
        <f t="shared" si="104"/>
        <v>0</v>
      </c>
      <c r="EU81" s="57">
        <f t="shared" si="105"/>
        <v>0</v>
      </c>
      <c r="FB81">
        <f>IF(DH81&lt;FH75,FH75,DH81)</f>
        <v>1</v>
      </c>
      <c r="FC81">
        <v>5</v>
      </c>
      <c r="FD81">
        <f t="shared" si="107"/>
        <v>1</v>
      </c>
      <c r="FE81">
        <f>IF(CD81,CP81,IF(FB81&gt;FI75,FI75,FB81))</f>
        <v>1</v>
      </c>
      <c r="FG81">
        <f t="shared" si="108"/>
        <v>1</v>
      </c>
      <c r="FH81">
        <f>FG75-SUM(FG76:FG81)-SUM(FD82:FD89)+FH75</f>
        <v>69</v>
      </c>
      <c r="FI81" t="b">
        <f t="shared" si="106"/>
        <v>1</v>
      </c>
    </row>
    <row r="82" spans="3:165" ht="11.25" customHeight="1" x14ac:dyDescent="0.2">
      <c r="C82" s="91">
        <v>30</v>
      </c>
      <c r="Q82">
        <v>30</v>
      </c>
      <c r="S82" s="70"/>
      <c r="T82" s="120" t="str">
        <f t="shared" si="80"/>
        <v/>
      </c>
      <c r="U82" s="529">
        <v>45468.75</v>
      </c>
      <c r="V82" s="530"/>
      <c r="W82" s="531">
        <v>0.75</v>
      </c>
      <c r="X82" s="532" t="s">
        <v>1184</v>
      </c>
      <c r="Y82" s="532"/>
      <c r="Z82" s="533" t="s">
        <v>608</v>
      </c>
      <c r="AA82" s="493" t="s">
        <v>194</v>
      </c>
      <c r="AB82" s="493"/>
      <c r="AC82" s="121" t="s">
        <v>583</v>
      </c>
      <c r="AD82" s="494" t="s">
        <v>195</v>
      </c>
      <c r="AE82" s="494"/>
      <c r="AF82" s="122"/>
      <c r="AG82" s="123" t="s">
        <v>583</v>
      </c>
      <c r="AH82" s="124"/>
      <c r="AI82" s="125"/>
      <c r="AJ82" s="125"/>
      <c r="AK82" s="384" t="s">
        <v>411</v>
      </c>
      <c r="AL82" s="126"/>
      <c r="AM82" s="70"/>
      <c r="AN82" s="127"/>
      <c r="AO82" s="128" t="s">
        <v>583</v>
      </c>
      <c r="AP82" s="129"/>
      <c r="AQ82" s="70"/>
      <c r="AR82" s="70"/>
      <c r="AS82" s="114"/>
      <c r="AT82" s="114"/>
      <c r="AU82" s="114"/>
      <c r="AV82" s="114"/>
      <c r="AW82" s="114"/>
      <c r="AX82" s="114"/>
      <c r="AY82" s="114"/>
      <c r="AZ82" s="114"/>
      <c r="BA82" s="114"/>
      <c r="BB82" s="114"/>
      <c r="BC82" s="114"/>
      <c r="BD82" s="114"/>
      <c r="BE82" s="114"/>
      <c r="BF82" s="114"/>
      <c r="BG82" s="114"/>
      <c r="BH82" s="114"/>
      <c r="BI82" s="114"/>
      <c r="BJ82" s="114"/>
      <c r="BK82" s="114"/>
      <c r="BL82" s="114"/>
      <c r="BM82" s="114"/>
      <c r="BN82" s="114"/>
      <c r="BO82" s="114"/>
      <c r="BP82" s="133"/>
      <c r="BQ82" s="114"/>
      <c r="BR82" s="70"/>
      <c r="CB82" s="91" t="str">
        <f>INDEX(daten!$G$59:$G$94,CC82)</f>
        <v>D-6</v>
      </c>
      <c r="CC82" s="59">
        <v>30</v>
      </c>
      <c r="CD82" t="b">
        <v>0</v>
      </c>
      <c r="CE82" s="57" t="str">
        <f t="shared" si="81"/>
        <v/>
      </c>
      <c r="CF82" s="57" t="str">
        <f t="shared" si="82"/>
        <v/>
      </c>
      <c r="CG82" s="57">
        <f t="shared" si="83"/>
        <v>0</v>
      </c>
      <c r="CH82" s="57">
        <f t="shared" si="84"/>
        <v>0</v>
      </c>
      <c r="CI82" s="57">
        <f t="shared" si="85"/>
        <v>0</v>
      </c>
      <c r="CJ82" s="57">
        <v>0</v>
      </c>
      <c r="CK82" s="57">
        <v>0</v>
      </c>
      <c r="CL82" s="57">
        <v>0</v>
      </c>
      <c r="CO82" s="57">
        <v>0</v>
      </c>
      <c r="CP82" s="57">
        <v>0</v>
      </c>
      <c r="CQ82" s="57">
        <v>0</v>
      </c>
      <c r="CR82" s="57">
        <v>0</v>
      </c>
      <c r="CS82" s="57">
        <v>0</v>
      </c>
      <c r="CT82" s="57">
        <v>0</v>
      </c>
      <c r="CV82">
        <f t="shared" si="86"/>
        <v>0</v>
      </c>
      <c r="CX82" t="b">
        <f t="shared" si="87"/>
        <v>0</v>
      </c>
      <c r="CY82" t="b">
        <f t="shared" si="88"/>
        <v>0</v>
      </c>
      <c r="CZ82" t="b">
        <v>0</v>
      </c>
      <c r="DA82">
        <f t="shared" si="89"/>
        <v>0</v>
      </c>
      <c r="DB82">
        <f>SUM($DA$75:$DA82)</f>
        <v>0</v>
      </c>
      <c r="DC82" t="b">
        <f t="shared" si="90"/>
        <v>0</v>
      </c>
      <c r="DE82">
        <v>3</v>
      </c>
      <c r="DF82" s="137">
        <v>1</v>
      </c>
      <c r="DG82" s="137">
        <v>10</v>
      </c>
      <c r="DH82">
        <f t="shared" si="91"/>
        <v>1</v>
      </c>
      <c r="DI82" s="138" t="str">
        <f t="shared" si="92"/>
        <v/>
      </c>
      <c r="DJ82" s="138" t="str">
        <f t="shared" si="93"/>
        <v/>
      </c>
      <c r="DM82" t="s">
        <v>601</v>
      </c>
      <c r="DN82">
        <f>$BG$49</f>
        <v>0</v>
      </c>
      <c r="DO82">
        <f t="shared" si="109"/>
        <v>0</v>
      </c>
      <c r="DP82">
        <f t="shared" si="110"/>
        <v>99</v>
      </c>
      <c r="DR82">
        <f>SMALL($DP$81:$DP$86,2)</f>
        <v>99</v>
      </c>
      <c r="ED82" s="57">
        <v>0</v>
      </c>
      <c r="EE82" s="57">
        <f t="shared" si="94"/>
        <v>-1</v>
      </c>
      <c r="EF82" s="57"/>
      <c r="EG82" s="57">
        <f t="shared" ca="1" si="95"/>
        <v>0</v>
      </c>
      <c r="EH82" s="57">
        <f t="shared" ca="1" si="96"/>
        <v>0</v>
      </c>
      <c r="EI82" s="57">
        <f t="shared" ca="1" si="97"/>
        <v>0</v>
      </c>
      <c r="EJ82" s="57">
        <f t="shared" ca="1" si="98"/>
        <v>-1</v>
      </c>
      <c r="EK82" s="57">
        <v>0</v>
      </c>
      <c r="EM82" s="57">
        <f t="shared" si="99"/>
        <v>0</v>
      </c>
      <c r="EN82" s="57">
        <f t="shared" si="100"/>
        <v>0</v>
      </c>
      <c r="EO82" s="57">
        <f t="shared" si="101"/>
        <v>0</v>
      </c>
      <c r="EP82" s="57">
        <f>IF($CS$4&lt;&gt;3,0,IF(AND(CH82=INDEX(settings!$I$19:$P$19,1),LEN(CP82)=0),0,IF(EXACT(CH82,CP82),0,1)))</f>
        <v>0</v>
      </c>
      <c r="EQ82" s="57">
        <f>IF(settings!$C$1100,0,IF(CI82=CQ82,0,1))</f>
        <v>0</v>
      </c>
      <c r="ER82" s="57">
        <f t="shared" si="102"/>
        <v>0</v>
      </c>
      <c r="ES82" s="57">
        <f t="shared" si="103"/>
        <v>0</v>
      </c>
      <c r="ET82" s="57">
        <f t="shared" si="104"/>
        <v>0</v>
      </c>
      <c r="EU82" s="57">
        <f t="shared" si="105"/>
        <v>0</v>
      </c>
      <c r="FB82">
        <f>IF(DH82&lt;FH75,FH75,DH82)</f>
        <v>1</v>
      </c>
      <c r="FC82">
        <v>6</v>
      </c>
      <c r="FD82">
        <f t="shared" si="107"/>
        <v>1</v>
      </c>
      <c r="FE82">
        <f>IF(CD82,CP82,IF(FB82&gt;FI75,FI75,FB82))</f>
        <v>1</v>
      </c>
      <c r="FG82">
        <f t="shared" si="108"/>
        <v>1</v>
      </c>
      <c r="FH82">
        <f>FG75-SUM(FG76:FG82)-SUM(FD83:FD89)+FH75</f>
        <v>69</v>
      </c>
      <c r="FI82" t="b">
        <f t="shared" si="106"/>
        <v>1</v>
      </c>
    </row>
    <row r="83" spans="3:165" ht="11.25" customHeight="1" x14ac:dyDescent="0.2">
      <c r="C83" s="91">
        <v>31</v>
      </c>
      <c r="Q83">
        <v>31</v>
      </c>
      <c r="S83" s="70"/>
      <c r="T83" s="120" t="str">
        <f t="shared" si="80"/>
        <v/>
      </c>
      <c r="U83" s="529">
        <v>45468.875</v>
      </c>
      <c r="V83" s="530"/>
      <c r="W83" s="531">
        <v>0.875</v>
      </c>
      <c r="X83" s="532" t="s">
        <v>1182</v>
      </c>
      <c r="Y83" s="532"/>
      <c r="Z83" s="533" t="s">
        <v>613</v>
      </c>
      <c r="AA83" s="493" t="s">
        <v>199</v>
      </c>
      <c r="AB83" s="493"/>
      <c r="AC83" s="121" t="s">
        <v>583</v>
      </c>
      <c r="AD83" s="494" t="s">
        <v>546</v>
      </c>
      <c r="AE83" s="494"/>
      <c r="AF83" s="122"/>
      <c r="AG83" s="123" t="s">
        <v>583</v>
      </c>
      <c r="AH83" s="124"/>
      <c r="AI83" s="125"/>
      <c r="AJ83" s="125"/>
      <c r="AK83" s="384" t="s">
        <v>411</v>
      </c>
      <c r="AL83" s="126"/>
      <c r="AM83" s="70"/>
      <c r="AN83" s="127"/>
      <c r="AO83" s="128" t="s">
        <v>583</v>
      </c>
      <c r="AP83" s="129"/>
      <c r="AQ83" s="70"/>
      <c r="AR83" s="70"/>
      <c r="AS83" s="114"/>
      <c r="AT83" s="114"/>
      <c r="AU83" s="114"/>
      <c r="AV83" s="114"/>
      <c r="AW83" s="114"/>
      <c r="AX83" s="114"/>
      <c r="AY83" s="114"/>
      <c r="AZ83" s="114"/>
      <c r="BA83" s="114"/>
      <c r="BB83" s="114"/>
      <c r="BC83" s="114"/>
      <c r="BD83" s="114"/>
      <c r="BE83" s="114"/>
      <c r="BF83" s="114"/>
      <c r="BG83" s="114"/>
      <c r="BH83" s="114"/>
      <c r="BI83" s="114"/>
      <c r="BJ83" s="114"/>
      <c r="BK83" s="114"/>
      <c r="BL83" s="114"/>
      <c r="BM83" s="114"/>
      <c r="BN83" s="114"/>
      <c r="BO83" s="114"/>
      <c r="BP83" s="133"/>
      <c r="BQ83" s="114"/>
      <c r="BR83" s="70"/>
      <c r="CB83" s="91" t="str">
        <f>INDEX(daten!$G$59:$G$94,CC83)</f>
        <v>C-5</v>
      </c>
      <c r="CC83" s="59">
        <v>31</v>
      </c>
      <c r="CD83" t="b">
        <v>0</v>
      </c>
      <c r="CE83" s="57" t="str">
        <f t="shared" si="81"/>
        <v/>
      </c>
      <c r="CF83" s="57" t="str">
        <f t="shared" si="82"/>
        <v/>
      </c>
      <c r="CG83" s="57">
        <f t="shared" si="83"/>
        <v>0</v>
      </c>
      <c r="CH83" s="57">
        <f t="shared" si="84"/>
        <v>0</v>
      </c>
      <c r="CI83" s="57">
        <f t="shared" si="85"/>
        <v>0</v>
      </c>
      <c r="CJ83" s="57">
        <v>0</v>
      </c>
      <c r="CK83" s="57">
        <v>0</v>
      </c>
      <c r="CL83" s="57">
        <v>0</v>
      </c>
      <c r="CO83" s="57">
        <v>0</v>
      </c>
      <c r="CP83" s="57">
        <v>0</v>
      </c>
      <c r="CQ83" s="57">
        <v>0</v>
      </c>
      <c r="CR83" s="57">
        <v>0</v>
      </c>
      <c r="CS83" s="57">
        <v>0</v>
      </c>
      <c r="CT83" s="57">
        <v>0</v>
      </c>
      <c r="CV83">
        <f t="shared" si="86"/>
        <v>0</v>
      </c>
      <c r="CX83" t="b">
        <f t="shared" si="87"/>
        <v>0</v>
      </c>
      <c r="CY83" t="b">
        <f t="shared" si="88"/>
        <v>0</v>
      </c>
      <c r="CZ83" t="b">
        <v>0</v>
      </c>
      <c r="DA83">
        <f t="shared" si="89"/>
        <v>0</v>
      </c>
      <c r="DB83">
        <f>SUM($DA$75:$DA83)</f>
        <v>0</v>
      </c>
      <c r="DC83" t="b">
        <f t="shared" si="90"/>
        <v>0</v>
      </c>
      <c r="DE83">
        <v>3</v>
      </c>
      <c r="DF83" s="137">
        <v>1</v>
      </c>
      <c r="DG83" s="137">
        <v>10</v>
      </c>
      <c r="DH83">
        <f t="shared" si="91"/>
        <v>1</v>
      </c>
      <c r="DI83" s="138" t="str">
        <f t="shared" si="92"/>
        <v/>
      </c>
      <c r="DJ83" s="138" t="str">
        <f t="shared" si="93"/>
        <v/>
      </c>
      <c r="DM83" t="s">
        <v>613</v>
      </c>
      <c r="DN83">
        <f>$BG$61</f>
        <v>0</v>
      </c>
      <c r="DO83">
        <f t="shared" si="109"/>
        <v>0</v>
      </c>
      <c r="DP83">
        <f t="shared" si="110"/>
        <v>99</v>
      </c>
      <c r="DR83">
        <f>SMALL($DP$81:$DP$86,3)</f>
        <v>99</v>
      </c>
      <c r="DT83" t="s">
        <v>691</v>
      </c>
      <c r="DW83" t="s">
        <v>484</v>
      </c>
      <c r="DX83" t="s">
        <v>483</v>
      </c>
      <c r="ED83" s="57">
        <v>0</v>
      </c>
      <c r="EE83" s="57">
        <f t="shared" si="94"/>
        <v>-1</v>
      </c>
      <c r="EF83" s="57"/>
      <c r="EG83" s="57">
        <f t="shared" ca="1" si="95"/>
        <v>0</v>
      </c>
      <c r="EH83" s="57">
        <f t="shared" ca="1" si="96"/>
        <v>0</v>
      </c>
      <c r="EI83" s="57">
        <f t="shared" ca="1" si="97"/>
        <v>0</v>
      </c>
      <c r="EJ83" s="57">
        <f t="shared" ca="1" si="98"/>
        <v>-1</v>
      </c>
      <c r="EK83" s="57">
        <v>0</v>
      </c>
      <c r="EM83" s="57">
        <f t="shared" si="99"/>
        <v>0</v>
      </c>
      <c r="EN83" s="57">
        <f t="shared" si="100"/>
        <v>0</v>
      </c>
      <c r="EO83" s="57">
        <f t="shared" si="101"/>
        <v>0</v>
      </c>
      <c r="EP83" s="57">
        <f>IF($CS$4&lt;&gt;3,0,IF(AND(CH83=INDEX(settings!$I$19:$P$19,1),LEN(CP83)=0),0,IF(EXACT(CH83,CP83),0,1)))</f>
        <v>0</v>
      </c>
      <c r="EQ83" s="57">
        <f>IF(settings!$C$1100,0,IF(CI83=CQ83,0,1))</f>
        <v>0</v>
      </c>
      <c r="ER83" s="57">
        <f t="shared" si="102"/>
        <v>0</v>
      </c>
      <c r="ES83" s="57">
        <f t="shared" si="103"/>
        <v>0</v>
      </c>
      <c r="ET83" s="57">
        <f t="shared" si="104"/>
        <v>0</v>
      </c>
      <c r="EU83" s="57">
        <f t="shared" si="105"/>
        <v>0</v>
      </c>
      <c r="FB83">
        <f>IF(DH83&lt;FH75,FH75,DH83)</f>
        <v>1</v>
      </c>
      <c r="FC83">
        <v>7</v>
      </c>
      <c r="FD83">
        <f t="shared" si="107"/>
        <v>1</v>
      </c>
      <c r="FE83">
        <f>IF(CD83,CP83,IF(FB83&gt;FI75,FI75,FB83))</f>
        <v>1</v>
      </c>
      <c r="FG83">
        <f t="shared" si="108"/>
        <v>1</v>
      </c>
      <c r="FH83">
        <f>FG75-SUM(FG76:FG83)-SUM(FD84:FD89)+FH75</f>
        <v>69</v>
      </c>
      <c r="FI83" t="b">
        <f t="shared" si="106"/>
        <v>1</v>
      </c>
    </row>
    <row r="84" spans="3:165" ht="11.25" customHeight="1" x14ac:dyDescent="0.2">
      <c r="C84" s="91">
        <v>32</v>
      </c>
      <c r="Q84">
        <v>32</v>
      </c>
      <c r="S84" s="70"/>
      <c r="T84" s="120" t="str">
        <f t="shared" si="80"/>
        <v/>
      </c>
      <c r="U84" s="529">
        <v>45468.875</v>
      </c>
      <c r="V84" s="530"/>
      <c r="W84" s="531">
        <v>0.875</v>
      </c>
      <c r="X84" s="532" t="s">
        <v>1181</v>
      </c>
      <c r="Y84" s="532"/>
      <c r="Z84" s="533" t="s">
        <v>613</v>
      </c>
      <c r="AA84" s="493" t="s">
        <v>198</v>
      </c>
      <c r="AB84" s="493"/>
      <c r="AC84" s="121" t="s">
        <v>583</v>
      </c>
      <c r="AD84" s="494" t="s">
        <v>547</v>
      </c>
      <c r="AE84" s="494"/>
      <c r="AF84" s="122"/>
      <c r="AG84" s="123" t="s">
        <v>583</v>
      </c>
      <c r="AH84" s="124"/>
      <c r="AI84" s="125"/>
      <c r="AJ84" s="125"/>
      <c r="AK84" s="384" t="s">
        <v>411</v>
      </c>
      <c r="AL84" s="126"/>
      <c r="AM84" s="70"/>
      <c r="AN84" s="127"/>
      <c r="AO84" s="128" t="s">
        <v>583</v>
      </c>
      <c r="AP84" s="129"/>
      <c r="AQ84" s="70"/>
      <c r="AR84" s="520" t="s">
        <v>632</v>
      </c>
      <c r="AS84" s="520"/>
      <c r="AT84" s="130" t="str">
        <f>IF(VLOOKUP(AR84,$DM$69:$DN$76,2,FALSE)," Manuell","")</f>
        <v/>
      </c>
      <c r="AU84" s="131"/>
      <c r="AV84" s="131"/>
      <c r="AW84" s="132" t="s">
        <v>585</v>
      </c>
      <c r="AX84" s="132"/>
      <c r="AY84" s="132"/>
      <c r="AZ84" s="131"/>
      <c r="BA84" s="132" t="s">
        <v>586</v>
      </c>
      <c r="BB84" s="132"/>
      <c r="BC84" s="132" t="s">
        <v>587</v>
      </c>
      <c r="BD84" s="132"/>
      <c r="BE84" s="114"/>
      <c r="BF84" s="133" t="s">
        <v>588</v>
      </c>
      <c r="BG84" s="133" t="s">
        <v>589</v>
      </c>
      <c r="BH84" s="134" t="s">
        <v>692</v>
      </c>
      <c r="BI84" s="135" t="str">
        <f>IF(VLOOKUP(AR84,$DM$122:$DN$129,2,FALSE)," Manuell","")</f>
        <v/>
      </c>
      <c r="BJ84" s="429" t="s">
        <v>585</v>
      </c>
      <c r="BK84" s="429"/>
      <c r="BL84" s="429"/>
      <c r="BM84" s="136" t="s">
        <v>586</v>
      </c>
      <c r="BN84" s="136" t="s">
        <v>587</v>
      </c>
      <c r="BO84" s="114"/>
      <c r="BP84" s="133" t="s">
        <v>588</v>
      </c>
      <c r="BQ84" s="133" t="s">
        <v>589</v>
      </c>
      <c r="BR84" s="70"/>
      <c r="CB84" s="91" t="str">
        <f>INDEX(daten!$G$59:$G$94,CC84)</f>
        <v>C-6</v>
      </c>
      <c r="CC84" s="59">
        <v>32</v>
      </c>
      <c r="CD84" t="b">
        <v>0</v>
      </c>
      <c r="CE84" s="57" t="str">
        <f t="shared" si="81"/>
        <v/>
      </c>
      <c r="CF84" s="57" t="str">
        <f t="shared" si="82"/>
        <v/>
      </c>
      <c r="CG84" s="57">
        <f t="shared" si="83"/>
        <v>0</v>
      </c>
      <c r="CH84" s="57">
        <f t="shared" si="84"/>
        <v>0</v>
      </c>
      <c r="CI84" s="57">
        <f t="shared" si="85"/>
        <v>0</v>
      </c>
      <c r="CJ84" s="57">
        <v>0</v>
      </c>
      <c r="CK84" s="57">
        <v>0</v>
      </c>
      <c r="CL84" s="57">
        <v>0</v>
      </c>
      <c r="CO84" s="57">
        <v>0</v>
      </c>
      <c r="CP84" s="57">
        <v>0</v>
      </c>
      <c r="CQ84" s="57">
        <v>0</v>
      </c>
      <c r="CR84" s="57">
        <v>0</v>
      </c>
      <c r="CS84" s="57">
        <v>0</v>
      </c>
      <c r="CT84" s="57">
        <v>0</v>
      </c>
      <c r="CV84">
        <f t="shared" si="86"/>
        <v>0</v>
      </c>
      <c r="CX84" t="b">
        <f t="shared" si="87"/>
        <v>0</v>
      </c>
      <c r="CY84" t="b">
        <f t="shared" si="88"/>
        <v>0</v>
      </c>
      <c r="CZ84" t="b">
        <v>0</v>
      </c>
      <c r="DA84">
        <f t="shared" si="89"/>
        <v>0</v>
      </c>
      <c r="DB84">
        <f>SUM($DA$75:$DA84)</f>
        <v>0</v>
      </c>
      <c r="DC84" t="b">
        <f t="shared" si="90"/>
        <v>0</v>
      </c>
      <c r="DE84">
        <v>3</v>
      </c>
      <c r="DF84" s="137">
        <v>1</v>
      </c>
      <c r="DG84" s="137">
        <v>10</v>
      </c>
      <c r="DH84">
        <f t="shared" si="91"/>
        <v>1</v>
      </c>
      <c r="DI84" s="138" t="str">
        <f t="shared" si="92"/>
        <v/>
      </c>
      <c r="DJ84" s="138" t="str">
        <f t="shared" si="93"/>
        <v/>
      </c>
      <c r="DM84" t="s">
        <v>608</v>
      </c>
      <c r="DN84">
        <f>$BG$68</f>
        <v>0</v>
      </c>
      <c r="DO84">
        <f t="shared" si="109"/>
        <v>0</v>
      </c>
      <c r="DP84">
        <f t="shared" si="110"/>
        <v>99</v>
      </c>
      <c r="DR84">
        <f>SMALL($DP$81:$DP$86,4)</f>
        <v>99</v>
      </c>
      <c r="DT84" t="s">
        <v>581</v>
      </c>
      <c r="DU84">
        <f>SUM(DV40:DW45)</f>
        <v>0</v>
      </c>
      <c r="DW84">
        <f>MAX(DU84:DU89)</f>
        <v>0</v>
      </c>
      <c r="DX84">
        <f>MIN(DU84:DU89)</f>
        <v>0</v>
      </c>
      <c r="ED84" s="57">
        <v>0</v>
      </c>
      <c r="EE84" s="57">
        <f t="shared" si="94"/>
        <v>-1</v>
      </c>
      <c r="EF84" s="57"/>
      <c r="EG84" s="57">
        <f t="shared" ca="1" si="95"/>
        <v>0</v>
      </c>
      <c r="EH84" s="57">
        <f t="shared" ca="1" si="96"/>
        <v>0</v>
      </c>
      <c r="EI84" s="57">
        <f t="shared" ca="1" si="97"/>
        <v>0</v>
      </c>
      <c r="EJ84" s="57">
        <f t="shared" ca="1" si="98"/>
        <v>-1</v>
      </c>
      <c r="EK84" s="57">
        <v>0</v>
      </c>
      <c r="EM84" s="57">
        <f t="shared" si="99"/>
        <v>0</v>
      </c>
      <c r="EN84" s="57">
        <f t="shared" si="100"/>
        <v>0</v>
      </c>
      <c r="EO84" s="57">
        <f t="shared" si="101"/>
        <v>0</v>
      </c>
      <c r="EP84" s="57">
        <f>IF($CS$4&lt;&gt;3,0,IF(AND(CH84=INDEX(settings!$I$19:$P$19,1),LEN(CP84)=0),0,IF(EXACT(CH84,CP84),0,1)))</f>
        <v>0</v>
      </c>
      <c r="EQ84" s="57">
        <f>IF(settings!$C$1100,0,IF(CI84=CQ84,0,1))</f>
        <v>0</v>
      </c>
      <c r="ER84" s="57">
        <f t="shared" si="102"/>
        <v>0</v>
      </c>
      <c r="ES84" s="57">
        <f t="shared" si="103"/>
        <v>0</v>
      </c>
      <c r="ET84" s="57">
        <f t="shared" si="104"/>
        <v>0</v>
      </c>
      <c r="EU84" s="57">
        <f t="shared" si="105"/>
        <v>0</v>
      </c>
      <c r="FB84">
        <f>IF(DH84&lt;FH75,FH75,DH84)</f>
        <v>1</v>
      </c>
      <c r="FC84">
        <v>8</v>
      </c>
      <c r="FD84">
        <f t="shared" si="107"/>
        <v>1</v>
      </c>
      <c r="FE84">
        <f>IF(CD84,CP84,IF(FB84&gt;FI75,FI75,FB84))</f>
        <v>1</v>
      </c>
      <c r="FG84">
        <f t="shared" si="108"/>
        <v>1</v>
      </c>
      <c r="FH84">
        <f>FG75-SUM(FG76:FG84)-SUM(FD85:FD89)+FH75</f>
        <v>69</v>
      </c>
      <c r="FI84" t="b">
        <f t="shared" si="106"/>
        <v>1</v>
      </c>
    </row>
    <row r="85" spans="3:165" ht="11.25" customHeight="1" x14ac:dyDescent="0.2">
      <c r="C85" s="91">
        <v>33</v>
      </c>
      <c r="Q85">
        <v>33</v>
      </c>
      <c r="S85" s="70"/>
      <c r="T85" s="120" t="str">
        <f t="shared" si="80"/>
        <v/>
      </c>
      <c r="U85" s="529">
        <v>45469.75</v>
      </c>
      <c r="V85" s="530"/>
      <c r="W85" s="531">
        <v>0.75</v>
      </c>
      <c r="X85" s="532" t="s">
        <v>1188</v>
      </c>
      <c r="Y85" s="532"/>
      <c r="Z85" s="533" t="s">
        <v>487</v>
      </c>
      <c r="AA85" s="493" t="s">
        <v>188</v>
      </c>
      <c r="AB85" s="493"/>
      <c r="AC85" s="121" t="s">
        <v>583</v>
      </c>
      <c r="AD85" s="494" t="s">
        <v>548</v>
      </c>
      <c r="AE85" s="494"/>
      <c r="AF85" s="122"/>
      <c r="AG85" s="123" t="s">
        <v>583</v>
      </c>
      <c r="AH85" s="124"/>
      <c r="AI85" s="125"/>
      <c r="AJ85" s="125"/>
      <c r="AK85" s="384" t="s">
        <v>411</v>
      </c>
      <c r="AL85" s="126"/>
      <c r="AM85" s="70"/>
      <c r="AN85" s="127"/>
      <c r="AO85" s="128" t="s">
        <v>583</v>
      </c>
      <c r="AP85" s="129"/>
      <c r="AQ85" s="70"/>
      <c r="AR85" s="70"/>
      <c r="AS85" s="139">
        <v>1</v>
      </c>
      <c r="AT85" s="140" t="str">
        <f>VLOOKUP(BT85,tabbermsp!$B$335:$N$358,4,FALSE)</f>
        <v>TUR</v>
      </c>
      <c r="AU85" s="141"/>
      <c r="AV85" s="140"/>
      <c r="AW85" s="140">
        <f>VLOOKUP(BT85,tabbermsp!$B$335:$N$358,7,FALSE)</f>
        <v>0</v>
      </c>
      <c r="AX85" s="142" t="s">
        <v>583</v>
      </c>
      <c r="AY85" s="140">
        <f>VLOOKUP(BT85,tabbermsp!$B$335:$N$358,8,FALSE)</f>
        <v>0</v>
      </c>
      <c r="AZ85" s="143"/>
      <c r="BA85" s="144">
        <f>VLOOKUP(BT85,tabbermsp!$B$335:$N$358,9,FALSE)</f>
        <v>0</v>
      </c>
      <c r="BB85" s="140"/>
      <c r="BC85" s="140">
        <f>VLOOKUP(BT85,tabbermsp!$B$335:$N$358,6,FALSE)</f>
        <v>0</v>
      </c>
      <c r="BD85" s="140"/>
      <c r="BE85" s="114"/>
      <c r="BF85" s="145"/>
      <c r="BG85" s="114"/>
      <c r="BH85" s="146" t="str">
        <f>"1 "</f>
        <v xml:space="preserve">1 </v>
      </c>
      <c r="BI85" s="147" t="str">
        <f>VLOOKUP(BT85,tabber!$B$335:$N$358,4,FALSE)</f>
        <v>TUR</v>
      </c>
      <c r="BJ85" s="148">
        <f>VLOOKUP(BT85,tabber!$B$335:$N$358,7,FALSE)</f>
        <v>0</v>
      </c>
      <c r="BK85" s="147" t="s">
        <v>583</v>
      </c>
      <c r="BL85" s="149">
        <f>VLOOKUP(BT85,tabber!$B$335:$N$358,8,FALSE)</f>
        <v>0</v>
      </c>
      <c r="BM85" s="150">
        <f>VLOOKUP(BT85,tabber!$B$335:$N$358,9,FALSE)</f>
        <v>0</v>
      </c>
      <c r="BN85" s="147">
        <f>VLOOKUP(BT85,tabber!$B$335:$N$358,6,FALSE)</f>
        <v>0</v>
      </c>
      <c r="BO85" s="114"/>
      <c r="BP85" s="145"/>
      <c r="BQ85" s="114"/>
      <c r="BR85" s="152">
        <f>IF(VLOOKUP(RIGHT(BT85,1),$DM$69:$DN$74,2,FALSE),1,IF(COUNTA(BF85:BF88)&lt;&gt;4,0,-1))</f>
        <v>0</v>
      </c>
      <c r="BS85" s="57">
        <f>IF(VLOOKUP(RIGHT(BT85,1),$DM$122:$DN$127,2,FALSE),1,IF(COUNTA(BP85:BP88)&lt;&gt;4,0,-1))</f>
        <v>0</v>
      </c>
      <c r="BT85" t="s">
        <v>661</v>
      </c>
      <c r="BU85" t="str">
        <f>VLOOKUP(BZ85,daten!$T$8:$U$31,2,FALSE)</f>
        <v>TUR</v>
      </c>
      <c r="BV85">
        <f>IF(ISERROR(MATCH(BF85,BU85:BU88,0)),0,IF(COUNTIF(BF85:BF88,"="&amp;BF85)&gt;1,0,MATCH(BF85,kuerzel,0)))</f>
        <v>0</v>
      </c>
      <c r="BW85">
        <f>IF(ISERROR(MATCH(BP85,BU85:BU88,0)),0,IF(COUNTIF(BP85:BP88,"="&amp;BP85)&gt;1,0,MATCH(BP85,kuerzel,0)))</f>
        <v>0</v>
      </c>
      <c r="BZ85" t="s">
        <v>661</v>
      </c>
      <c r="CA85" s="153">
        <f>VLOOKUP(BZ85,tabbermsp!$B$335:$O$358,14,FALSE)</f>
        <v>1</v>
      </c>
      <c r="CB85" s="91" t="str">
        <f>INDEX(daten!$G$59:$G$94,CC85)</f>
        <v>E-5</v>
      </c>
      <c r="CC85" s="59">
        <v>33</v>
      </c>
      <c r="CD85" t="b">
        <v>0</v>
      </c>
      <c r="CE85" s="57" t="str">
        <f t="shared" si="81"/>
        <v/>
      </c>
      <c r="CF85" s="57" t="str">
        <f t="shared" si="82"/>
        <v/>
      </c>
      <c r="CG85" s="57">
        <f t="shared" si="83"/>
        <v>0</v>
      </c>
      <c r="CH85" s="57">
        <f t="shared" si="84"/>
        <v>0</v>
      </c>
      <c r="CI85" s="57">
        <f t="shared" si="85"/>
        <v>0</v>
      </c>
      <c r="CJ85" s="57">
        <v>0</v>
      </c>
      <c r="CK85" s="57">
        <v>0</v>
      </c>
      <c r="CL85" s="57">
        <v>0</v>
      </c>
      <c r="CO85" s="57">
        <v>0</v>
      </c>
      <c r="CP85" s="57">
        <v>0</v>
      </c>
      <c r="CQ85" s="57">
        <v>0</v>
      </c>
      <c r="CR85" s="57">
        <v>0</v>
      </c>
      <c r="CS85" s="57">
        <v>0</v>
      </c>
      <c r="CT85" s="57">
        <v>0</v>
      </c>
      <c r="CV85">
        <f t="shared" si="86"/>
        <v>0</v>
      </c>
      <c r="CX85" t="b">
        <f t="shared" si="87"/>
        <v>0</v>
      </c>
      <c r="CY85" t="b">
        <f t="shared" si="88"/>
        <v>0</v>
      </c>
      <c r="CZ85" t="b">
        <v>0</v>
      </c>
      <c r="DA85">
        <f t="shared" si="89"/>
        <v>0</v>
      </c>
      <c r="DB85">
        <f>SUM($DA$75:$DA85)</f>
        <v>0</v>
      </c>
      <c r="DC85" t="b">
        <f t="shared" si="90"/>
        <v>0</v>
      </c>
      <c r="DE85">
        <v>3</v>
      </c>
      <c r="DF85" s="137">
        <v>1</v>
      </c>
      <c r="DG85" s="137">
        <v>10</v>
      </c>
      <c r="DH85">
        <f t="shared" si="91"/>
        <v>1</v>
      </c>
      <c r="DI85" s="138" t="str">
        <f t="shared" si="92"/>
        <v/>
      </c>
      <c r="DJ85" s="138" t="str">
        <f t="shared" si="93"/>
        <v/>
      </c>
      <c r="DM85" t="s">
        <v>487</v>
      </c>
      <c r="DN85">
        <f>$BG$80</f>
        <v>0</v>
      </c>
      <c r="DO85">
        <f t="shared" si="109"/>
        <v>0</v>
      </c>
      <c r="DP85">
        <f t="shared" si="110"/>
        <v>99</v>
      </c>
      <c r="DT85" t="s">
        <v>601</v>
      </c>
      <c r="DU85">
        <f>SUM(DV46:DW51)</f>
        <v>0</v>
      </c>
      <c r="DW85" t="s">
        <v>693</v>
      </c>
      <c r="DX85" t="s">
        <v>693</v>
      </c>
      <c r="ED85" s="57">
        <v>0</v>
      </c>
      <c r="EE85" s="57">
        <f t="shared" si="94"/>
        <v>-1</v>
      </c>
      <c r="EF85" s="57"/>
      <c r="EG85" s="57">
        <f t="shared" ca="1" si="95"/>
        <v>0</v>
      </c>
      <c r="EH85" s="57">
        <f t="shared" ca="1" si="96"/>
        <v>0</v>
      </c>
      <c r="EI85" s="57">
        <f t="shared" ca="1" si="97"/>
        <v>0</v>
      </c>
      <c r="EJ85" s="57">
        <f t="shared" ca="1" si="98"/>
        <v>-1</v>
      </c>
      <c r="EK85" s="57">
        <v>0</v>
      </c>
      <c r="EM85" s="57">
        <f t="shared" si="99"/>
        <v>0</v>
      </c>
      <c r="EN85" s="57">
        <f t="shared" si="100"/>
        <v>0</v>
      </c>
      <c r="EO85" s="57">
        <f t="shared" si="101"/>
        <v>0</v>
      </c>
      <c r="EP85" s="57">
        <f>IF($CS$4&lt;&gt;3,0,IF(AND(CH85=INDEX(settings!$I$19:$P$19,1),LEN(CP85)=0),0,IF(EXACT(CH85,CP85),0,1)))</f>
        <v>0</v>
      </c>
      <c r="EQ85" s="57">
        <f>IF(settings!$C$1100,0,IF(CI85=CQ85,0,1))</f>
        <v>0</v>
      </c>
      <c r="ER85" s="57">
        <f t="shared" si="102"/>
        <v>0</v>
      </c>
      <c r="ES85" s="57">
        <f t="shared" si="103"/>
        <v>0</v>
      </c>
      <c r="ET85" s="57">
        <f t="shared" si="104"/>
        <v>0</v>
      </c>
      <c r="EU85" s="57">
        <f t="shared" si="105"/>
        <v>0</v>
      </c>
      <c r="FB85">
        <f>IF(DH85&lt;FH75,FH75,DH85)</f>
        <v>1</v>
      </c>
      <c r="FC85">
        <v>9</v>
      </c>
      <c r="FD85">
        <f t="shared" si="107"/>
        <v>1</v>
      </c>
      <c r="FE85">
        <f>IF(CD85,CP85,IF(FB85&gt;FI75,FI75,FB85))</f>
        <v>1</v>
      </c>
      <c r="FG85">
        <f t="shared" si="108"/>
        <v>1</v>
      </c>
      <c r="FH85">
        <f>FG75-SUM(FG76:FG85)-SUM(FD86:FD89)+FH75</f>
        <v>69</v>
      </c>
      <c r="FI85" t="b">
        <f t="shared" si="106"/>
        <v>1</v>
      </c>
    </row>
    <row r="86" spans="3:165" ht="11.25" customHeight="1" thickBot="1" x14ac:dyDescent="0.25">
      <c r="C86" s="91">
        <v>34</v>
      </c>
      <c r="D86" t="s">
        <v>374</v>
      </c>
      <c r="E86" s="200">
        <f>settings!C5</f>
        <v>1</v>
      </c>
      <c r="F86" t="s">
        <v>401</v>
      </c>
      <c r="H86" t="s">
        <v>690</v>
      </c>
      <c r="I86" t="s">
        <v>396</v>
      </c>
      <c r="J86" t="s">
        <v>694</v>
      </c>
      <c r="Q86">
        <v>34</v>
      </c>
      <c r="S86" s="70"/>
      <c r="T86" s="120" t="str">
        <f t="shared" si="80"/>
        <v/>
      </c>
      <c r="U86" s="529">
        <v>45469.75</v>
      </c>
      <c r="V86" s="530"/>
      <c r="W86" s="531">
        <v>0.75</v>
      </c>
      <c r="X86" s="532" t="s">
        <v>1186</v>
      </c>
      <c r="Y86" s="532"/>
      <c r="Z86" s="533" t="s">
        <v>487</v>
      </c>
      <c r="AA86" s="493" t="s">
        <v>186</v>
      </c>
      <c r="AB86" s="493"/>
      <c r="AC86" s="121" t="s">
        <v>583</v>
      </c>
      <c r="AD86" s="494" t="s">
        <v>191</v>
      </c>
      <c r="AE86" s="494"/>
      <c r="AF86" s="122"/>
      <c r="AG86" s="123" t="s">
        <v>583</v>
      </c>
      <c r="AH86" s="124"/>
      <c r="AI86" s="125"/>
      <c r="AJ86" s="125"/>
      <c r="AK86" s="384" t="s">
        <v>411</v>
      </c>
      <c r="AL86" s="126"/>
      <c r="AM86" s="70"/>
      <c r="AN86" s="127"/>
      <c r="AO86" s="128" t="s">
        <v>583</v>
      </c>
      <c r="AP86" s="129"/>
      <c r="AQ86" s="70"/>
      <c r="AR86" s="70"/>
      <c r="AS86" s="156" t="str">
        <f>IF(CA86=CA85,"",CA86)</f>
        <v/>
      </c>
      <c r="AT86" s="140" t="str">
        <f>VLOOKUP(BT86,tabbermsp!$B$335:$N$358,4,FALSE)</f>
        <v>GEO</v>
      </c>
      <c r="AU86" s="141"/>
      <c r="AV86" s="140"/>
      <c r="AW86" s="140">
        <f>VLOOKUP(BT86,tabbermsp!$B$335:$N$358,7,FALSE)</f>
        <v>0</v>
      </c>
      <c r="AX86" s="142" t="s">
        <v>583</v>
      </c>
      <c r="AY86" s="140">
        <f>VLOOKUP(BT86,tabbermsp!$B$335:$N$358,8,FALSE)</f>
        <v>0</v>
      </c>
      <c r="AZ86" s="143"/>
      <c r="BA86" s="144">
        <f>VLOOKUP(BT86,tabbermsp!$B$335:$N$358,9,FALSE)</f>
        <v>0</v>
      </c>
      <c r="BB86" s="140"/>
      <c r="BC86" s="140">
        <f>VLOOKUP(BT86,tabbermsp!$B$335:$N$358,6,FALSE)</f>
        <v>0</v>
      </c>
      <c r="BD86" s="140"/>
      <c r="BE86" s="114"/>
      <c r="BF86" s="145"/>
      <c r="BG86" s="114"/>
      <c r="BH86" s="146" t="str">
        <f>IF(VLOOKUP(BZ86,tabber!$B$335:$O$358,14,FALSE)=VLOOKUP(BZ85,tabber!$B$335:$O$358,14,FALSE),"",VLOOKUP(BZ86,tabber!$B$335:$O$358,14,FALSE))&amp;" "</f>
        <v xml:space="preserve"> </v>
      </c>
      <c r="BI86" s="157" t="str">
        <f>VLOOKUP(BT86,tabber!$B$335:$N$358,4,FALSE)</f>
        <v>GEO</v>
      </c>
      <c r="BJ86" s="158">
        <f>VLOOKUP(BT86,tabber!$B$335:$N$358,7,FALSE)</f>
        <v>0</v>
      </c>
      <c r="BK86" s="159" t="s">
        <v>583</v>
      </c>
      <c r="BL86" s="160">
        <f>VLOOKUP(BT86,tabber!$B$335:$N$358,8,FALSE)</f>
        <v>0</v>
      </c>
      <c r="BM86" s="161">
        <f>VLOOKUP(BT86,tabber!$B$335:$N$358,9,FALSE)</f>
        <v>0</v>
      </c>
      <c r="BN86" s="157">
        <f>VLOOKUP(BT86,tabber!$B$335:$N$358,6,FALSE)</f>
        <v>0</v>
      </c>
      <c r="BO86" s="114"/>
      <c r="BP86" s="145"/>
      <c r="BQ86" s="114"/>
      <c r="BR86" s="152">
        <f>IF(VLOOKUP(RIGHT(BT86,1),$DM$69:$DN$74,2,FALSE),1,IF(COUNTA(BF85:BF88)&lt;&gt;4,0,-1))</f>
        <v>0</v>
      </c>
      <c r="BS86" s="57">
        <f>IF(VLOOKUP(RIGHT(BT86,1),$DM$122:$DN$127,2,FALSE),1,IF(COUNTA(BP85:BP88)&lt;&gt;4,0,-1))</f>
        <v>0</v>
      </c>
      <c r="BT86" t="s">
        <v>663</v>
      </c>
      <c r="BU86" t="str">
        <f>VLOOKUP(BZ86,daten!$T$8:$U$31,2,FALSE)</f>
        <v>GEO</v>
      </c>
      <c r="BV86">
        <f>IF(ISERROR(MATCH(BF86,BU85:BU88,0)),0,IF(COUNTIF(BF85:BF88,"="&amp;BF86)&gt;1,0,MATCH(BF86,kuerzel,0)))</f>
        <v>0</v>
      </c>
      <c r="BW86">
        <f>IF(ISERROR(MATCH(BP86,BU85:BU88,0)),0,IF(COUNTIF(BP85:BP88,"="&amp;BP86)&gt;1,0,MATCH(BP86,kuerzel,0)))</f>
        <v>0</v>
      </c>
      <c r="BZ86" t="s">
        <v>663</v>
      </c>
      <c r="CA86" s="153">
        <f>VLOOKUP(BZ86,tabbermsp!$B$335:$O$358,14,FALSE)</f>
        <v>1</v>
      </c>
      <c r="CB86" s="91" t="str">
        <f>INDEX(daten!$G$59:$G$94,CC86)</f>
        <v>E-6</v>
      </c>
      <c r="CC86" s="59">
        <v>34</v>
      </c>
      <c r="CD86" t="b">
        <v>0</v>
      </c>
      <c r="CE86" s="57" t="str">
        <f t="shared" si="81"/>
        <v/>
      </c>
      <c r="CF86" s="57" t="str">
        <f t="shared" si="82"/>
        <v/>
      </c>
      <c r="CG86" s="57">
        <f t="shared" si="83"/>
        <v>0</v>
      </c>
      <c r="CH86" s="57">
        <f t="shared" si="84"/>
        <v>0</v>
      </c>
      <c r="CI86" s="57">
        <f t="shared" si="85"/>
        <v>0</v>
      </c>
      <c r="CJ86" s="57">
        <v>0</v>
      </c>
      <c r="CK86" s="57">
        <v>0</v>
      </c>
      <c r="CL86" s="57">
        <v>0</v>
      </c>
      <c r="CO86" s="57">
        <v>0</v>
      </c>
      <c r="CP86" s="57">
        <v>0</v>
      </c>
      <c r="CQ86" s="57">
        <v>0</v>
      </c>
      <c r="CR86" s="57">
        <v>0</v>
      </c>
      <c r="CS86" s="57">
        <v>0</v>
      </c>
      <c r="CT86" s="57">
        <v>0</v>
      </c>
      <c r="CV86">
        <f t="shared" si="86"/>
        <v>0</v>
      </c>
      <c r="CX86" t="b">
        <f t="shared" si="87"/>
        <v>0</v>
      </c>
      <c r="CY86" t="b">
        <f t="shared" si="88"/>
        <v>0</v>
      </c>
      <c r="CZ86" t="b">
        <v>0</v>
      </c>
      <c r="DA86">
        <f t="shared" si="89"/>
        <v>0</v>
      </c>
      <c r="DB86">
        <f>SUM($DA$75:$DA86)</f>
        <v>0</v>
      </c>
      <c r="DC86" t="b">
        <f t="shared" si="90"/>
        <v>0</v>
      </c>
      <c r="DE86">
        <v>3</v>
      </c>
      <c r="DF86" s="137">
        <v>1</v>
      </c>
      <c r="DG86" s="137">
        <v>10</v>
      </c>
      <c r="DH86">
        <f t="shared" si="91"/>
        <v>1</v>
      </c>
      <c r="DI86" s="138" t="str">
        <f t="shared" si="92"/>
        <v/>
      </c>
      <c r="DJ86" s="138" t="str">
        <f t="shared" si="93"/>
        <v/>
      </c>
      <c r="DM86" t="s">
        <v>632</v>
      </c>
      <c r="DN86">
        <f>$BG$87</f>
        <v>0</v>
      </c>
      <c r="DO86">
        <f t="shared" si="109"/>
        <v>0</v>
      </c>
      <c r="DP86">
        <f t="shared" si="110"/>
        <v>99</v>
      </c>
      <c r="DT86" t="s">
        <v>613</v>
      </c>
      <c r="DU86">
        <f>SUM(DV52:DW57)</f>
        <v>0</v>
      </c>
      <c r="DW86">
        <f>MATCH(DW84,$DU84:$DU89,0)</f>
        <v>1</v>
      </c>
      <c r="DX86">
        <f>MATCH(DX84,$DU84:$DU89,0)</f>
        <v>1</v>
      </c>
      <c r="ED86" s="57">
        <v>0</v>
      </c>
      <c r="EE86" s="57">
        <f t="shared" si="94"/>
        <v>-1</v>
      </c>
      <c r="EF86" s="57"/>
      <c r="EG86" s="57">
        <f t="shared" ca="1" si="95"/>
        <v>0</v>
      </c>
      <c r="EH86" s="57">
        <f t="shared" ca="1" si="96"/>
        <v>0</v>
      </c>
      <c r="EI86" s="57">
        <f t="shared" ca="1" si="97"/>
        <v>0</v>
      </c>
      <c r="EJ86" s="57">
        <f t="shared" ca="1" si="98"/>
        <v>-1</v>
      </c>
      <c r="EK86" s="57">
        <v>0</v>
      </c>
      <c r="EM86" s="57">
        <f t="shared" si="99"/>
        <v>0</v>
      </c>
      <c r="EN86" s="57">
        <f t="shared" si="100"/>
        <v>0</v>
      </c>
      <c r="EO86" s="57">
        <f t="shared" si="101"/>
        <v>0</v>
      </c>
      <c r="EP86" s="57">
        <f>IF($CS$4&lt;&gt;3,0,IF(AND(CH86=INDEX(settings!$I$19:$P$19,1),LEN(CP86)=0),0,IF(EXACT(CH86,CP86),0,1)))</f>
        <v>0</v>
      </c>
      <c r="EQ86" s="57">
        <f>IF(settings!$C$1100,0,IF(CI86=CQ86,0,1))</f>
        <v>0</v>
      </c>
      <c r="ER86" s="57">
        <f t="shared" si="102"/>
        <v>0</v>
      </c>
      <c r="ES86" s="57">
        <f t="shared" si="103"/>
        <v>0</v>
      </c>
      <c r="ET86" s="57">
        <f t="shared" si="104"/>
        <v>0</v>
      </c>
      <c r="EU86" s="57">
        <f t="shared" si="105"/>
        <v>0</v>
      </c>
      <c r="FB86">
        <f>IF(DH86&lt;FH75,FH75,DH86)</f>
        <v>1</v>
      </c>
      <c r="FC86">
        <v>10</v>
      </c>
      <c r="FD86">
        <f t="shared" si="107"/>
        <v>1</v>
      </c>
      <c r="FE86">
        <f>IF(CD86,CP86,IF(FB86&gt;FI75,FI75,FB86))</f>
        <v>1</v>
      </c>
      <c r="FG86">
        <f t="shared" si="108"/>
        <v>1</v>
      </c>
      <c r="FH86">
        <f>FG75-SUM(FG76:FG86)-SUM(FD87:FD89)+FH75</f>
        <v>69</v>
      </c>
      <c r="FI86" t="b">
        <f t="shared" si="106"/>
        <v>1</v>
      </c>
    </row>
    <row r="87" spans="3:165" ht="11.25" customHeight="1" thickBot="1" x14ac:dyDescent="0.25">
      <c r="C87" s="91">
        <v>35</v>
      </c>
      <c r="D87" t="s">
        <v>695</v>
      </c>
      <c r="E87" s="200">
        <v>0</v>
      </c>
      <c r="F87" t="s">
        <v>696</v>
      </c>
      <c r="G87" t="s">
        <v>697</v>
      </c>
      <c r="I87">
        <f>tabber!$T$396</f>
        <v>0</v>
      </c>
      <c r="J87">
        <f>tabbermsp!$T$396</f>
        <v>0</v>
      </c>
      <c r="Q87">
        <v>35</v>
      </c>
      <c r="S87" s="70"/>
      <c r="T87" s="120" t="str">
        <f t="shared" si="80"/>
        <v/>
      </c>
      <c r="U87" s="529">
        <v>45469.875</v>
      </c>
      <c r="V87" s="530"/>
      <c r="W87" s="531">
        <v>0.875</v>
      </c>
      <c r="X87" s="532" t="s">
        <v>1187</v>
      </c>
      <c r="Y87" s="532"/>
      <c r="Z87" s="533" t="s">
        <v>632</v>
      </c>
      <c r="AA87" s="493" t="s">
        <v>549</v>
      </c>
      <c r="AB87" s="493"/>
      <c r="AC87" s="121" t="s">
        <v>583</v>
      </c>
      <c r="AD87" s="494" t="s">
        <v>189</v>
      </c>
      <c r="AE87" s="494"/>
      <c r="AF87" s="122"/>
      <c r="AG87" s="123" t="s">
        <v>583</v>
      </c>
      <c r="AH87" s="124"/>
      <c r="AI87" s="125"/>
      <c r="AJ87" s="125"/>
      <c r="AK87" s="384" t="s">
        <v>411</v>
      </c>
      <c r="AL87" s="126"/>
      <c r="AM87" s="70"/>
      <c r="AN87" s="127"/>
      <c r="AO87" s="128" t="s">
        <v>583</v>
      </c>
      <c r="AP87" s="129"/>
      <c r="AQ87" s="70"/>
      <c r="AR87" s="70"/>
      <c r="AS87" s="156" t="str">
        <f>IF(CA87=CA86,"",CA87)</f>
        <v/>
      </c>
      <c r="AT87" s="162" t="str">
        <f>VLOOKUP(BT87,tabbermsp!$B$335:$N$358,4,FALSE)</f>
        <v>POR</v>
      </c>
      <c r="AU87" s="162"/>
      <c r="AV87" s="162"/>
      <c r="AW87" s="162">
        <f>VLOOKUP(BT87,tabbermsp!$B$335:$N$358,7,FALSE)</f>
        <v>0</v>
      </c>
      <c r="AX87" s="163" t="s">
        <v>583</v>
      </c>
      <c r="AY87" s="162">
        <f>VLOOKUP(BT87,tabbermsp!$B$335:$N$358,8,FALSE)</f>
        <v>0</v>
      </c>
      <c r="AZ87" s="164"/>
      <c r="BA87" s="165">
        <f>VLOOKUP(BT87,tabbermsp!$B$335:$N$358,9,FALSE)</f>
        <v>0</v>
      </c>
      <c r="BB87" s="162"/>
      <c r="BC87" s="162">
        <f>VLOOKUP(BT87,tabbermsp!$B$335:$N$358,6,FALSE)</f>
        <v>0</v>
      </c>
      <c r="BD87" s="162"/>
      <c r="BE87" s="114"/>
      <c r="BF87" s="145"/>
      <c r="BG87" s="151"/>
      <c r="BH87" s="146" t="str">
        <f>IF(VLOOKUP(BZ87,tabber!$B$335:$O$358,14,FALSE)=VLOOKUP(BZ86,tabber!$B$335:$O$358,14,FALSE),"",VLOOKUP(BZ87,tabber!$B$335:$O$358,14,FALSE))&amp;" "</f>
        <v xml:space="preserve"> </v>
      </c>
      <c r="BI87" s="166" t="str">
        <f>VLOOKUP(BT87,tabber!$B$335:$N$358,4,FALSE)</f>
        <v>POR</v>
      </c>
      <c r="BJ87" s="167">
        <f>VLOOKUP(BT87,tabber!$B$335:$N$358,7,FALSE)</f>
        <v>0</v>
      </c>
      <c r="BK87" s="166" t="s">
        <v>583</v>
      </c>
      <c r="BL87" s="168">
        <f>VLOOKUP(BT87,tabber!$B$335:$N$358,8,FALSE)</f>
        <v>0</v>
      </c>
      <c r="BM87" s="169">
        <f>VLOOKUP(BT87,tabber!$B$335:$N$358,9,FALSE)</f>
        <v>0</v>
      </c>
      <c r="BN87" s="166">
        <f>VLOOKUP(BT87,tabber!$B$335:$N$358,6,FALSE)</f>
        <v>0</v>
      </c>
      <c r="BO87" s="114"/>
      <c r="BP87" s="145"/>
      <c r="BQ87" s="151"/>
      <c r="BR87" s="152">
        <f>IF(VLOOKUP(RIGHT(BT87,1),$DM$69:$DN$74,2,FALSE),1,IF(COUNTA(BF85:BF88)&lt;&gt;4,0,-1))</f>
        <v>0</v>
      </c>
      <c r="BS87" s="57">
        <f>IF(VLOOKUP(RIGHT(BT87,1),$DM$122:$DN$127,2,FALSE),1,IF(COUNTA(BP85:BP88)&lt;&gt;4,0,-1))</f>
        <v>0</v>
      </c>
      <c r="BT87" t="s">
        <v>665</v>
      </c>
      <c r="BU87" t="str">
        <f>VLOOKUP(BZ87,daten!$T$8:$U$31,2,FALSE)</f>
        <v>POR</v>
      </c>
      <c r="BV87">
        <f>IF(ISERROR(MATCH(BF87,BU85:BU88,0)),0,IF(COUNTIF(BF85:BF88,"="&amp;BF87)&gt;1,0,MATCH(BF87,kuerzel,0)))</f>
        <v>0</v>
      </c>
      <c r="BW87">
        <f>IF(ISERROR(MATCH(BP87,BU85:BU88,0)),0,IF(COUNTIF(BP85:BP88,"="&amp;BP87)&gt;1,0,MATCH(BP87,kuerzel,0)))</f>
        <v>0</v>
      </c>
      <c r="BX87" t="e">
        <f>MATCH(AT87,tabbermsp!$H$392:$K$392,0)</f>
        <v>#N/A</v>
      </c>
      <c r="BY87" t="e">
        <f>MATCH(BI87,tabber!$H$392:$K$392,0)</f>
        <v>#N/A</v>
      </c>
      <c r="BZ87" t="s">
        <v>665</v>
      </c>
      <c r="CA87" s="153">
        <f>VLOOKUP(BZ87,tabbermsp!$B$335:$O$358,14,FALSE)</f>
        <v>1</v>
      </c>
      <c r="CB87" s="91" t="str">
        <f>INDEX(daten!$G$59:$G$94,CC87)</f>
        <v>F-5</v>
      </c>
      <c r="CC87" s="59">
        <v>35</v>
      </c>
      <c r="CD87" t="b">
        <v>0</v>
      </c>
      <c r="CE87" s="57" t="str">
        <f t="shared" si="81"/>
        <v/>
      </c>
      <c r="CF87" s="57" t="str">
        <f t="shared" si="82"/>
        <v/>
      </c>
      <c r="CG87" s="57">
        <f t="shared" si="83"/>
        <v>0</v>
      </c>
      <c r="CH87" s="57">
        <f t="shared" si="84"/>
        <v>0</v>
      </c>
      <c r="CI87" s="57">
        <f t="shared" si="85"/>
        <v>0</v>
      </c>
      <c r="CJ87" s="57">
        <v>0</v>
      </c>
      <c r="CK87" s="57">
        <v>0</v>
      </c>
      <c r="CL87" s="57">
        <v>0</v>
      </c>
      <c r="CO87" s="57">
        <v>0</v>
      </c>
      <c r="CP87" s="57">
        <v>0</v>
      </c>
      <c r="CQ87" s="57">
        <v>0</v>
      </c>
      <c r="CR87" s="57">
        <v>0</v>
      </c>
      <c r="CS87" s="57">
        <v>0</v>
      </c>
      <c r="CT87" s="57">
        <v>0</v>
      </c>
      <c r="CV87">
        <f t="shared" si="86"/>
        <v>0</v>
      </c>
      <c r="CX87" t="b">
        <f t="shared" si="87"/>
        <v>0</v>
      </c>
      <c r="CY87" t="b">
        <f t="shared" si="88"/>
        <v>0</v>
      </c>
      <c r="CZ87" t="b">
        <v>0</v>
      </c>
      <c r="DA87">
        <f t="shared" si="89"/>
        <v>0</v>
      </c>
      <c r="DB87">
        <f>SUM($DA$75:$DA87)</f>
        <v>0</v>
      </c>
      <c r="DC87" t="b">
        <f t="shared" si="90"/>
        <v>0</v>
      </c>
      <c r="DE87">
        <v>3</v>
      </c>
      <c r="DF87" s="137">
        <v>1</v>
      </c>
      <c r="DG87" s="137">
        <v>10</v>
      </c>
      <c r="DH87">
        <f t="shared" si="91"/>
        <v>1</v>
      </c>
      <c r="DI87" s="138" t="str">
        <f t="shared" si="92"/>
        <v/>
      </c>
      <c r="DJ87" s="138" t="str">
        <f t="shared" si="93"/>
        <v/>
      </c>
      <c r="DT87" t="s">
        <v>608</v>
      </c>
      <c r="DU87">
        <f>SUM(DV58:DW63)</f>
        <v>0</v>
      </c>
      <c r="ED87" s="57">
        <v>0</v>
      </c>
      <c r="EE87" s="57">
        <f t="shared" si="94"/>
        <v>-1</v>
      </c>
      <c r="EF87" s="57"/>
      <c r="EG87" s="57">
        <f t="shared" ca="1" si="95"/>
        <v>0</v>
      </c>
      <c r="EH87" s="57">
        <f t="shared" ca="1" si="96"/>
        <v>0</v>
      </c>
      <c r="EI87" s="57">
        <f t="shared" ca="1" si="97"/>
        <v>0</v>
      </c>
      <c r="EJ87" s="57">
        <f t="shared" ca="1" si="98"/>
        <v>-1</v>
      </c>
      <c r="EK87" s="57">
        <v>0</v>
      </c>
      <c r="EM87" s="57">
        <f t="shared" si="99"/>
        <v>0</v>
      </c>
      <c r="EN87" s="57">
        <f t="shared" si="100"/>
        <v>0</v>
      </c>
      <c r="EO87" s="57">
        <f t="shared" si="101"/>
        <v>0</v>
      </c>
      <c r="EP87" s="57">
        <f>IF($CS$4&lt;&gt;3,0,IF(AND(CH87=INDEX(settings!$I$19:$P$19,1),LEN(CP87)=0),0,IF(EXACT(CH87,CP87),0,1)))</f>
        <v>0</v>
      </c>
      <c r="EQ87" s="57">
        <f>IF(settings!$C$1100,0,IF(CI87=CQ87,0,1))</f>
        <v>0</v>
      </c>
      <c r="ER87" s="57">
        <f t="shared" si="102"/>
        <v>0</v>
      </c>
      <c r="ES87" s="57">
        <f t="shared" si="103"/>
        <v>0</v>
      </c>
      <c r="ET87" s="57">
        <f t="shared" si="104"/>
        <v>0</v>
      </c>
      <c r="EU87" s="57">
        <f t="shared" si="105"/>
        <v>0</v>
      </c>
      <c r="FB87">
        <f>IF(DH87&lt;FH75,FH75,DH87)</f>
        <v>1</v>
      </c>
      <c r="FC87">
        <v>11</v>
      </c>
      <c r="FD87">
        <f t="shared" si="107"/>
        <v>1</v>
      </c>
      <c r="FE87">
        <f>IF(CD87,CP87,IF(FB87&gt;FI75,FI75,FB87))</f>
        <v>1</v>
      </c>
      <c r="FG87">
        <f t="shared" si="108"/>
        <v>1</v>
      </c>
      <c r="FH87">
        <f>FG75-SUM(FG76:FG87)-SUM(FD88:FD89)+FH75</f>
        <v>69</v>
      </c>
      <c r="FI87" t="b">
        <f t="shared" si="106"/>
        <v>1</v>
      </c>
    </row>
    <row r="88" spans="3:165" ht="11.25" customHeight="1" x14ac:dyDescent="0.2">
      <c r="C88" s="91">
        <v>36</v>
      </c>
      <c r="D88" t="s">
        <v>695</v>
      </c>
      <c r="E88" s="200">
        <v>1</v>
      </c>
      <c r="G88">
        <f>IF(settings!$C$5=1,1,3)</f>
        <v>1</v>
      </c>
      <c r="I88" t="str">
        <f>tabber!$T$397</f>
        <v xml:space="preserve"> [C3]</v>
      </c>
      <c r="J88" t="str">
        <f>tabbermsp!$T$397</f>
        <v xml:space="preserve"> [C3]</v>
      </c>
      <c r="Q88">
        <v>36</v>
      </c>
      <c r="S88" s="70"/>
      <c r="T88" s="120" t="str">
        <f t="shared" si="80"/>
        <v/>
      </c>
      <c r="U88" s="534">
        <v>45469.875</v>
      </c>
      <c r="V88" s="535"/>
      <c r="W88" s="536">
        <v>0.875</v>
      </c>
      <c r="X88" s="537" t="s">
        <v>1185</v>
      </c>
      <c r="Y88" s="537"/>
      <c r="Z88" s="538" t="s">
        <v>632</v>
      </c>
      <c r="AA88" s="493" t="s">
        <v>187</v>
      </c>
      <c r="AB88" s="493"/>
      <c r="AC88" s="121" t="s">
        <v>583</v>
      </c>
      <c r="AD88" s="494" t="s">
        <v>196</v>
      </c>
      <c r="AE88" s="494"/>
      <c r="AF88" s="122"/>
      <c r="AG88" s="123" t="s">
        <v>583</v>
      </c>
      <c r="AH88" s="124"/>
      <c r="AI88" s="125"/>
      <c r="AJ88" s="125"/>
      <c r="AK88" s="384" t="s">
        <v>411</v>
      </c>
      <c r="AL88" s="126"/>
      <c r="AM88" s="70"/>
      <c r="AN88" s="127"/>
      <c r="AO88" s="128" t="s">
        <v>583</v>
      </c>
      <c r="AP88" s="129"/>
      <c r="AQ88" s="70"/>
      <c r="AR88" s="70"/>
      <c r="AS88" s="156" t="str">
        <f>IF(CA88=CA87,"",CA88)</f>
        <v/>
      </c>
      <c r="AT88" s="170" t="str">
        <f>VLOOKUP(BT88,tabbermsp!$B$335:$N$358,4,FALSE)</f>
        <v>CZE</v>
      </c>
      <c r="AU88" s="170"/>
      <c r="AV88" s="170"/>
      <c r="AW88" s="170">
        <f>VLOOKUP(BT88,tabbermsp!$B$335:$N$358,7,FALSE)</f>
        <v>0</v>
      </c>
      <c r="AX88" s="171" t="s">
        <v>583</v>
      </c>
      <c r="AY88" s="170">
        <f>VLOOKUP(BT88,tabbermsp!$B$335:$N$358,8,FALSE)</f>
        <v>0</v>
      </c>
      <c r="AZ88" s="172"/>
      <c r="BA88" s="173">
        <f>VLOOKUP(BT88,tabbermsp!$B$335:$N$358,9,FALSE)</f>
        <v>0</v>
      </c>
      <c r="BB88" s="170"/>
      <c r="BC88" s="170">
        <f>VLOOKUP(BT88,tabbermsp!$B$335:$N$358,6,FALSE)</f>
        <v>0</v>
      </c>
      <c r="BD88" s="170"/>
      <c r="BE88" s="114"/>
      <c r="BF88" s="145"/>
      <c r="BG88" s="114"/>
      <c r="BH88" s="146" t="str">
        <f>IF(VLOOKUP(BZ88,tabber!$B$335:$O$358,14,FALSE)=VLOOKUP(BZ87,tabber!$B$335:$O$358,14,FALSE),"",VLOOKUP(BZ88,tabber!$B$335:$O$358,14,FALSE))&amp;" "</f>
        <v xml:space="preserve"> </v>
      </c>
      <c r="BI88" s="174" t="str">
        <f>VLOOKUP(BT88,tabber!$B$335:$N$358,4,FALSE)</f>
        <v>CZE</v>
      </c>
      <c r="BJ88" s="175">
        <f>VLOOKUP(BT88,tabber!$B$335:$N$358,7,FALSE)</f>
        <v>0</v>
      </c>
      <c r="BK88" s="174" t="s">
        <v>583</v>
      </c>
      <c r="BL88" s="176">
        <f>VLOOKUP(BT88,tabber!$B$335:$N$358,8,FALSE)</f>
        <v>0</v>
      </c>
      <c r="BM88" s="177">
        <f>VLOOKUP(BT88,tabber!$B$335:$N$358,9,FALSE)</f>
        <v>0</v>
      </c>
      <c r="BN88" s="174">
        <f>VLOOKUP(BT88,tabber!$B$335:$N$358,6,FALSE)</f>
        <v>0</v>
      </c>
      <c r="BO88" s="114"/>
      <c r="BP88" s="145"/>
      <c r="BQ88" s="114"/>
      <c r="BR88" s="152">
        <f>IF(VLOOKUP(RIGHT(BT88,1),$DM$69:$DN$74,2,FALSE),1,IF(COUNTA(BF85:BF88)&lt;&gt;4,0,-1))</f>
        <v>0</v>
      </c>
      <c r="BS88" s="57">
        <f>IF(VLOOKUP(RIGHT(BT88,1),$DM$122:$DN$127,2,FALSE),1,IF(COUNTA(BP85:BP88)&lt;&gt;4,0,-1))</f>
        <v>0</v>
      </c>
      <c r="BT88" t="s">
        <v>430</v>
      </c>
      <c r="BU88" t="str">
        <f>VLOOKUP(BZ88,daten!$T$8:$U$31,2,FALSE)</f>
        <v>CZE</v>
      </c>
      <c r="BV88">
        <f>IF(ISERROR(MATCH(BF88,BU85:BU88,0)),0,IF(COUNTIF(BF85:BF88,"="&amp;BF88)&gt;1,0,MATCH(BF88,kuerzel,0)))</f>
        <v>0</v>
      </c>
      <c r="BW88">
        <f>IF(ISERROR(MATCH(BP88,BU85:BU88,0)),0,IF(COUNTIF(BP85:BP88,"="&amp;BP88)&gt;1,0,MATCH(BP88,kuerzel,0)))</f>
        <v>0</v>
      </c>
      <c r="BZ88" t="s">
        <v>430</v>
      </c>
      <c r="CA88" s="153">
        <f>VLOOKUP(BZ88,tabbermsp!$B$335:$O$358,14,FALSE)</f>
        <v>1</v>
      </c>
      <c r="CB88" s="91" t="str">
        <f>INDEX(daten!$G$59:$G$94,CC88)</f>
        <v>F-6</v>
      </c>
      <c r="CC88" s="59">
        <v>36</v>
      </c>
      <c r="CD88" t="b">
        <v>0</v>
      </c>
      <c r="CE88" s="57" t="str">
        <f t="shared" si="81"/>
        <v/>
      </c>
      <c r="CF88" s="57" t="str">
        <f t="shared" si="82"/>
        <v/>
      </c>
      <c r="CG88" s="57">
        <f t="shared" si="83"/>
        <v>0</v>
      </c>
      <c r="CH88" s="57">
        <f t="shared" si="84"/>
        <v>0</v>
      </c>
      <c r="CI88" s="57">
        <f t="shared" si="85"/>
        <v>0</v>
      </c>
      <c r="CJ88" s="57">
        <v>0</v>
      </c>
      <c r="CK88" s="57">
        <v>0</v>
      </c>
      <c r="CL88" s="57">
        <v>0</v>
      </c>
      <c r="CO88" s="57">
        <v>0</v>
      </c>
      <c r="CP88" s="57">
        <v>0</v>
      </c>
      <c r="CQ88" s="57">
        <v>0</v>
      </c>
      <c r="CR88" s="57">
        <v>0</v>
      </c>
      <c r="CS88" s="57">
        <v>0</v>
      </c>
      <c r="CT88" s="57">
        <v>0</v>
      </c>
      <c r="CV88">
        <f t="shared" si="86"/>
        <v>0</v>
      </c>
      <c r="CX88" t="b">
        <f t="shared" si="87"/>
        <v>0</v>
      </c>
      <c r="CY88" t="b">
        <f t="shared" si="88"/>
        <v>0</v>
      </c>
      <c r="CZ88" t="b">
        <v>0</v>
      </c>
      <c r="DA88">
        <f t="shared" si="89"/>
        <v>0</v>
      </c>
      <c r="DB88">
        <f>SUM($DA$75:$DA88)</f>
        <v>0</v>
      </c>
      <c r="DC88" t="b">
        <f t="shared" si="90"/>
        <v>0</v>
      </c>
      <c r="DE88">
        <v>3</v>
      </c>
      <c r="DF88" s="137">
        <v>1</v>
      </c>
      <c r="DG88" s="137">
        <v>10</v>
      </c>
      <c r="DH88">
        <f t="shared" si="91"/>
        <v>1</v>
      </c>
      <c r="DI88" s="138" t="str">
        <f t="shared" si="92"/>
        <v/>
      </c>
      <c r="DJ88" s="138" t="str">
        <f t="shared" si="93"/>
        <v/>
      </c>
      <c r="DT88" t="s">
        <v>487</v>
      </c>
      <c r="DU88">
        <f>SUM(DV64:DW69)</f>
        <v>0</v>
      </c>
      <c r="ED88" s="57">
        <v>0</v>
      </c>
      <c r="EE88" s="57">
        <f t="shared" si="94"/>
        <v>-1</v>
      </c>
      <c r="EF88" s="57"/>
      <c r="EG88" s="57">
        <f t="shared" ca="1" si="95"/>
        <v>0</v>
      </c>
      <c r="EH88" s="57">
        <f t="shared" ca="1" si="96"/>
        <v>0</v>
      </c>
      <c r="EI88" s="57">
        <f t="shared" ca="1" si="97"/>
        <v>0</v>
      </c>
      <c r="EJ88" s="57">
        <f t="shared" ca="1" si="98"/>
        <v>-1</v>
      </c>
      <c r="EK88" s="57">
        <v>0</v>
      </c>
      <c r="EM88" s="57">
        <f t="shared" si="99"/>
        <v>0</v>
      </c>
      <c r="EN88" s="57">
        <f t="shared" si="100"/>
        <v>0</v>
      </c>
      <c r="EO88" s="57">
        <f t="shared" si="101"/>
        <v>0</v>
      </c>
      <c r="EP88" s="57">
        <f>IF($CS$4&lt;&gt;3,0,IF(AND(CH88=INDEX(settings!$I$19:$P$19,1),LEN(CP88)=0),0,IF(EXACT(CH88,CP88),0,1)))</f>
        <v>0</v>
      </c>
      <c r="EQ88" s="57">
        <f>IF(settings!$C$1100,0,IF(CI88=CQ88,0,1))</f>
        <v>0</v>
      </c>
      <c r="ER88" s="57">
        <f t="shared" si="102"/>
        <v>0</v>
      </c>
      <c r="ES88" s="57">
        <f t="shared" si="103"/>
        <v>0</v>
      </c>
      <c r="ET88" s="57">
        <f t="shared" si="104"/>
        <v>0</v>
      </c>
      <c r="EU88" s="57">
        <f t="shared" si="105"/>
        <v>0</v>
      </c>
      <c r="FB88">
        <f>IF(DH88&lt;FH75,FH75,DH88)</f>
        <v>1</v>
      </c>
      <c r="FC88">
        <v>12</v>
      </c>
      <c r="FD88">
        <f t="shared" si="107"/>
        <v>1</v>
      </c>
      <c r="FE88">
        <f>IF(CD88,CP88,IF(FB88&gt;FI75,FI75,FB88))</f>
        <v>1</v>
      </c>
      <c r="FG88">
        <f t="shared" si="108"/>
        <v>1</v>
      </c>
      <c r="FH88">
        <f>FG75-SUM(FG76:FG88)-SUM(FD89:FD89)+FH75</f>
        <v>69</v>
      </c>
      <c r="FI88" t="b">
        <f t="shared" si="106"/>
        <v>1</v>
      </c>
    </row>
    <row r="89" spans="3:165" ht="6.9" customHeight="1" thickBot="1" x14ac:dyDescent="0.25">
      <c r="I89">
        <f>tabber!$T$400</f>
        <v>0</v>
      </c>
      <c r="J89">
        <f>tabbermsp!$T$400</f>
        <v>0</v>
      </c>
      <c r="S89" s="70"/>
      <c r="T89" s="178"/>
      <c r="U89" s="192"/>
      <c r="V89" s="193"/>
      <c r="W89" s="193"/>
      <c r="X89" s="193"/>
      <c r="Y89" s="193"/>
      <c r="Z89" s="193"/>
      <c r="AA89" s="194"/>
      <c r="AB89" s="194"/>
      <c r="AC89" s="193"/>
      <c r="AD89" s="195"/>
      <c r="AE89" s="195"/>
      <c r="AF89" s="196"/>
      <c r="AG89" s="197"/>
      <c r="AH89" s="198"/>
      <c r="AI89" s="192"/>
      <c r="AJ89" s="192"/>
      <c r="AK89" s="192"/>
      <c r="AL89" s="183"/>
      <c r="AM89" s="70"/>
      <c r="AN89" s="70"/>
      <c r="AO89" s="70"/>
      <c r="AP89" s="70"/>
      <c r="AQ89" s="70"/>
      <c r="AR89" s="70"/>
      <c r="AS89" s="114"/>
      <c r="AT89" s="114"/>
      <c r="AU89" s="114"/>
      <c r="AV89" s="114"/>
      <c r="AW89" s="114"/>
      <c r="AX89" s="114"/>
      <c r="AY89" s="114"/>
      <c r="AZ89" s="114"/>
      <c r="BA89" s="114"/>
      <c r="BB89" s="114"/>
      <c r="BC89" s="114"/>
      <c r="BD89" s="114"/>
      <c r="BE89" s="114"/>
      <c r="BF89" s="114"/>
      <c r="BG89" s="114"/>
      <c r="BH89" s="114"/>
      <c r="BI89" s="114"/>
      <c r="BJ89" s="114"/>
      <c r="BK89" s="114"/>
      <c r="BL89" s="114"/>
      <c r="BM89" s="114"/>
      <c r="BN89" s="114"/>
      <c r="BO89" s="114"/>
      <c r="BP89" s="114"/>
      <c r="BQ89" s="114"/>
      <c r="BR89" s="70"/>
      <c r="DF89" s="137"/>
      <c r="DG89" s="137"/>
      <c r="DT89" t="s">
        <v>632</v>
      </c>
      <c r="DU89">
        <f>SUM(DV70:DW75)</f>
        <v>0</v>
      </c>
    </row>
    <row r="90" spans="3:165" ht="15.9" customHeight="1" x14ac:dyDescent="0.2">
      <c r="I90">
        <f>tabber!$T$402</f>
        <v>0</v>
      </c>
      <c r="J90">
        <f>tabbermsp!$T$402</f>
        <v>0</v>
      </c>
      <c r="S90" s="70"/>
      <c r="T90" s="507" t="s">
        <v>784</v>
      </c>
      <c r="U90" s="507"/>
      <c r="V90" s="507"/>
      <c r="W90" s="509" t="str">
        <f>"Wertungsergebnis "&amp;IF(werg=1,"ist der Stand nach der regulären Spielzeit. Mögliche Treffer in Verlängerung oder Elfmeterschießen werden NICHT gewertet.",IF(werg=2,": Getippt werden die Tore der regulären Spielzeit inklusive der Treffer einer möglichen Verlängerung.",": Zu tippen sind alle möglichen Tore inklusive evtl. Treffer in Verlängerung und Elfmeterschießen."))</f>
        <v>Wertungsergebnis ist der Stand nach der regulären Spielzeit. Mögliche Treffer in Verlängerung oder Elfmeterschießen werden NICHT gewertet.</v>
      </c>
      <c r="X90" s="509"/>
      <c r="Y90" s="509"/>
      <c r="Z90" s="509"/>
      <c r="AA90" s="509"/>
      <c r="AB90" s="509"/>
      <c r="AC90" s="509"/>
      <c r="AD90" s="509"/>
      <c r="AE90" s="509"/>
      <c r="AF90" s="509"/>
      <c r="AG90" s="509"/>
      <c r="AH90" s="509"/>
      <c r="AI90" s="509"/>
      <c r="AJ90" s="509"/>
      <c r="AK90" s="509"/>
      <c r="AL90" s="509"/>
      <c r="AM90" s="509"/>
      <c r="AN90" s="509"/>
      <c r="AO90" s="509"/>
      <c r="AP90" s="509"/>
      <c r="AQ90" s="509"/>
      <c r="AR90" s="509"/>
      <c r="AS90" s="509"/>
      <c r="AT90" s="509"/>
      <c r="AU90" s="509"/>
      <c r="AV90" s="509"/>
      <c r="AW90" s="509"/>
      <c r="AX90" s="509"/>
      <c r="AY90" s="509"/>
      <c r="AZ90" s="70"/>
      <c r="BA90" s="70"/>
      <c r="BB90" s="70"/>
      <c r="BC90" s="70"/>
      <c r="BD90" s="70"/>
      <c r="BE90" s="70"/>
      <c r="BF90" s="70"/>
      <c r="BG90" s="70"/>
      <c r="BH90" s="70"/>
      <c r="BI90" s="70"/>
      <c r="BJ90" s="70"/>
      <c r="BK90" s="70"/>
      <c r="BL90" s="70"/>
      <c r="BM90" s="70"/>
      <c r="BN90" s="70"/>
      <c r="BO90" s="70"/>
      <c r="BP90" s="70"/>
      <c r="BQ90" s="70"/>
      <c r="BR90" s="70"/>
      <c r="DF90" s="137"/>
      <c r="DG90" s="137"/>
    </row>
    <row r="91" spans="3:165" x14ac:dyDescent="0.2">
      <c r="Q91" s="57" t="s">
        <v>395</v>
      </c>
      <c r="R91" s="57" t="s">
        <v>698</v>
      </c>
      <c r="S91" s="70"/>
      <c r="T91" s="508"/>
      <c r="U91" s="508"/>
      <c r="V91" s="508"/>
      <c r="W91" s="509"/>
      <c r="X91" s="509"/>
      <c r="Y91" s="509"/>
      <c r="Z91" s="509"/>
      <c r="AA91" s="509"/>
      <c r="AB91" s="509"/>
      <c r="AC91" s="509"/>
      <c r="AD91" s="509"/>
      <c r="AE91" s="509"/>
      <c r="AF91" s="509"/>
      <c r="AG91" s="509"/>
      <c r="AH91" s="509"/>
      <c r="AI91" s="509"/>
      <c r="AJ91" s="509"/>
      <c r="AK91" s="509"/>
      <c r="AL91" s="509"/>
      <c r="AM91" s="509"/>
      <c r="AN91" s="509"/>
      <c r="AO91" s="509"/>
      <c r="AP91" s="509"/>
      <c r="AQ91" s="509"/>
      <c r="AR91" s="509"/>
      <c r="AS91" s="509"/>
      <c r="AT91" s="509"/>
      <c r="AU91" s="509"/>
      <c r="AV91" s="509"/>
      <c r="AW91" s="509"/>
      <c r="AX91" s="509"/>
      <c r="AY91" s="509"/>
      <c r="AZ91" s="70"/>
      <c r="BA91" s="70"/>
      <c r="BB91" s="70"/>
      <c r="BC91" s="70"/>
      <c r="BD91" s="70"/>
      <c r="BE91" s="70"/>
      <c r="BF91" s="70"/>
      <c r="BG91" s="70"/>
      <c r="BH91" s="70"/>
      <c r="BI91" s="70"/>
      <c r="BJ91" s="70"/>
      <c r="BK91" s="70"/>
      <c r="BL91" s="70"/>
      <c r="BM91" s="70"/>
      <c r="BN91" s="70"/>
      <c r="BO91" s="70"/>
      <c r="BP91" s="70"/>
      <c r="BQ91" s="70"/>
      <c r="BR91" s="70"/>
      <c r="DF91" s="137"/>
      <c r="DG91" s="137"/>
      <c r="DL91" t="s">
        <v>699</v>
      </c>
    </row>
    <row r="92" spans="3:165" ht="21.9" customHeight="1" thickBot="1" x14ac:dyDescent="0.25">
      <c r="Q92" s="57"/>
      <c r="R92" s="57"/>
      <c r="S92" s="70"/>
      <c r="T92" s="201" t="str">
        <f>IF(CS2=1,"Zu tippen sind die REALEN Paarungen. Diese KÖNNEN unter 'Paarung' editiert werden. Ein Tipp wird beim Importieren aber unabhängig von Eintragungen unter 'Paarung' stets der unter 'Spiel' benannten Begegnung (AF1, AF2...) zugeordnet.","Die zu tippenden Spiele ergeben sich aus den eigenen Tipps für die Gruppenspiele bzw. die jeweils vorhergehende KO-Runde.")</f>
        <v>Zu tippen sind die REALEN Paarungen. Diese KÖNNEN unter 'Paarung' editiert werden. Ein Tipp wird beim Importieren aber unabhängig von Eintragungen unter 'Paarung' stets der unter 'Spiel' benannten Begegnung (AF1, AF2...) zugeordnet.</v>
      </c>
      <c r="U92" s="71"/>
      <c r="V92" s="202"/>
      <c r="W92" s="202"/>
      <c r="X92" s="203"/>
      <c r="Y92" s="203"/>
      <c r="Z92" s="203"/>
      <c r="AA92" s="203"/>
      <c r="AB92" s="203"/>
      <c r="AC92" s="203"/>
      <c r="AD92" s="203"/>
      <c r="AE92" s="203"/>
      <c r="AF92" s="71"/>
      <c r="AG92" s="71"/>
      <c r="AH92" s="71"/>
      <c r="AI92" s="71"/>
      <c r="AJ92" s="71"/>
      <c r="AK92" s="71"/>
      <c r="AL92" s="71"/>
      <c r="AM92" s="71"/>
      <c r="AN92" s="71"/>
      <c r="AO92" s="71"/>
      <c r="AP92" s="71"/>
      <c r="AQ92" s="71"/>
      <c r="AR92" s="71"/>
      <c r="AS92" s="71"/>
      <c r="AT92" s="71"/>
      <c r="AU92" s="71"/>
      <c r="AV92" s="71"/>
      <c r="AW92" s="71"/>
      <c r="AX92" s="71"/>
      <c r="AY92" s="71"/>
      <c r="AZ92" s="70"/>
      <c r="BA92" s="70"/>
      <c r="BB92" s="70"/>
      <c r="BC92" s="70"/>
      <c r="BD92" s="70"/>
      <c r="BE92" s="70"/>
      <c r="BF92" s="70"/>
      <c r="BG92" s="70"/>
      <c r="BH92" s="70"/>
      <c r="BI92" s="70"/>
      <c r="BJ92" s="70"/>
      <c r="BK92" s="70"/>
      <c r="BL92" s="70"/>
      <c r="BM92" s="70"/>
      <c r="BN92" s="70"/>
      <c r="BO92" s="70"/>
      <c r="BP92" s="70"/>
      <c r="BQ92" s="70"/>
      <c r="BR92" s="70"/>
      <c r="DF92" s="137"/>
      <c r="DG92" s="137"/>
      <c r="DN92" t="s">
        <v>594</v>
      </c>
      <c r="DO92" t="s">
        <v>595</v>
      </c>
    </row>
    <row r="93" spans="3:165" ht="3.9" customHeight="1" x14ac:dyDescent="0.2">
      <c r="Q93" s="57"/>
      <c r="R93" s="57"/>
      <c r="S93" s="70"/>
      <c r="T93" s="95"/>
      <c r="U93" s="204"/>
      <c r="V93" s="205"/>
      <c r="W93" s="205"/>
      <c r="X93" s="206"/>
      <c r="Y93" s="206"/>
      <c r="Z93" s="206"/>
      <c r="AA93" s="206"/>
      <c r="AB93" s="206"/>
      <c r="AC93" s="206"/>
      <c r="AD93" s="206"/>
      <c r="AE93" s="206"/>
      <c r="AF93" s="96"/>
      <c r="AG93" s="96"/>
      <c r="AH93" s="96"/>
      <c r="AI93" s="96"/>
      <c r="AJ93" s="96"/>
      <c r="AK93" s="96"/>
      <c r="AL93" s="96"/>
      <c r="AM93" s="96"/>
      <c r="AN93" s="96"/>
      <c r="AO93" s="96"/>
      <c r="AP93" s="96"/>
      <c r="AQ93" s="96"/>
      <c r="AR93" s="96"/>
      <c r="AS93" s="97"/>
      <c r="AT93" s="70"/>
      <c r="AU93" s="70"/>
      <c r="AV93" s="70"/>
      <c r="AW93" s="70"/>
      <c r="AX93" s="70"/>
      <c r="AY93" s="70"/>
      <c r="AZ93" s="70"/>
      <c r="BA93" s="70"/>
      <c r="BB93" s="70"/>
      <c r="BC93" s="70"/>
      <c r="BD93" s="70"/>
      <c r="BE93" s="70"/>
      <c r="BF93" s="70"/>
      <c r="BG93" s="70"/>
      <c r="BH93" s="70"/>
      <c r="BI93" s="70"/>
      <c r="BJ93" s="70"/>
      <c r="BK93" s="70"/>
      <c r="BL93" s="70"/>
      <c r="BM93" s="70"/>
      <c r="BN93" s="70"/>
      <c r="BO93" s="70"/>
      <c r="BP93" s="70"/>
      <c r="BQ93" s="70"/>
      <c r="BR93" s="70"/>
      <c r="DF93" s="137"/>
      <c r="DG93" s="137"/>
      <c r="DL93" t="s">
        <v>581</v>
      </c>
      <c r="DM93" t="s">
        <v>599</v>
      </c>
      <c r="DN93">
        <f t="shared" ref="DN93:DN116" si="111">VLOOKUP(DM40,$BT$40:$BW$88,4,FALSE)</f>
        <v>0</v>
      </c>
      <c r="DO93">
        <f>IF(DN93=0,0,INDEX(daten!$N$9:$N$32,DN93))</f>
        <v>0</v>
      </c>
    </row>
    <row r="94" spans="3:165" ht="15" customHeight="1" x14ac:dyDescent="0.2">
      <c r="Q94" s="57"/>
      <c r="R94" s="57"/>
      <c r="S94" s="70"/>
      <c r="T94" s="99"/>
      <c r="U94" s="100" t="s">
        <v>700</v>
      </c>
      <c r="V94" s="207"/>
      <c r="W94" s="208" t="str">
        <f xml:space="preserve"> IF($CA$11," Die angezeigten Paarungen sind evtl.  NICHT  die tatsächlich zu tippenden realen Spiele sondern ihre VORHERSAGEN.","")</f>
        <v/>
      </c>
      <c r="X94" s="209"/>
      <c r="Y94" s="209"/>
      <c r="Z94" s="209"/>
      <c r="AA94" s="209"/>
      <c r="AB94" s="209"/>
      <c r="AC94" s="209"/>
      <c r="AD94" s="209"/>
      <c r="AE94" s="209"/>
      <c r="AF94" s="102"/>
      <c r="AG94" s="102"/>
      <c r="AH94" s="102"/>
      <c r="AI94" s="102"/>
      <c r="AJ94" s="102"/>
      <c r="AK94" s="102"/>
      <c r="AL94" s="102"/>
      <c r="AM94" s="210"/>
      <c r="AN94" s="210"/>
      <c r="AO94" s="210"/>
      <c r="AP94" s="210"/>
      <c r="AQ94" s="210"/>
      <c r="AR94" s="210"/>
      <c r="AS94" s="108"/>
      <c r="AT94" s="70"/>
      <c r="AU94" s="70"/>
      <c r="AV94" s="70"/>
      <c r="AW94" s="70"/>
      <c r="AX94" s="70"/>
      <c r="AY94" s="70"/>
      <c r="AZ94" s="70"/>
      <c r="BA94" s="70"/>
      <c r="BB94" s="70"/>
      <c r="BC94" s="70"/>
      <c r="BD94" s="70"/>
      <c r="BE94" s="70"/>
      <c r="BF94" s="354" t="s">
        <v>1103</v>
      </c>
      <c r="BG94" s="70"/>
      <c r="BH94" s="70"/>
      <c r="BI94" s="70"/>
      <c r="BJ94" s="70"/>
      <c r="BK94" s="70"/>
      <c r="BL94" s="70"/>
      <c r="BM94" s="70"/>
      <c r="BN94" s="70"/>
      <c r="BO94" s="70"/>
      <c r="BP94" s="70"/>
      <c r="BQ94" s="70"/>
      <c r="BR94" s="70"/>
      <c r="DF94" s="137"/>
      <c r="DG94" s="137"/>
      <c r="DL94" t="s">
        <v>581</v>
      </c>
      <c r="DM94" t="s">
        <v>603</v>
      </c>
      <c r="DN94">
        <f t="shared" si="111"/>
        <v>0</v>
      </c>
      <c r="DO94">
        <f>IF(DN94=0,0,INDEX(daten!$N$9:$N$32,DN94))</f>
        <v>0</v>
      </c>
      <c r="DV94" s="65" t="s">
        <v>701</v>
      </c>
      <c r="DX94" s="65"/>
      <c r="DY94" s="65"/>
      <c r="FG94" s="57"/>
      <c r="FH94" s="57"/>
      <c r="FI94" s="57"/>
    </row>
    <row r="95" spans="3:165" ht="11.25" hidden="1" customHeight="1" thickBot="1" x14ac:dyDescent="0.25">
      <c r="C95" s="57" t="s">
        <v>374</v>
      </c>
      <c r="D95" s="57">
        <f>CS2</f>
        <v>1</v>
      </c>
      <c r="F95" s="57" t="s">
        <v>387</v>
      </c>
      <c r="G95" s="57"/>
      <c r="H95" s="66" t="s">
        <v>702</v>
      </c>
      <c r="I95" s="67"/>
      <c r="J95" s="66" t="s">
        <v>703</v>
      </c>
      <c r="K95" s="67"/>
      <c r="L95" s="211" t="s">
        <v>704</v>
      </c>
      <c r="M95" s="211" t="s">
        <v>705</v>
      </c>
      <c r="N95" s="211" t="s">
        <v>706</v>
      </c>
      <c r="O95" s="211" t="s">
        <v>707</v>
      </c>
      <c r="P95" s="57"/>
      <c r="Q95" s="57"/>
      <c r="R95" s="57"/>
      <c r="S95" s="70"/>
      <c r="T95" s="99"/>
      <c r="U95" s="481" t="s">
        <v>469</v>
      </c>
      <c r="V95" s="481"/>
      <c r="W95" s="482"/>
      <c r="X95" s="104">
        <f>INDEX(settings!$I$18:$P$18,DE99)</f>
        <v>80</v>
      </c>
      <c r="Y95" s="481" t="s">
        <v>470</v>
      </c>
      <c r="Z95" s="482"/>
      <c r="AA95" s="105">
        <f>DF99</f>
        <v>1</v>
      </c>
      <c r="AB95" s="104">
        <f>DG99</f>
        <v>15</v>
      </c>
      <c r="AC95" s="481" t="s">
        <v>471</v>
      </c>
      <c r="AD95" s="482"/>
      <c r="AE95" s="104">
        <f>X95-AJ95</f>
        <v>72</v>
      </c>
      <c r="AF95" s="483"/>
      <c r="AG95" s="484"/>
      <c r="AH95" s="484"/>
      <c r="AI95" s="102"/>
      <c r="AJ95" s="107">
        <f>SUM(FG99:FG120)</f>
        <v>8</v>
      </c>
      <c r="AK95" s="101"/>
      <c r="AL95" s="102"/>
      <c r="AM95" s="102"/>
      <c r="AN95" s="102"/>
      <c r="AO95" s="101"/>
      <c r="AP95" s="101"/>
      <c r="AQ95" s="101"/>
      <c r="AR95" s="101"/>
      <c r="AS95" s="108"/>
      <c r="AT95" s="70"/>
      <c r="AU95" s="70"/>
      <c r="AV95" s="70"/>
      <c r="AW95" s="70"/>
      <c r="AX95" s="70"/>
      <c r="AY95" s="70"/>
      <c r="AZ95" s="70"/>
      <c r="BA95" s="70"/>
      <c r="BB95" s="70"/>
      <c r="BC95" s="70"/>
      <c r="BD95" s="70"/>
      <c r="BE95" s="70"/>
      <c r="BF95" s="70"/>
      <c r="BG95" s="70"/>
      <c r="BH95" s="70"/>
      <c r="BI95" s="70"/>
      <c r="BJ95" s="70"/>
      <c r="BK95" s="70"/>
      <c r="BL95" s="70"/>
      <c r="BM95" s="70"/>
      <c r="BN95" s="70"/>
      <c r="BO95" s="70"/>
      <c r="BP95" s="70"/>
      <c r="BQ95" s="70"/>
      <c r="BR95" s="70"/>
      <c r="BZ95" t="s">
        <v>708</v>
      </c>
      <c r="CA95" t="s">
        <v>709</v>
      </c>
      <c r="DF95" s="137"/>
      <c r="DG95" s="137"/>
      <c r="DL95" t="s">
        <v>581</v>
      </c>
      <c r="DM95" t="s">
        <v>606</v>
      </c>
      <c r="DN95">
        <f t="shared" si="111"/>
        <v>0</v>
      </c>
      <c r="DO95">
        <f>IF(DN95=0,0,INDEX(daten!$N$9:$N$32,DN95))</f>
        <v>0</v>
      </c>
      <c r="DW95" s="65"/>
      <c r="DX95" s="65"/>
      <c r="DY95" s="65"/>
      <c r="EC95" s="56" t="s">
        <v>474</v>
      </c>
      <c r="ED95" s="56" t="s">
        <v>710</v>
      </c>
      <c r="EE95" s="56" t="s">
        <v>476</v>
      </c>
      <c r="EF95" s="56" t="s">
        <v>477</v>
      </c>
      <c r="EG95" s="57" t="s">
        <v>475</v>
      </c>
      <c r="EH95" s="57" t="s">
        <v>478</v>
      </c>
      <c r="EI95" s="57" t="s">
        <v>477</v>
      </c>
      <c r="EJ95" s="57" t="s">
        <v>467</v>
      </c>
      <c r="EK95" s="57" t="s">
        <v>479</v>
      </c>
      <c r="EL95" s="57" t="s">
        <v>711</v>
      </c>
      <c r="FG95" s="57"/>
      <c r="FH95" s="57"/>
      <c r="FI95" s="57"/>
    </row>
    <row r="96" spans="3:165" ht="14.1" customHeight="1" x14ac:dyDescent="0.2">
      <c r="C96" s="57"/>
      <c r="D96" s="57"/>
      <c r="F96" s="57"/>
      <c r="G96" s="57"/>
      <c r="H96" s="66"/>
      <c r="I96" s="67"/>
      <c r="J96" s="66"/>
      <c r="K96" s="67"/>
      <c r="L96" s="211"/>
      <c r="M96" s="212"/>
      <c r="N96" s="212"/>
      <c r="O96" s="212"/>
      <c r="Q96" s="57"/>
      <c r="R96" s="57"/>
      <c r="S96" s="70"/>
      <c r="T96" s="99"/>
      <c r="U96" s="111" t="str">
        <f>IF($CS$4&lt;&gt;3,"","Für Spiele OHNE Einsatz gilt automatisch der Mindesteinsatz. ROT: Eintrag wird auf min. bzw. max. erlaubte Werte korrigiert.")</f>
        <v/>
      </c>
      <c r="V96" s="106"/>
      <c r="W96" s="106"/>
      <c r="X96" s="110"/>
      <c r="Y96" s="106"/>
      <c r="Z96" s="106"/>
      <c r="AA96" s="110"/>
      <c r="AB96" s="110"/>
      <c r="AC96" s="106"/>
      <c r="AD96" s="106"/>
      <c r="AE96" s="110"/>
      <c r="AF96" s="101"/>
      <c r="AG96" s="101"/>
      <c r="AH96" s="101"/>
      <c r="AI96" s="101"/>
      <c r="AJ96" s="101"/>
      <c r="AK96" s="101"/>
      <c r="AL96" s="102"/>
      <c r="AM96" s="102"/>
      <c r="AN96" s="102"/>
      <c r="AO96" s="101"/>
      <c r="AP96" s="101"/>
      <c r="AQ96" s="101"/>
      <c r="AR96" s="101"/>
      <c r="AS96" s="108"/>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c r="BU96" t="s">
        <v>723</v>
      </c>
      <c r="BV96" t="s">
        <v>724</v>
      </c>
      <c r="BZ96" t="s">
        <v>467</v>
      </c>
      <c r="CA96" t="s">
        <v>712</v>
      </c>
      <c r="DF96" s="137"/>
      <c r="DG96" s="137"/>
      <c r="DL96" t="s">
        <v>581</v>
      </c>
      <c r="DM96" t="s">
        <v>611</v>
      </c>
      <c r="DN96">
        <f t="shared" si="111"/>
        <v>0</v>
      </c>
      <c r="DO96">
        <f>IF(DN96=0,0,INDEX(daten!$N$9:$N$32,DN96))</f>
        <v>0</v>
      </c>
      <c r="DW96" s="213"/>
      <c r="DX96" s="213"/>
      <c r="DY96" s="214"/>
      <c r="ED96" t="s">
        <v>467</v>
      </c>
      <c r="EE96" t="s">
        <v>713</v>
      </c>
      <c r="EG96" t="s">
        <v>714</v>
      </c>
      <c r="EH96" t="s">
        <v>715</v>
      </c>
      <c r="EI96" t="s">
        <v>716</v>
      </c>
      <c r="EJ96" t="s">
        <v>717</v>
      </c>
      <c r="EK96" t="s">
        <v>718</v>
      </c>
      <c r="EL96" t="s">
        <v>719</v>
      </c>
      <c r="FG96" s="57" t="s">
        <v>482</v>
      </c>
      <c r="FH96" s="57" t="s">
        <v>483</v>
      </c>
      <c r="FI96" s="57" t="s">
        <v>484</v>
      </c>
    </row>
    <row r="97" spans="2:165" x14ac:dyDescent="0.2">
      <c r="C97" s="57" t="s">
        <v>720</v>
      </c>
      <c r="D97" s="57" t="s">
        <v>721</v>
      </c>
      <c r="F97" s="57" t="s">
        <v>402</v>
      </c>
      <c r="G97" s="57" t="s">
        <v>403</v>
      </c>
      <c r="H97" s="66" t="s">
        <v>402</v>
      </c>
      <c r="I97" s="67" t="s">
        <v>403</v>
      </c>
      <c r="J97" s="66" t="s">
        <v>402</v>
      </c>
      <c r="K97" s="67" t="s">
        <v>403</v>
      </c>
      <c r="L97" s="211"/>
      <c r="M97" s="212"/>
      <c r="N97" s="212"/>
      <c r="O97" s="212"/>
      <c r="Q97" s="57"/>
      <c r="R97" s="57"/>
      <c r="S97" s="70"/>
      <c r="T97" s="99"/>
      <c r="U97" s="182" t="s">
        <v>596</v>
      </c>
      <c r="V97" s="106"/>
      <c r="W97" s="106"/>
      <c r="X97" s="422" t="s">
        <v>722</v>
      </c>
      <c r="Y97" s="422"/>
      <c r="Z97" s="422"/>
      <c r="AA97" s="422" t="str">
        <f>"Paarung " &amp; IF($CA$11," (Vorhersagen)","")</f>
        <v xml:space="preserve">Paarung </v>
      </c>
      <c r="AB97" s="485"/>
      <c r="AC97" s="485"/>
      <c r="AD97" s="485"/>
      <c r="AE97" s="485"/>
      <c r="AF97" s="422" t="s">
        <v>486</v>
      </c>
      <c r="AG97" s="422"/>
      <c r="AH97" s="422"/>
      <c r="AI97" s="102" t="str">
        <f>IF($CS$4=2,"TS","J")</f>
        <v>J</v>
      </c>
      <c r="AJ97" s="102" t="s">
        <v>487</v>
      </c>
      <c r="AK97" s="102" t="s">
        <v>488</v>
      </c>
      <c r="AL97" s="102"/>
      <c r="AM97" s="102"/>
      <c r="AN97" s="102"/>
      <c r="AO97" s="102"/>
      <c r="AP97" s="422" t="s">
        <v>467</v>
      </c>
      <c r="AQ97" s="422"/>
      <c r="AR97" s="422"/>
      <c r="AS97" s="108"/>
      <c r="AT97" s="70"/>
      <c r="AU97" s="70"/>
      <c r="AV97" s="70"/>
      <c r="AW97" s="70"/>
      <c r="AX97" s="70"/>
      <c r="AY97" s="70"/>
      <c r="AZ97" s="215"/>
      <c r="BA97" s="70"/>
      <c r="BB97" s="71"/>
      <c r="BC97" s="71"/>
      <c r="BD97" s="71"/>
      <c r="BE97" s="71"/>
      <c r="BF97" s="521" t="s">
        <v>1106</v>
      </c>
      <c r="BG97" s="521"/>
      <c r="BH97" s="521"/>
      <c r="BI97" s="521"/>
      <c r="BJ97" s="521"/>
      <c r="BK97" s="521"/>
      <c r="BL97" s="521"/>
      <c r="BM97" s="521"/>
      <c r="BN97" s="521"/>
      <c r="BO97" s="521"/>
      <c r="BP97" s="521"/>
      <c r="BQ97" s="521"/>
      <c r="BR97" s="70"/>
      <c r="BU97" s="355" t="s">
        <v>1110</v>
      </c>
      <c r="BV97" s="355" t="s">
        <v>1111</v>
      </c>
      <c r="BX97" t="s">
        <v>478</v>
      </c>
      <c r="CJ97" s="216" t="s">
        <v>409</v>
      </c>
      <c r="CK97" s="216" t="s">
        <v>497</v>
      </c>
      <c r="CL97" s="216" t="s">
        <v>498</v>
      </c>
      <c r="DF97" s="137"/>
      <c r="DG97" s="137"/>
      <c r="DL97" t="s">
        <v>601</v>
      </c>
      <c r="DM97" t="s">
        <v>615</v>
      </c>
      <c r="DN97">
        <f t="shared" si="111"/>
        <v>0</v>
      </c>
      <c r="DO97">
        <f>IF(DN97=0,0,INDEX(daten!$N$9:$N$32,DN97))</f>
        <v>0</v>
      </c>
      <c r="DV97" s="102"/>
      <c r="DW97" s="102"/>
      <c r="DX97" s="102"/>
      <c r="DY97" s="102"/>
      <c r="EC97" s="56" t="s">
        <v>725</v>
      </c>
      <c r="ED97" s="56" t="s">
        <v>574</v>
      </c>
      <c r="EE97" s="56" t="s">
        <v>575</v>
      </c>
      <c r="EF97" s="56" t="s">
        <v>509</v>
      </c>
      <c r="EG97" s="57" t="s">
        <v>574</v>
      </c>
      <c r="EH97" s="57" t="s">
        <v>726</v>
      </c>
      <c r="EI97" s="57" t="s">
        <v>574</v>
      </c>
      <c r="EJ97" s="57" t="s">
        <v>575</v>
      </c>
      <c r="EK97" s="57" t="s">
        <v>727</v>
      </c>
      <c r="EL97" s="57" t="s">
        <v>728</v>
      </c>
      <c r="FD97">
        <v>4</v>
      </c>
      <c r="FE97" t="s">
        <v>578</v>
      </c>
      <c r="FG97" s="57">
        <f>INDEX(settings!$I$18:$P$20,1,FD97)</f>
        <v>80</v>
      </c>
      <c r="FH97" s="57">
        <f>INDEX(settings!$I$18:$P$20,2,FD97)</f>
        <v>1</v>
      </c>
      <c r="FI97" s="57">
        <f>INDEX(settings!$I$18:$P$20,3,FD97)</f>
        <v>15</v>
      </c>
    </row>
    <row r="98" spans="2:165" ht="3.9" customHeight="1" x14ac:dyDescent="0.2">
      <c r="C98" s="57"/>
      <c r="D98" s="57"/>
      <c r="F98" s="57"/>
      <c r="G98" s="57"/>
      <c r="H98" s="66"/>
      <c r="I98" s="67"/>
      <c r="J98" s="66"/>
      <c r="K98" s="67"/>
      <c r="L98" s="211"/>
      <c r="M98" s="211"/>
      <c r="N98" s="212"/>
      <c r="O98" s="212"/>
      <c r="S98" s="70"/>
      <c r="T98" s="99"/>
      <c r="U98" s="110"/>
      <c r="V98" s="101"/>
      <c r="W98" s="101"/>
      <c r="X98" s="101"/>
      <c r="Y98" s="101"/>
      <c r="Z98" s="101"/>
      <c r="AA98" s="101"/>
      <c r="AB98" s="101"/>
      <c r="AC98" s="101"/>
      <c r="AD98" s="101"/>
      <c r="AE98" s="101"/>
      <c r="AF98" s="101"/>
      <c r="AG98" s="101"/>
      <c r="AH98" s="101"/>
      <c r="AI98" s="101"/>
      <c r="AJ98" s="101"/>
      <c r="AK98" s="101"/>
      <c r="AL98" s="217"/>
      <c r="AM98" s="217"/>
      <c r="AN98" s="217"/>
      <c r="AO98" s="217"/>
      <c r="AP98" s="101"/>
      <c r="AQ98" s="101"/>
      <c r="AR98" s="101"/>
      <c r="AS98" s="108"/>
      <c r="AT98" s="70"/>
      <c r="AU98" s="70"/>
      <c r="AV98" s="70"/>
      <c r="AW98" s="70"/>
      <c r="AX98" s="70"/>
      <c r="AY98" s="70"/>
      <c r="AZ98" s="70"/>
      <c r="BA98" s="70"/>
      <c r="BB98" s="71"/>
      <c r="BC98" s="71"/>
      <c r="BD98" s="71"/>
      <c r="BE98" s="71"/>
      <c r="BF98" s="70"/>
      <c r="BG98" s="70"/>
      <c r="BH98" s="70"/>
      <c r="BI98" s="71"/>
      <c r="BJ98" s="71"/>
      <c r="BK98" s="70"/>
      <c r="BL98" s="70"/>
      <c r="BM98" s="70"/>
      <c r="BN98" s="70"/>
      <c r="BO98" s="70"/>
      <c r="BP98" s="70"/>
      <c r="BQ98" s="70"/>
      <c r="BR98" s="70"/>
      <c r="DF98" s="137"/>
      <c r="DG98" s="137"/>
      <c r="DL98" t="s">
        <v>601</v>
      </c>
      <c r="DM98" t="s">
        <v>619</v>
      </c>
      <c r="DN98">
        <f t="shared" si="111"/>
        <v>0</v>
      </c>
      <c r="DO98">
        <f>IF(DN98=0,0,INDEX(daten!$N$9:$N$32,DN98))</f>
        <v>0</v>
      </c>
      <c r="DV98" s="217"/>
      <c r="DW98" s="217"/>
      <c r="DX98" s="217"/>
      <c r="DY98" s="217"/>
      <c r="FB98" t="s">
        <v>580</v>
      </c>
    </row>
    <row r="99" spans="2:165" ht="10.199999999999999" customHeight="1" x14ac:dyDescent="0.2">
      <c r="B99">
        <v>37</v>
      </c>
      <c r="C99" s="57" t="b">
        <f>INDEX(tabber!$O$395:$O$402,R99)</f>
        <v>0</v>
      </c>
      <c r="D99" s="57" t="b">
        <f>INDEX(tabber!$P$395:$P$402,R99)</f>
        <v>0</v>
      </c>
      <c r="E99" t="s">
        <v>406</v>
      </c>
      <c r="F99" s="57">
        <f>INDEX(tabber!$L$407:$L$414,B99-36)</f>
        <v>2</v>
      </c>
      <c r="G99" s="57">
        <f>INDEX(tabber!$M$407:$M$414,B99-36)</f>
        <v>6</v>
      </c>
      <c r="H99" s="66">
        <f>INDEX(tabbermsp!$J$395:$J$402,$R99)</f>
        <v>2</v>
      </c>
      <c r="I99" s="67">
        <f>INDEX(tabbermsp!$K$395:$K$402,$R99)</f>
        <v>6</v>
      </c>
      <c r="J99" s="66">
        <f>H99</f>
        <v>2</v>
      </c>
      <c r="K99" s="67">
        <f>I99</f>
        <v>6</v>
      </c>
      <c r="L99" s="211">
        <f ca="1">IF(EJ99&lt;=0,0,INDEX(H99:I99,EJ99))</f>
        <v>0</v>
      </c>
      <c r="M99" s="211">
        <f ca="1">IF(EJ99&lt;=0,0,IF(INDEX(C99:D99,EJ99)=TRUE,INDEX(F99:G99,EJ99),0))</f>
        <v>0</v>
      </c>
      <c r="N99" s="212">
        <f ca="1">IF(L99=0,0,IF(L99=H99,I99,IF(L99=I99,H99,0)))</f>
        <v>0</v>
      </c>
      <c r="O99" s="212">
        <f ca="1">IF(M99=0,0,IF(M99=F99,G99,IF(M99=G99,F99,0)))</f>
        <v>0</v>
      </c>
      <c r="Q99" s="57">
        <v>1</v>
      </c>
      <c r="R99" s="218">
        <v>8</v>
      </c>
      <c r="S99" s="70"/>
      <c r="T99" s="516" t="str">
        <f>IF(CZ99,zeichen_gesperrt,"")</f>
        <v/>
      </c>
      <c r="U99" s="472" t="s">
        <v>406</v>
      </c>
      <c r="V99" s="357" t="s">
        <v>729</v>
      </c>
      <c r="W99" s="358">
        <v>0.75</v>
      </c>
      <c r="X99" s="486" t="str">
        <f>"Real: "&amp;VLOOKUP(BT99,$A$6:$F$20,3,FALSE)&amp;"  :  "&amp;VLOOKUP(BT99,$A$6:$F$20,4,FALSE)&amp;CHAR(10)&amp;"Tipp: "&amp;VLOOKUP(BT99,$A$6:$F$20,5,FALSE)&amp;"  :  "&amp;VLOOKUP(BT99,$A$6:$F$20,6,FALSE)</f>
        <v>Real: SCO  :  CRO
Tipp: SCO  :  CRO</v>
      </c>
      <c r="Y99" s="487"/>
      <c r="Z99" s="488"/>
      <c r="AA99" s="492" t="str">
        <f>INDEX(daten!$K$95:$K$110,Q99)</f>
        <v>2. A</v>
      </c>
      <c r="AB99" s="479"/>
      <c r="AC99" s="219" t="s">
        <v>583</v>
      </c>
      <c r="AD99" s="479" t="str">
        <f>INDEX(daten!$L$95:$L$110,Q99)</f>
        <v>2. B</v>
      </c>
      <c r="AE99" s="479"/>
      <c r="AF99" s="466"/>
      <c r="AG99" s="468" t="s">
        <v>583</v>
      </c>
      <c r="AH99" s="470"/>
      <c r="AI99" s="462"/>
      <c r="AJ99" s="462"/>
      <c r="AK99" s="464" t="s">
        <v>411</v>
      </c>
      <c r="AL99" s="223"/>
      <c r="AM99" s="628"/>
      <c r="AN99" s="628"/>
      <c r="AO99" s="629"/>
      <c r="AP99" s="418"/>
      <c r="AQ99" s="418"/>
      <c r="AR99" s="419"/>
      <c r="AS99" s="108"/>
      <c r="AT99" s="70"/>
      <c r="AU99" s="220" t="str">
        <f ca="1">IF(EH99=0,"",INDEX($DL$21:$DL$24,EH99))</f>
        <v/>
      </c>
      <c r="AV99" s="70"/>
      <c r="AW99" s="70"/>
      <c r="AX99" s="70"/>
      <c r="AY99" s="70"/>
      <c r="AZ99" s="70"/>
      <c r="BA99" s="70"/>
      <c r="BB99" s="221"/>
      <c r="BC99" s="221"/>
      <c r="BD99" s="221"/>
      <c r="BE99" s="221"/>
      <c r="BF99" s="437"/>
      <c r="BG99" s="439" t="s">
        <v>583</v>
      </c>
      <c r="BH99" s="432"/>
      <c r="BI99" s="517"/>
      <c r="BJ99" s="518"/>
      <c r="BK99" s="518"/>
      <c r="BL99" s="518"/>
      <c r="BM99" s="518"/>
      <c r="BN99" s="518"/>
      <c r="BO99" s="518"/>
      <c r="BP99" s="518"/>
      <c r="BQ99" s="518"/>
      <c r="BR99" s="70"/>
      <c r="BT99" t="s">
        <v>406</v>
      </c>
      <c r="BU99">
        <f>IF(COUNT(BF99,BH99)&lt;&gt;2,-1,IF(BF99&gt;BH99,1,IF(BF99&lt;BH99,2,0)))</f>
        <v>-1</v>
      </c>
      <c r="BV99" s="222">
        <f>IF(LEN(AA100)=0,0,IF(ISERROR(MATCH(AA100,teamsmitk,0)),0,MATCH(AA100,teamsmitk,0)))</f>
        <v>0</v>
      </c>
      <c r="BW99" s="222">
        <f>IF(LEN(AD100)=0,0,IF(ISERROR(MATCH(AD100,teamsmitk,0)),0,MATCH(AD100,teamsmitk,0)))</f>
        <v>0</v>
      </c>
      <c r="BZ99" t="b">
        <f>IF($AH$4,VLOOKUP(B99,$B$6:$P$13,14,FALSE),C99)</f>
        <v>0</v>
      </c>
      <c r="CA99" t="b">
        <f>IF($AH$4,VLOOKUP(B99,$B$6:$P$13,15,FALSE),D99)</f>
        <v>0</v>
      </c>
      <c r="CC99">
        <v>37</v>
      </c>
      <c r="CD99" t="b">
        <v>0</v>
      </c>
      <c r="CE99" s="216" t="str">
        <f>IF(CD99,IF(COUNT(CM99:CN99)=2,ABS(CM99),""),IF(COUNT(AF99,AH99)=2,ABS(AF99),""))</f>
        <v/>
      </c>
      <c r="CF99" s="216" t="str">
        <f>IF(CD99,IF(COUNT(CM99:CN99)=2,ABS(CN99),""),IF(COUNT(AF99,AH99)=2,ABS(AH99),""))</f>
        <v/>
      </c>
      <c r="CG99" s="138">
        <f>IF(SUM($CV$99:$CV$120)&gt;0,CO99,IF($CS$4&lt;&gt;1,CO99,IF(AND(LEN(AI99)&gt;0,NOT(DC99),$CS$4=1),1,0)))</f>
        <v>0</v>
      </c>
      <c r="CH99" s="138">
        <f>IF(OR(CD99,$CS$4&lt;&gt;3),CP99,ABS(VALUE(FG99)))</f>
        <v>0</v>
      </c>
      <c r="CI99" s="138">
        <f>IF(OR(CD99,CY99,NOT(CX99)),CQ99,IF(LEN(AK99)=0,0,IF(AK99=$CV$4,1,IF(AK99=$CV$5,2,0))))</f>
        <v>0</v>
      </c>
      <c r="CJ99" s="138">
        <f>IF(OR(CD99,$CS$6=0),CR99,IF(AND($CS$6&gt;1,CK99&gt;0),1,IF($CS$6=2,CR99,IF(EF99="EW",1,0))))</f>
        <v>0</v>
      </c>
      <c r="CK99" s="138">
        <f>IF(OR(CD99,$CS$6&lt;2),CS99,EI99)</f>
        <v>0</v>
      </c>
      <c r="CL99" s="138">
        <f ca="1">IF(OR(CD99,EK99=1),CT99,ED99)</f>
        <v>0</v>
      </c>
      <c r="CO99">
        <v>0</v>
      </c>
      <c r="CP99">
        <v>0</v>
      </c>
      <c r="CQ99">
        <v>0</v>
      </c>
      <c r="CR99">
        <v>0</v>
      </c>
      <c r="CS99">
        <v>0</v>
      </c>
      <c r="CT99">
        <v>0</v>
      </c>
      <c r="CV99">
        <f>IF(AND(CO99=1,CD99),1,0)</f>
        <v>0</v>
      </c>
      <c r="CX99" t="b">
        <f>AND($CS$5=1,COUNT(CE99:CF99)=2,CE99&lt;&gt;CF99)</f>
        <v>0</v>
      </c>
      <c r="CY99" t="b">
        <f>IF(LEN(AK99)=0,FALSE,IF(COUNT(CE99:CF99)&lt;&gt;2,TRUE,IF(AND(CX99,AK99=$CV$4,ABS(CE99-CF99)&gt;=2),FALSE,IF(AND(CX99,AK99=$CV$5,ABS(CE99-CF99)&gt;=3),FALSE,TRUE))))</f>
        <v>0</v>
      </c>
      <c r="CZ99" t="b">
        <v>0</v>
      </c>
      <c r="DA99">
        <f>IF(SUM($CV$99:$CV$120)&gt;0,CO99,IF(AND(LEN(AI99)&gt;0),1,0))</f>
        <v>0</v>
      </c>
      <c r="DB99">
        <f>SUM($DA$97:$DA99)</f>
        <v>0</v>
      </c>
      <c r="DC99" t="b">
        <f>OR(AND(DA99=1,OR(DB99&gt;1,$CS$4=3)))</f>
        <v>0</v>
      </c>
      <c r="DE99">
        <v>4</v>
      </c>
      <c r="DF99" s="137">
        <v>1</v>
      </c>
      <c r="DG99" s="137">
        <v>15</v>
      </c>
      <c r="DH99">
        <f>IF(NOT(ISNUMBER(AJ99)),DF99,IF(LEN(AJ99)=0,DF99,IF(AJ99&gt;DG99,DG99,IF(AJ99&lt;DF99,DF99,AJ99))))</f>
        <v>1</v>
      </c>
      <c r="DL99" t="s">
        <v>601</v>
      </c>
      <c r="DM99" t="s">
        <v>623</v>
      </c>
      <c r="DN99">
        <f t="shared" si="111"/>
        <v>0</v>
      </c>
      <c r="DO99">
        <f>IF(DN99=0,0,INDEX(daten!$N$9:$N$32,DN99))</f>
        <v>0</v>
      </c>
      <c r="DV99" s="223"/>
      <c r="DW99" s="224"/>
      <c r="DX99" s="224"/>
      <c r="DY99" s="225"/>
      <c r="EA99" t="b">
        <f ca="1">AU100="Ungültiger Sieger"</f>
        <v>0</v>
      </c>
      <c r="EB99" t="b">
        <f ca="1">AND($CS$6&gt;0,EF99&lt;&gt;0,EH99&gt;0)</f>
        <v>0</v>
      </c>
      <c r="EC99" s="62">
        <f>AP99</f>
        <v>0</v>
      </c>
      <c r="ED99" s="56">
        <f ca="1">IF(CC99&lt;37,0,IF(LEN(EC99)=0,0,IF(ISERROR(MATCH(EC99,OFFSET($CR$15:$CR$16,0,CC99-36),0)),0,MATCH(EC99,OFFSET($CR$15:$CR$16,0,CC99-36),0))))</f>
        <v>0</v>
      </c>
      <c r="EE99" s="57">
        <f>IF(COUNT(CE99:CF99)&lt;&gt;2,-1,IF(CE99&gt;CF99,1,IF(CE99&lt;CF99,2,0)))</f>
        <v>-1</v>
      </c>
      <c r="EF99" s="62">
        <f>AM99</f>
        <v>0</v>
      </c>
      <c r="EG99">
        <f ca="1">IF(CC99&lt;37,0,IF(LEN(EF99)=0,0,IF(ISERROR(MATCH(EF99,OFFSET($CR$15:$CR$16,0,CC99-36),0)),0,MATCH(EF99,OFFSET($CR$15:$CR$16,0,CC99-36),0))))</f>
        <v>0</v>
      </c>
      <c r="EH99">
        <f ca="1">IF(AND(EE99&lt;&gt;-1,settings!$C$29,EG99=0),4,IF(OR(CC99&lt;37,NOT($EH$31),$CS$6&lt;2,AND(EF99&lt;&gt;"EW",EG99=0)),0,IF(EE99=-1,1,IF(AND(EE99=0,$EH$28&lt;&gt;0),2,IF(AND(EE99&gt;0,$EH$28=0),2,IF(AND(EE99&gt;0,EG99&lt;&gt;EE99),3,0))))))</f>
        <v>0</v>
      </c>
      <c r="EI99">
        <f ca="1">IF(EH99=0,EG99,CS99)</f>
        <v>0</v>
      </c>
      <c r="EJ99">
        <f ca="1">IF(EE99&gt;0,EE99,IF(AND(EI99&gt;0,settings!$C$29=0),EI99,IF(ED99&gt;0,ED99,IF(EI99&gt;0,EI99,EE99))))</f>
        <v>-1</v>
      </c>
      <c r="EK99">
        <f ca="1">IF(AND(ED99&gt;0,ED99&lt;&gt;EJ99),1,0)</f>
        <v>0</v>
      </c>
      <c r="EL99" t="b">
        <f ca="1">AND(EE99&gt;-1,$EL$37,EJ99&lt;=0)</f>
        <v>0</v>
      </c>
      <c r="EM99" s="57">
        <f>IF(EXACT(CE99,CM99),0,1)</f>
        <v>0</v>
      </c>
      <c r="EN99" s="57">
        <f>IF(EXACT(CF99,CN99),0,1)</f>
        <v>0</v>
      </c>
      <c r="EO99" s="57">
        <f>IF($CS$400,0,IF(EXACT(CG99,CO99),0,1))</f>
        <v>0</v>
      </c>
      <c r="EP99" s="57">
        <f>IF($CS$4&lt;&gt;3,0,IF(AND(CH99=INDEX(settings!$I$19:$P$19,1),LEN(CP99)=0),0,IF(EXACT(CH99,CP99),0,1)))</f>
        <v>0</v>
      </c>
      <c r="EQ99" s="57">
        <f>IF(settings!$C$1100,0,IF(CI99=CQ99,0,1))</f>
        <v>0</v>
      </c>
      <c r="ER99" s="57">
        <f>IF($CS$6=0,0,IF(CJ99=CR99,0,1))</f>
        <v>0</v>
      </c>
      <c r="ES99" s="57">
        <f>IF($CS$6&lt;2,0,IF(CK99=CS99,0,1))</f>
        <v>0</v>
      </c>
      <c r="ET99" s="57">
        <f>IF(DR100&lt;37,0,IF(CL99=CT99,0,1))</f>
        <v>0</v>
      </c>
      <c r="EU99" s="57">
        <f>IF(CD99,0,SUM(EM99:ET99))</f>
        <v>0</v>
      </c>
      <c r="FB99">
        <f>IF(DH99&lt;FH97,FH97,DH99)</f>
        <v>1</v>
      </c>
      <c r="FC99">
        <v>1</v>
      </c>
      <c r="FD99">
        <f>FH97</f>
        <v>1</v>
      </c>
      <c r="FE99">
        <f>IF(CD99,CP99,IF(FB99&gt;FI97,FI97,FB99))</f>
        <v>1</v>
      </c>
      <c r="FG99">
        <f>FE99</f>
        <v>1</v>
      </c>
      <c r="FH99">
        <f>FG97-SUM(FG98:FG99)-SUM(FD100:FD123)+FH97</f>
        <v>73</v>
      </c>
      <c r="FI99" t="b">
        <f>FG99&lt;&gt;AJ99</f>
        <v>1</v>
      </c>
    </row>
    <row r="100" spans="2:165" ht="12" customHeight="1" x14ac:dyDescent="0.2">
      <c r="C100" s="57"/>
      <c r="D100" s="57"/>
      <c r="F100" s="57"/>
      <c r="G100" s="57"/>
      <c r="H100" s="66"/>
      <c r="I100" s="67"/>
      <c r="J100" s="66"/>
      <c r="K100" s="67"/>
      <c r="L100" s="211"/>
      <c r="M100" s="211"/>
      <c r="N100" s="212"/>
      <c r="O100" s="212"/>
      <c r="Q100" s="57"/>
      <c r="R100" s="218"/>
      <c r="S100" s="70"/>
      <c r="T100" s="516" t="str">
        <f>IF(CZ100,zeichen_gesperrt,"")</f>
        <v/>
      </c>
      <c r="U100" s="473"/>
      <c r="V100" s="474" t="s">
        <v>550</v>
      </c>
      <c r="W100" s="474"/>
      <c r="X100" s="489"/>
      <c r="Y100" s="490"/>
      <c r="Z100" s="491"/>
      <c r="AA100" s="475"/>
      <c r="AB100" s="476"/>
      <c r="AC100" s="226" t="s">
        <v>583</v>
      </c>
      <c r="AD100" s="477"/>
      <c r="AE100" s="478"/>
      <c r="AF100" s="467"/>
      <c r="AG100" s="469"/>
      <c r="AH100" s="471"/>
      <c r="AI100" s="463"/>
      <c r="AJ100" s="463"/>
      <c r="AK100" s="465"/>
      <c r="AL100" s="223"/>
      <c r="AM100" s="628"/>
      <c r="AN100" s="628"/>
      <c r="AO100" s="629"/>
      <c r="AP100" s="420"/>
      <c r="AQ100" s="420"/>
      <c r="AR100" s="421"/>
      <c r="AS100" s="108"/>
      <c r="AT100" s="70"/>
      <c r="AU100" s="220" t="str">
        <f ca="1">IF(AND(ED99&gt;0,EE99&gt;-1,EK99=1),"Ungültiger Sieger",IF(EL99,"Sieger fehlt!",""))</f>
        <v/>
      </c>
      <c r="AV100" s="70"/>
      <c r="AW100" s="70"/>
      <c r="AX100" s="70"/>
      <c r="AY100" s="70"/>
      <c r="AZ100" s="70"/>
      <c r="BA100" s="70"/>
      <c r="BB100" s="221"/>
      <c r="BC100" s="221"/>
      <c r="BD100" s="221"/>
      <c r="BE100" s="221"/>
      <c r="BF100" s="438"/>
      <c r="BG100" s="440"/>
      <c r="BH100" s="433"/>
      <c r="BI100" s="517"/>
      <c r="BJ100" s="518"/>
      <c r="BK100" s="518"/>
      <c r="BL100" s="518"/>
      <c r="BM100" s="518"/>
      <c r="BN100" s="518"/>
      <c r="BO100" s="518"/>
      <c r="BP100" s="518"/>
      <c r="BQ100" s="518"/>
      <c r="BR100" s="70"/>
      <c r="BU100" s="355" t="b">
        <f ca="1">IF(LEN(AA100)=0,FALSE,ISERROR(MATCH(AA100,OFFSET($U$326:$U$349,0,Q99*2),0)))</f>
        <v>0</v>
      </c>
      <c r="BV100" s="356" t="b">
        <f ca="1">IF(LEN(AD100)=0,FALSE,ISERROR(MATCH(AD100,OFFSET($V$326:$V$349,0,Q99*2),0)))</f>
        <v>0</v>
      </c>
      <c r="BW100" s="222"/>
      <c r="BX100" t="b">
        <f>VLOOKUP(BT99,$BU$175:$CA$190,6,FALSE)&lt;&gt;BV99</f>
        <v>0</v>
      </c>
      <c r="BY100" t="b">
        <f>VLOOKUP(BT99,$BU$175:$CA$190,7,FALSE)&lt;&gt;BW99</f>
        <v>0</v>
      </c>
      <c r="BZ100" s="227" t="str">
        <f ca="1">IF(EJ99&lt;=0," ",IF(EJ99=1,AA100,AD100))</f>
        <v xml:space="preserve"> </v>
      </c>
      <c r="CA100" s="227" t="str">
        <f ca="1">IF(EJ99&lt;=0," ",IF(EJ99=1,AD100,AA100))</f>
        <v xml:space="preserve"> </v>
      </c>
      <c r="DF100" s="137"/>
      <c r="DG100" s="137"/>
      <c r="DL100" t="s">
        <v>601</v>
      </c>
      <c r="DM100" t="s">
        <v>626</v>
      </c>
      <c r="DN100">
        <f t="shared" si="111"/>
        <v>0</v>
      </c>
      <c r="DO100">
        <f>IF(DN100=0,0,INDEX(daten!$N$9:$N$32,DN100))</f>
        <v>0</v>
      </c>
      <c r="DV100" s="223"/>
      <c r="DW100" s="224"/>
      <c r="DX100" s="224"/>
      <c r="DY100" s="225"/>
      <c r="EC100" s="62"/>
      <c r="EF100" s="62"/>
    </row>
    <row r="101" spans="2:165" ht="3.9" customHeight="1" x14ac:dyDescent="0.2">
      <c r="C101" s="57"/>
      <c r="D101" s="57"/>
      <c r="F101" s="57"/>
      <c r="G101" s="57"/>
      <c r="H101" s="66"/>
      <c r="I101" s="67"/>
      <c r="J101" s="66"/>
      <c r="K101" s="67"/>
      <c r="L101" s="211"/>
      <c r="M101" s="211"/>
      <c r="N101" s="212"/>
      <c r="O101" s="212"/>
      <c r="Q101" s="57"/>
      <c r="R101" s="218"/>
      <c r="S101" s="70"/>
      <c r="T101" s="228"/>
      <c r="U101" s="359"/>
      <c r="V101" s="360"/>
      <c r="W101" s="360"/>
      <c r="X101" s="361"/>
      <c r="Y101" s="361"/>
      <c r="Z101" s="362"/>
      <c r="AA101" s="229"/>
      <c r="AB101" s="229"/>
      <c r="AC101" s="229"/>
      <c r="AD101" s="229"/>
      <c r="AE101" s="229"/>
      <c r="AF101" s="230"/>
      <c r="AG101" s="231"/>
      <c r="AH101" s="230"/>
      <c r="AI101" s="224"/>
      <c r="AJ101" s="224"/>
      <c r="AK101" s="224"/>
      <c r="AL101" s="231"/>
      <c r="AM101" s="231"/>
      <c r="AN101" s="231"/>
      <c r="AO101" s="217"/>
      <c r="AP101" s="231"/>
      <c r="AQ101" s="231"/>
      <c r="AR101" s="101"/>
      <c r="AS101" s="108"/>
      <c r="AT101" s="70"/>
      <c r="AU101" s="70"/>
      <c r="AV101" s="70"/>
      <c r="AW101" s="70"/>
      <c r="AX101" s="70"/>
      <c r="AY101" s="70"/>
      <c r="AZ101" s="70"/>
      <c r="BA101" s="70"/>
      <c r="BB101" s="71"/>
      <c r="BC101" s="71"/>
      <c r="BD101" s="71"/>
      <c r="BE101" s="71"/>
      <c r="BF101" s="70"/>
      <c r="BG101" s="70"/>
      <c r="BH101" s="89"/>
      <c r="BI101" s="232"/>
      <c r="BJ101" s="71"/>
      <c r="BK101" s="70"/>
      <c r="BL101" s="70"/>
      <c r="BM101" s="70"/>
      <c r="BN101" s="70"/>
      <c r="BO101" s="70"/>
      <c r="BP101" s="70"/>
      <c r="BQ101" s="70"/>
      <c r="BR101" s="70"/>
      <c r="BV101" s="222"/>
      <c r="BW101" s="222"/>
      <c r="DF101" s="137"/>
      <c r="DG101" s="137"/>
      <c r="DL101" t="s">
        <v>613</v>
      </c>
      <c r="DM101" t="s">
        <v>630</v>
      </c>
      <c r="DN101">
        <f t="shared" si="111"/>
        <v>0</v>
      </c>
      <c r="DO101">
        <f>IF(DN101=0,0,INDEX(daten!$N$9:$N$32,DN101))</f>
        <v>0</v>
      </c>
      <c r="DV101" s="231"/>
      <c r="DW101" s="231"/>
      <c r="DX101" s="231"/>
      <c r="DY101" s="217"/>
      <c r="EC101" s="62"/>
      <c r="EF101" s="62"/>
    </row>
    <row r="102" spans="2:165" ht="10.199999999999999" customHeight="1" x14ac:dyDescent="0.2">
      <c r="B102">
        <v>38</v>
      </c>
      <c r="C102" s="57" t="b">
        <f>INDEX(tabber!$O$395:$O$402,R102)</f>
        <v>0</v>
      </c>
      <c r="D102" s="57" t="b">
        <f>INDEX(tabber!$P$395:$P$402,R102)</f>
        <v>0</v>
      </c>
      <c r="E102" t="s">
        <v>410</v>
      </c>
      <c r="F102" s="57">
        <f>INDEX(tabber!$L$407:$L$414,B102-36)</f>
        <v>1</v>
      </c>
      <c r="G102" s="57">
        <f>INDEX(tabber!$M$407:$M$414,B102-36)</f>
        <v>10</v>
      </c>
      <c r="H102" s="66">
        <f>INDEX(tabbermsp!$J$395:$J$402,$R102)</f>
        <v>1</v>
      </c>
      <c r="I102" s="67">
        <f>INDEX(tabbermsp!$K$395:$K$402,$R102)</f>
        <v>10</v>
      </c>
      <c r="J102" s="66">
        <f>H102</f>
        <v>1</v>
      </c>
      <c r="K102" s="67">
        <f>I102</f>
        <v>10</v>
      </c>
      <c r="L102" s="211">
        <f ca="1">IF(EJ102&lt;=0,0,INDEX(H102:I102,EJ102))</f>
        <v>0</v>
      </c>
      <c r="M102" s="211">
        <f ca="1">IF(EJ102&lt;=0,0,IF(INDEX(C102:D102,EJ102)=TRUE,INDEX(F102:G102,EJ102),0))</f>
        <v>0</v>
      </c>
      <c r="N102" s="212">
        <f ca="1">IF(L102=0,0,IF(L102=H102,I102,IF(L102=I102,H102,0)))</f>
        <v>0</v>
      </c>
      <c r="O102" s="212">
        <f ca="1">IF(M102=0,0,IF(M102=F102,G102,IF(M102=G102,F102,0)))</f>
        <v>0</v>
      </c>
      <c r="Q102" s="57">
        <v>2</v>
      </c>
      <c r="R102" s="218">
        <v>2</v>
      </c>
      <c r="S102" s="70"/>
      <c r="T102" s="516" t="str">
        <f>IF(CZ102,zeichen_gesperrt,"")</f>
        <v/>
      </c>
      <c r="U102" s="472" t="s">
        <v>410</v>
      </c>
      <c r="V102" s="357" t="s">
        <v>729</v>
      </c>
      <c r="W102" s="358">
        <v>0.875</v>
      </c>
      <c r="X102" s="486" t="str">
        <f>"Real: "&amp;VLOOKUP(BT102,$A$6:$F$20,3,FALSE)&amp;"  :  "&amp;VLOOKUP(BT102,$A$6:$F$20,4,FALSE)&amp;CHAR(10)&amp;"Tipp: "&amp;VLOOKUP(BT102,$A$6:$F$20,5,FALSE)&amp;"  :  "&amp;VLOOKUP(BT102,$A$6:$F$20,6,FALSE)</f>
        <v>Real: GER  :  DEN
Tipp: GER  :  DEN</v>
      </c>
      <c r="Y102" s="487"/>
      <c r="Z102" s="488"/>
      <c r="AA102" s="492" t="str">
        <f>INDEX(daten!$K$95:$K$110,Q102)</f>
        <v>1. A</v>
      </c>
      <c r="AB102" s="479"/>
      <c r="AC102" s="219" t="s">
        <v>583</v>
      </c>
      <c r="AD102" s="479" t="str">
        <f>INDEX(daten!$L$95:$L$110,Q102)</f>
        <v>2. C</v>
      </c>
      <c r="AE102" s="479"/>
      <c r="AF102" s="466"/>
      <c r="AG102" s="468" t="s">
        <v>583</v>
      </c>
      <c r="AH102" s="470"/>
      <c r="AI102" s="462"/>
      <c r="AJ102" s="462"/>
      <c r="AK102" s="464" t="s">
        <v>411</v>
      </c>
      <c r="AL102" s="223"/>
      <c r="AM102" s="628"/>
      <c r="AN102" s="628"/>
      <c r="AO102" s="629"/>
      <c r="AP102" s="418"/>
      <c r="AQ102" s="418"/>
      <c r="AR102" s="419"/>
      <c r="AS102" s="108"/>
      <c r="AT102" s="70"/>
      <c r="AU102" s="220" t="str">
        <f ca="1">IF(EH102=0,"",INDEX($DL$21:$DL$24,EH102))</f>
        <v/>
      </c>
      <c r="AV102" s="70"/>
      <c r="AW102" s="70"/>
      <c r="AX102" s="70"/>
      <c r="AY102" s="70"/>
      <c r="AZ102" s="70"/>
      <c r="BA102" s="70"/>
      <c r="BB102" s="221"/>
      <c r="BC102" s="221"/>
      <c r="BD102" s="221"/>
      <c r="BE102" s="221"/>
      <c r="BF102" s="437"/>
      <c r="BG102" s="439" t="s">
        <v>583</v>
      </c>
      <c r="BH102" s="432"/>
      <c r="BI102" s="517"/>
      <c r="BJ102" s="518"/>
      <c r="BK102" s="518"/>
      <c r="BL102" s="518"/>
      <c r="BM102" s="518"/>
      <c r="BN102" s="518"/>
      <c r="BO102" s="518"/>
      <c r="BP102" s="518"/>
      <c r="BQ102" s="518"/>
      <c r="BR102" s="70"/>
      <c r="BT102" t="s">
        <v>410</v>
      </c>
      <c r="BU102">
        <f>IF(COUNT(BF102,BH102)&lt;&gt;2,-1,IF(BF102&gt;BH102,1,IF(BF102&lt;BH102,2,0)))</f>
        <v>-1</v>
      </c>
      <c r="BV102" s="222">
        <f>IF(LEN(AA103)=0,0,IF(ISERROR(MATCH(AA103,teamsmitk,0)),0,MATCH(AA103,teamsmitk,0)))</f>
        <v>0</v>
      </c>
      <c r="BW102" s="222">
        <f>IF(LEN(AD103)=0,0,IF(ISERROR(MATCH(AD103,teamsmitk,0)),0,MATCH(AD103,teamsmitk,0)))</f>
        <v>0</v>
      </c>
      <c r="BZ102" t="b">
        <f>IF($AH$4,VLOOKUP(B102,$B$6:$P$13,14,FALSE),C102)</f>
        <v>0</v>
      </c>
      <c r="CA102" t="b">
        <f>IF($AH$4,VLOOKUP(B102,$B$6:$P$13,15,FALSE),D102)</f>
        <v>0</v>
      </c>
      <c r="CC102">
        <v>38</v>
      </c>
      <c r="CD102" t="b">
        <v>0</v>
      </c>
      <c r="CE102" s="216" t="str">
        <f>IF(CD102,IF(COUNT(CM102:CN102)=2,ABS(CM102),""),IF(COUNT(AF102,AH102)=2,ABS(AF102),""))</f>
        <v/>
      </c>
      <c r="CF102" s="216" t="str">
        <f>IF(CD102,IF(COUNT(CM102:CN102)=2,ABS(CN102),""),IF(COUNT(AF102,AH102)=2,ABS(AH102),""))</f>
        <v/>
      </c>
      <c r="CG102" s="138">
        <f>IF(SUM($CV$99:$CV$120)&gt;0,CO102,IF($CS$4&lt;&gt;1,CO102,IF(AND(LEN(AI102)&gt;0,NOT(DC102),$CS$4=1),1,0)))</f>
        <v>0</v>
      </c>
      <c r="CH102" s="138">
        <f>IF(OR(CD102,$CS$4&lt;&gt;3),CP102,ABS(VALUE(FG102)))</f>
        <v>0</v>
      </c>
      <c r="CI102" s="138">
        <f>IF(OR(CD102,CY102,NOT(CX102)),CQ102,IF(LEN(AK102)=0,0,IF(AK102=$CV$4,1,IF(AK102=$CV$5,2,0))))</f>
        <v>0</v>
      </c>
      <c r="CJ102" s="138">
        <f>IF(OR(CD102,$CS$6=0),CR102,IF(AND($CS$6&gt;1,CK102&gt;0),1,IF($CS$6=2,CR102,IF(EF102="EW",1,0))))</f>
        <v>0</v>
      </c>
      <c r="CK102" s="138">
        <f>IF(OR(CD102,$CS$6&lt;2),CS102,EI102)</f>
        <v>0</v>
      </c>
      <c r="CL102" s="138">
        <f ca="1">IF(OR(CD102,EK102=1),CT102,ED102)</f>
        <v>0</v>
      </c>
      <c r="CO102">
        <v>0</v>
      </c>
      <c r="CP102">
        <v>0</v>
      </c>
      <c r="CQ102">
        <v>0</v>
      </c>
      <c r="CR102">
        <v>0</v>
      </c>
      <c r="CS102">
        <v>0</v>
      </c>
      <c r="CT102">
        <v>0</v>
      </c>
      <c r="CV102">
        <f>IF(AND(CO102=1,CD102),1,0)</f>
        <v>0</v>
      </c>
      <c r="CX102" t="b">
        <f>AND($CS$5=1,COUNT(CE102:CF102)=2,CE102&lt;&gt;CF102)</f>
        <v>0</v>
      </c>
      <c r="CY102" t="b">
        <f>IF(LEN(AK102)=0,FALSE,IF(COUNT(CE102:CF102)&lt;&gt;2,TRUE,IF(AND(CX102,AK102=$CV$4,ABS(CE102-CF102)&gt;=2),FALSE,IF(AND(CX102,AK102=$CV$5,ABS(CE102-CF102)&gt;=3),FALSE,TRUE))))</f>
        <v>0</v>
      </c>
      <c r="CZ102" t="b">
        <v>0</v>
      </c>
      <c r="DA102">
        <f>IF(SUM($CV$99:$CV$120)&gt;0,CO102,IF(AND(LEN(AI102)&gt;0),1,0))</f>
        <v>0</v>
      </c>
      <c r="DB102">
        <f>SUM($DA$97:$DA102)</f>
        <v>0</v>
      </c>
      <c r="DC102" t="b">
        <f>OR(AND(DA102=1,OR(DB102&gt;1,$CS$4=3)))</f>
        <v>0</v>
      </c>
      <c r="DE102">
        <v>4</v>
      </c>
      <c r="DF102" s="137">
        <v>1</v>
      </c>
      <c r="DG102" s="137">
        <v>15</v>
      </c>
      <c r="DH102">
        <f>IF(NOT(ISNUMBER(AJ102)),DF102,IF(LEN(AJ102)=0,DF102,IF(AJ102&gt;DG102,DG102,IF(AJ102&lt;DF102,DF102,AJ102))))</f>
        <v>1</v>
      </c>
      <c r="DL102" t="s">
        <v>613</v>
      </c>
      <c r="DM102" t="s">
        <v>634</v>
      </c>
      <c r="DN102">
        <f t="shared" si="111"/>
        <v>0</v>
      </c>
      <c r="DO102">
        <f>IF(DN102=0,0,INDEX(daten!$N$9:$N$32,DN102))</f>
        <v>0</v>
      </c>
      <c r="DV102" s="223"/>
      <c r="DW102" s="224"/>
      <c r="DX102" s="224"/>
      <c r="DY102" s="225"/>
      <c r="EA102" t="b">
        <f ca="1">AU103="Ungültiger Sieger"</f>
        <v>0</v>
      </c>
      <c r="EB102" t="b">
        <f ca="1">AND($CS$6&gt;0,EF102&lt;&gt;0,EH102&gt;0)</f>
        <v>0</v>
      </c>
      <c r="EC102" s="62">
        <f>AP102</f>
        <v>0</v>
      </c>
      <c r="ED102" s="56">
        <f ca="1">IF(CC102&lt;37,0,IF(LEN(EC102)=0,0,IF(ISERROR(MATCH(EC102,OFFSET($CR$15:$CR$16,0,CC102-36),0)),0,MATCH(EC102,OFFSET($CR$15:$CR$16,0,CC102-36),0))))</f>
        <v>0</v>
      </c>
      <c r="EE102" s="57">
        <f>IF(COUNT(CE102:CF102)&lt;&gt;2,-1,IF(CE102&gt;CF102,1,IF(CE102&lt;CF102,2,0)))</f>
        <v>-1</v>
      </c>
      <c r="EF102" s="62">
        <f>AM102</f>
        <v>0</v>
      </c>
      <c r="EG102">
        <f ca="1">IF(CC102&lt;37,0,IF(LEN(EF102)=0,0,IF(ISERROR(MATCH(EF102,OFFSET($CR$15:$CR$16,0,CC102-37),0)),0,MATCH(EF102,OFFSET($CR$15:$CR$16,0,CC102-37),0))))</f>
        <v>0</v>
      </c>
      <c r="EH102">
        <f ca="1">IF(AND(EE102&lt;&gt;-1,settings!$C$29,EG102=0),4,IF(OR(CC102&lt;37,NOT($EH$31),$CS$6&lt;2,AND(EF102&lt;&gt;"EW",EG102=0)),0,IF(EE102=-1,1,IF(AND(EE102=0,$EH$28&lt;&gt;0),2,IF(AND(EE102&gt;0,$EH$28=0),2,IF(AND(EE102&gt;0,EG102&lt;&gt;EE102),3,0))))))</f>
        <v>0</v>
      </c>
      <c r="EI102">
        <f ca="1">IF(EH102=0,EG102,CS102)</f>
        <v>0</v>
      </c>
      <c r="EJ102">
        <f ca="1">IF(EE102&gt;0,EE102,IF(AND(EI102&gt;0,settings!$C$29=0),EI102,IF(ED102&gt;0,ED102,IF(EI102&gt;0,EI102,EE102))))</f>
        <v>-1</v>
      </c>
      <c r="EK102">
        <f ca="1">IF(AND(ED102&gt;0,ED102&lt;&gt;EJ102),1,0)</f>
        <v>0</v>
      </c>
      <c r="EL102" t="b">
        <f ca="1">AND(EE102&gt;-1,$EL$37,EJ102&lt;=0)</f>
        <v>0</v>
      </c>
      <c r="EM102" s="57">
        <f>IF(EXACT(CE102,CM102),0,1)</f>
        <v>0</v>
      </c>
      <c r="EN102" s="57">
        <f>IF(EXACT(CF102,CN102),0,1)</f>
        <v>0</v>
      </c>
      <c r="EO102" s="57">
        <f>IF($CS$400,0,IF(EXACT(CG102,CO102),0,1))</f>
        <v>0</v>
      </c>
      <c r="EP102" s="57">
        <f>IF($CS$4&lt;&gt;3,0,IF(AND(CH102=INDEX(settings!$I$19:$P$19,1),LEN(CP102)=0),0,IF(EXACT(CH102,CP102),0,1)))</f>
        <v>0</v>
      </c>
      <c r="EQ102" s="57">
        <f>IF(settings!$C$1100,0,IF(CI102=CQ102,0,1))</f>
        <v>0</v>
      </c>
      <c r="ER102" s="57">
        <f>IF($CS$6=0,0,IF(CJ102=CR102,0,1))</f>
        <v>0</v>
      </c>
      <c r="ES102" s="57">
        <f>IF($CS$6&lt;2,0,IF(CK102=CS102,0,1))</f>
        <v>0</v>
      </c>
      <c r="ET102" s="57">
        <f>IF(DR103&lt;37,0,IF(CL102=CT102,0,1))</f>
        <v>0</v>
      </c>
      <c r="EU102" s="57">
        <f>IF(CD102,0,SUM(EM102:ET102))</f>
        <v>0</v>
      </c>
      <c r="FB102">
        <f>IF(DH102&lt;FH97,FH97,DH102)</f>
        <v>1</v>
      </c>
      <c r="FC102">
        <f>FC99+1</f>
        <v>2</v>
      </c>
      <c r="FD102">
        <f>FD99</f>
        <v>1</v>
      </c>
      <c r="FE102">
        <f>IF(CD102,CP102,IF(FB102&gt;FI97,FI97,FB102))</f>
        <v>1</v>
      </c>
      <c r="FG102">
        <f>IF(CD102,FE102,IF(FE102&lt;=FH99,FE102,IF(FH99&lt;0,0,FH99)))</f>
        <v>1</v>
      </c>
      <c r="FH102">
        <f>FG97-SUM(FG98:FG102)-SUM(FD103:FD123)+FH97</f>
        <v>73</v>
      </c>
      <c r="FI102" t="b">
        <f>FG102&lt;&gt;AJ102</f>
        <v>1</v>
      </c>
    </row>
    <row r="103" spans="2:165" ht="12" customHeight="1" x14ac:dyDescent="0.2">
      <c r="C103" s="57"/>
      <c r="D103" s="57"/>
      <c r="F103" s="57"/>
      <c r="G103" s="57"/>
      <c r="H103" s="66"/>
      <c r="I103" s="67"/>
      <c r="J103" s="66"/>
      <c r="K103" s="67"/>
      <c r="L103" s="211"/>
      <c r="M103" s="211"/>
      <c r="N103" s="212"/>
      <c r="O103" s="212"/>
      <c r="Q103" s="57"/>
      <c r="R103" s="218"/>
      <c r="S103" s="70"/>
      <c r="T103" s="516" t="str">
        <f>IF(CZ103,zeichen_gesperrt,"")</f>
        <v/>
      </c>
      <c r="U103" s="473"/>
      <c r="V103" s="474" t="s">
        <v>551</v>
      </c>
      <c r="W103" s="474"/>
      <c r="X103" s="489"/>
      <c r="Y103" s="490"/>
      <c r="Z103" s="491"/>
      <c r="AA103" s="475"/>
      <c r="AB103" s="476"/>
      <c r="AC103" s="226" t="s">
        <v>583</v>
      </c>
      <c r="AD103" s="477"/>
      <c r="AE103" s="478"/>
      <c r="AF103" s="467"/>
      <c r="AG103" s="469"/>
      <c r="AH103" s="471"/>
      <c r="AI103" s="463"/>
      <c r="AJ103" s="463"/>
      <c r="AK103" s="465"/>
      <c r="AL103" s="223"/>
      <c r="AM103" s="628"/>
      <c r="AN103" s="628"/>
      <c r="AO103" s="629"/>
      <c r="AP103" s="420"/>
      <c r="AQ103" s="420"/>
      <c r="AR103" s="421"/>
      <c r="AS103" s="108"/>
      <c r="AT103" s="70"/>
      <c r="AU103" s="220" t="str">
        <f ca="1">IF(AND(ED102&gt;0,EE102&gt;-1,EK102=1),"Ungültiger Sieger",IF(EL102,"Sieger fehlt!",""))</f>
        <v/>
      </c>
      <c r="AV103" s="70"/>
      <c r="AW103" s="70"/>
      <c r="AX103" s="70"/>
      <c r="AY103" s="70"/>
      <c r="AZ103" s="70"/>
      <c r="BA103" s="70"/>
      <c r="BB103" s="221"/>
      <c r="BC103" s="221"/>
      <c r="BD103" s="221"/>
      <c r="BE103" s="221"/>
      <c r="BF103" s="438"/>
      <c r="BG103" s="440"/>
      <c r="BH103" s="433"/>
      <c r="BI103" s="517"/>
      <c r="BJ103" s="518"/>
      <c r="BK103" s="518"/>
      <c r="BL103" s="518"/>
      <c r="BM103" s="518"/>
      <c r="BN103" s="518"/>
      <c r="BO103" s="518"/>
      <c r="BP103" s="518"/>
      <c r="BQ103" s="518"/>
      <c r="BR103" s="70"/>
      <c r="BU103" s="355" t="b">
        <f ca="1">IF(LEN(AA103)=0,FALSE,ISERROR(MATCH(AA103,OFFSET($U$326:$U$349,0,Q102*2),0)))</f>
        <v>0</v>
      </c>
      <c r="BV103" s="356" t="b">
        <f ca="1">IF(LEN(AD103)=0,FALSE,ISERROR(MATCH(AD103,OFFSET($V$326:$V$349,0,Q102*2),0)))</f>
        <v>0</v>
      </c>
      <c r="BW103" s="222"/>
      <c r="BX103" t="b">
        <f>VLOOKUP(BT102,$BU$175:$CA$190,6,FALSE)&lt;&gt;BV102</f>
        <v>0</v>
      </c>
      <c r="BY103" t="b">
        <f>VLOOKUP(BT102,$BU$175:$CA$190,7,FALSE)&lt;&gt;BW102</f>
        <v>0</v>
      </c>
      <c r="BZ103" s="227" t="str">
        <f ca="1">IF(EJ102&lt;=0," ",IF(EJ102=1,AA103,AD103))</f>
        <v xml:space="preserve"> </v>
      </c>
      <c r="CA103" s="227" t="str">
        <f ca="1">IF(EJ102&lt;=0," ",IF(EJ102=1,AD103,AA103))</f>
        <v xml:space="preserve"> </v>
      </c>
      <c r="DF103" s="137"/>
      <c r="DG103" s="137"/>
      <c r="DL103" t="s">
        <v>613</v>
      </c>
      <c r="DM103" t="s">
        <v>639</v>
      </c>
      <c r="DN103">
        <f t="shared" si="111"/>
        <v>0</v>
      </c>
      <c r="DO103">
        <f>IF(DN103=0,0,INDEX(daten!$N$9:$N$32,DN103))</f>
        <v>0</v>
      </c>
      <c r="DV103" s="223"/>
      <c r="DW103" s="224"/>
      <c r="DX103" s="224"/>
      <c r="DY103" s="225"/>
      <c r="EC103" s="62"/>
      <c r="EF103" s="62"/>
    </row>
    <row r="104" spans="2:165" ht="3.9" customHeight="1" x14ac:dyDescent="0.2">
      <c r="C104" s="57"/>
      <c r="D104" s="57"/>
      <c r="F104" s="57"/>
      <c r="G104" s="57"/>
      <c r="H104" s="66"/>
      <c r="I104" s="67"/>
      <c r="J104" s="66"/>
      <c r="K104" s="67"/>
      <c r="L104" s="211"/>
      <c r="M104" s="211"/>
      <c r="N104" s="212"/>
      <c r="O104" s="212"/>
      <c r="Q104" s="57"/>
      <c r="R104" s="218"/>
      <c r="S104" s="70"/>
      <c r="T104" s="228"/>
      <c r="U104" s="359"/>
      <c r="V104" s="360"/>
      <c r="W104" s="360"/>
      <c r="X104" s="361"/>
      <c r="Y104" s="361"/>
      <c r="Z104" s="362"/>
      <c r="AA104" s="229"/>
      <c r="AB104" s="229"/>
      <c r="AC104" s="229"/>
      <c r="AD104" s="229"/>
      <c r="AE104" s="229"/>
      <c r="AF104" s="230"/>
      <c r="AG104" s="231"/>
      <c r="AH104" s="230"/>
      <c r="AI104" s="224"/>
      <c r="AJ104" s="224"/>
      <c r="AK104" s="224"/>
      <c r="AL104" s="231"/>
      <c r="AM104" s="231"/>
      <c r="AN104" s="231"/>
      <c r="AO104" s="217"/>
      <c r="AP104" s="231"/>
      <c r="AQ104" s="231"/>
      <c r="AR104" s="101"/>
      <c r="AS104" s="108"/>
      <c r="AT104" s="70"/>
      <c r="AU104" s="70"/>
      <c r="AV104" s="70"/>
      <c r="AW104" s="70"/>
      <c r="AX104" s="70"/>
      <c r="AY104" s="70"/>
      <c r="AZ104" s="70"/>
      <c r="BA104" s="70"/>
      <c r="BB104" s="71"/>
      <c r="BC104" s="71"/>
      <c r="BD104" s="71"/>
      <c r="BE104" s="71"/>
      <c r="BF104" s="70"/>
      <c r="BG104" s="70"/>
      <c r="BH104" s="89"/>
      <c r="BI104" s="232"/>
      <c r="BJ104" s="71"/>
      <c r="BK104" s="70"/>
      <c r="BL104" s="70"/>
      <c r="BM104" s="70"/>
      <c r="BN104" s="70"/>
      <c r="BO104" s="70"/>
      <c r="BP104" s="70"/>
      <c r="BQ104" s="70"/>
      <c r="BR104" s="70"/>
      <c r="BV104" s="222"/>
      <c r="BW104" s="222"/>
      <c r="DF104" s="137"/>
      <c r="DG104" s="137"/>
      <c r="DL104" t="s">
        <v>613</v>
      </c>
      <c r="DM104" t="s">
        <v>641</v>
      </c>
      <c r="DN104">
        <f t="shared" si="111"/>
        <v>0</v>
      </c>
      <c r="DO104">
        <f>IF(DN104=0,0,INDEX(daten!$N$9:$N$32,DN104))</f>
        <v>0</v>
      </c>
      <c r="DV104" s="231"/>
      <c r="DW104" s="231"/>
      <c r="DX104" s="231"/>
      <c r="DY104" s="217"/>
      <c r="EC104" s="62"/>
      <c r="EF104" s="62"/>
    </row>
    <row r="105" spans="2:165" ht="10.199999999999999" customHeight="1" x14ac:dyDescent="0.2">
      <c r="B105">
        <v>39</v>
      </c>
      <c r="C105" s="57" t="b">
        <f>INDEX(tabber!$O$395:$O$402,R105)</f>
        <v>0</v>
      </c>
      <c r="D105" s="57" t="b">
        <f>INDEX(tabber!$P$395:$P$402,R105)</f>
        <v>0</v>
      </c>
      <c r="E105" t="s">
        <v>413</v>
      </c>
      <c r="F105" s="57">
        <f>INDEX(tabber!$L$407:$L$414,B105-36)</f>
        <v>9</v>
      </c>
      <c r="G105" s="57">
        <f>INDEX(tabber!$M$407:$M$414,B105-36)</f>
        <v>15</v>
      </c>
      <c r="H105" s="66">
        <f>INDEX(tabbermsp!$J$395:$J$402,$R105)</f>
        <v>9</v>
      </c>
      <c r="I105" s="67">
        <f>INDEX(tabbermsp!$K$395:$K$402,$R105)</f>
        <v>15</v>
      </c>
      <c r="J105" s="66">
        <f>H105</f>
        <v>9</v>
      </c>
      <c r="K105" s="67">
        <f>I105</f>
        <v>15</v>
      </c>
      <c r="L105" s="211">
        <f ca="1">IF(EJ105&lt;=0,0,INDEX(H105:I105,EJ105))</f>
        <v>0</v>
      </c>
      <c r="M105" s="211">
        <f ca="1">IF(EJ105&lt;=0,0,IF(INDEX(C105:D105,EJ105)=TRUE,INDEX(F105:G105,EJ105),0))</f>
        <v>0</v>
      </c>
      <c r="N105" s="212">
        <f ca="1">IF(L105=0,0,IF(L105=H105,I105,IF(L105=I105,H105,0)))</f>
        <v>0</v>
      </c>
      <c r="O105" s="212">
        <f ca="1">IF(M105=0,0,IF(M105=F105,G105,IF(M105=G105,F105,0)))</f>
        <v>0</v>
      </c>
      <c r="Q105" s="57">
        <v>3</v>
      </c>
      <c r="R105" s="218">
        <v>7</v>
      </c>
      <c r="S105" s="70"/>
      <c r="T105" s="516" t="str">
        <f>IF(CZ105,zeichen_gesperrt,"")</f>
        <v/>
      </c>
      <c r="U105" s="472" t="s">
        <v>413</v>
      </c>
      <c r="V105" s="357" t="s">
        <v>730</v>
      </c>
      <c r="W105" s="358">
        <v>0.75</v>
      </c>
      <c r="X105" s="486" t="str">
        <f>"Real: "&amp;VLOOKUP(BT105,$A$6:$F$20,3,FALSE)&amp;"  :  "&amp;VLOOKUP(BT105,$A$6:$F$20,4,FALSE)&amp;CHAR(10)&amp;"Tipp: "&amp;VLOOKUP(BT105,$A$6:$F$20,5,FALSE)&amp;"  :  "&amp;VLOOKUP(BT105,$A$6:$F$20,6,FALSE)</f>
        <v>Real: SLO  :  AUT
Tipp: SLO  :  AUT</v>
      </c>
      <c r="Y105" s="487"/>
      <c r="Z105" s="488"/>
      <c r="AA105" s="492" t="str">
        <f>INDEX(daten!$K$95:$K$110,Q105)</f>
        <v>1. C</v>
      </c>
      <c r="AB105" s="479"/>
      <c r="AC105" s="219" t="s">
        <v>583</v>
      </c>
      <c r="AD105" s="479" t="str">
        <f>INDEX(daten!$L$95:$L$110,Q105)</f>
        <v>DEF</v>
      </c>
      <c r="AE105" s="479"/>
      <c r="AF105" s="466"/>
      <c r="AG105" s="468" t="s">
        <v>583</v>
      </c>
      <c r="AH105" s="470"/>
      <c r="AI105" s="462"/>
      <c r="AJ105" s="462"/>
      <c r="AK105" s="464" t="s">
        <v>411</v>
      </c>
      <c r="AL105" s="223"/>
      <c r="AM105" s="628"/>
      <c r="AN105" s="628"/>
      <c r="AO105" s="629"/>
      <c r="AP105" s="418"/>
      <c r="AQ105" s="418"/>
      <c r="AR105" s="419"/>
      <c r="AS105" s="108"/>
      <c r="AT105" s="70"/>
      <c r="AU105" s="220" t="str">
        <f ca="1">IF(EH105=0,"",INDEX($DL$21:$DL$24,EH105))</f>
        <v/>
      </c>
      <c r="AV105" s="70"/>
      <c r="AW105" s="70"/>
      <c r="AX105" s="70"/>
      <c r="AY105" s="70"/>
      <c r="AZ105" s="70"/>
      <c r="BA105" s="70"/>
      <c r="BB105" s="221"/>
      <c r="BC105" s="221"/>
      <c r="BD105" s="221"/>
      <c r="BE105" s="221"/>
      <c r="BF105" s="437"/>
      <c r="BG105" s="439" t="s">
        <v>583</v>
      </c>
      <c r="BH105" s="432"/>
      <c r="BI105" s="517"/>
      <c r="BJ105" s="518"/>
      <c r="BK105" s="518"/>
      <c r="BL105" s="518"/>
      <c r="BM105" s="518"/>
      <c r="BN105" s="518"/>
      <c r="BO105" s="518"/>
      <c r="BP105" s="518"/>
      <c r="BQ105" s="518"/>
      <c r="BR105" s="70"/>
      <c r="BT105" t="s">
        <v>413</v>
      </c>
      <c r="BU105">
        <f>IF(COUNT(BF105,BH105)&lt;&gt;2,-1,IF(BF105&gt;BH105,1,IF(BF105&lt;BH105,2,0)))</f>
        <v>-1</v>
      </c>
      <c r="BV105" s="222">
        <f>IF(LEN(AA106)=0,0,IF(ISERROR(MATCH(AA106,teamsmitk,0)),0,MATCH(AA106,teamsmitk,0)))</f>
        <v>0</v>
      </c>
      <c r="BW105" s="222">
        <f>IF(LEN(AD106)=0,0,IF(ISERROR(MATCH(AD106,teamsmitk,0)),0,MATCH(AD106,teamsmitk,0)))</f>
        <v>0</v>
      </c>
      <c r="BZ105" t="b">
        <f>IF($AH$4,VLOOKUP(B105,$B$6:$P$13,14,FALSE),C105)</f>
        <v>0</v>
      </c>
      <c r="CA105" t="b">
        <f>IF($AH$4,VLOOKUP(B105,$B$6:$P$13,15,FALSE),D105)</f>
        <v>0</v>
      </c>
      <c r="CC105">
        <v>39</v>
      </c>
      <c r="CD105" t="b">
        <v>0</v>
      </c>
      <c r="CE105" s="216" t="str">
        <f>IF(CD105,IF(COUNT(CM105:CN105)=2,ABS(CM105),""),IF(COUNT(AF105,AH105)=2,ABS(AF105),""))</f>
        <v/>
      </c>
      <c r="CF105" s="216" t="str">
        <f>IF(CD105,IF(COUNT(CM105:CN105)=2,ABS(CN105),""),IF(COUNT(AF105,AH105)=2,ABS(AH105),""))</f>
        <v/>
      </c>
      <c r="CG105" s="138">
        <f>IF(SUM($CV$99:$CV$120)&gt;0,CO105,IF($CS$4&lt;&gt;1,CO105,IF(AND(LEN(AI105)&gt;0,NOT(DC105),$CS$4=1),1,0)))</f>
        <v>0</v>
      </c>
      <c r="CH105" s="138">
        <f>IF(OR(CD105,$CS$4&lt;&gt;3),CP105,ABS(VALUE(FG105)))</f>
        <v>0</v>
      </c>
      <c r="CI105" s="138">
        <f>IF(OR(CD105,CY105,NOT(CX105)),CQ105,IF(LEN(AK105)=0,0,IF(AK105=$CV$4,1,IF(AK105=$CV$5,2,0))))</f>
        <v>0</v>
      </c>
      <c r="CJ105" s="138">
        <f>IF(OR(CD105,$CS$6=0),CR105,IF(AND($CS$6&gt;1,CK105&gt;0),1,IF($CS$6=2,CR105,IF(EF105="EW",1,0))))</f>
        <v>0</v>
      </c>
      <c r="CK105" s="138">
        <f>IF(OR(CD105,$CS$6&lt;2),CS105,EI105)</f>
        <v>0</v>
      </c>
      <c r="CL105" s="138">
        <f ca="1">IF(OR(CD105,EK105=1),CT105,ED105)</f>
        <v>0</v>
      </c>
      <c r="CO105">
        <v>0</v>
      </c>
      <c r="CP105">
        <v>0</v>
      </c>
      <c r="CQ105">
        <v>0</v>
      </c>
      <c r="CR105">
        <v>0</v>
      </c>
      <c r="CS105">
        <v>0</v>
      </c>
      <c r="CT105">
        <v>0</v>
      </c>
      <c r="CV105">
        <f>IF(AND(CO105=1,CD105),1,0)</f>
        <v>0</v>
      </c>
      <c r="CX105" t="b">
        <f>AND($CS$5=1,COUNT(CE105:CF105)=2,CE105&lt;&gt;CF105)</f>
        <v>0</v>
      </c>
      <c r="CY105" t="b">
        <f>IF(LEN(AK105)=0,FALSE,IF(COUNT(CE105:CF105)&lt;&gt;2,TRUE,IF(AND(CX105,AK105=$CV$4,ABS(CE105-CF105)&gt;=2),FALSE,IF(AND(CX105,AK105=$CV$5,ABS(CE105-CF105)&gt;=3),FALSE,TRUE))))</f>
        <v>0</v>
      </c>
      <c r="CZ105" t="b">
        <v>0</v>
      </c>
      <c r="DA105">
        <f>IF(SUM($CV$99:$CV$120)&gt;0,CO105,IF(AND(LEN(AI105)&gt;0),1,0))</f>
        <v>0</v>
      </c>
      <c r="DB105">
        <f>SUM($DA$97:$DA105)</f>
        <v>0</v>
      </c>
      <c r="DC105" t="b">
        <f>OR(AND(DA105=1,OR(DB105&gt;1,$CS$4=3)))</f>
        <v>0</v>
      </c>
      <c r="DE105">
        <v>4</v>
      </c>
      <c r="DF105" s="137">
        <v>1</v>
      </c>
      <c r="DG105" s="137">
        <v>15</v>
      </c>
      <c r="DH105">
        <f>IF(NOT(ISNUMBER(AJ105)),DF105,IF(LEN(AJ105)=0,DF105,IF(AJ105&gt;DG105,DG105,IF(AJ105&lt;DF105,DF105,AJ105))))</f>
        <v>1</v>
      </c>
      <c r="DL105" t="s">
        <v>608</v>
      </c>
      <c r="DM105" t="s">
        <v>643</v>
      </c>
      <c r="DN105">
        <f t="shared" si="111"/>
        <v>0</v>
      </c>
      <c r="DO105">
        <f>IF(DN105=0,0,INDEX(daten!$N$9:$N$32,DN105))</f>
        <v>0</v>
      </c>
      <c r="DV105" s="223"/>
      <c r="DW105" s="224"/>
      <c r="DX105" s="224"/>
      <c r="DY105" s="225"/>
      <c r="EA105" t="b">
        <f ca="1">AU106="Ungültiger Sieger"</f>
        <v>0</v>
      </c>
      <c r="EB105" t="b">
        <f ca="1">AND($CS$6&gt;0,EF105&lt;&gt;0,EH105&gt;0)</f>
        <v>0</v>
      </c>
      <c r="EC105" s="62">
        <f>AP105</f>
        <v>0</v>
      </c>
      <c r="ED105" s="56">
        <f ca="1">IF(CC105&lt;37,0,IF(LEN(EC105)=0,0,IF(ISERROR(MATCH(EC105,OFFSET($CR$15:$CR$16,0,CC105-36),0)),0,MATCH(EC105,OFFSET($CR$15:$CR$16,0,CC105-36),0))))</f>
        <v>0</v>
      </c>
      <c r="EE105" s="57">
        <f>IF(COUNT(CE105:CF105)&lt;&gt;2,-1,IF(CE105&gt;CF105,1,IF(CE105&lt;CF105,2,0)))</f>
        <v>-1</v>
      </c>
      <c r="EF105" s="62">
        <f>AM105</f>
        <v>0</v>
      </c>
      <c r="EG105">
        <f ca="1">IF(CC105&lt;37,0,IF(LEN(EF105)=0,0,IF(ISERROR(MATCH(EF105,OFFSET($CR$15:$CR$16,0,CC105-37),0)),0,MATCH(EF105,OFFSET($CR$15:$CR$16,0,CC105-37),0))))</f>
        <v>0</v>
      </c>
      <c r="EH105">
        <f ca="1">IF(AND(EE105&lt;&gt;-1,settings!$C$29,EG105=0),4,IF(OR(CC105&lt;37,NOT($EH$31),$CS$6&lt;2,AND(EF105&lt;&gt;"EW",EG105=0)),0,IF(EE105=-1,1,IF(AND(EE105=0,$EH$28&lt;&gt;0),2,IF(AND(EE105&gt;0,$EH$28=0),2,IF(AND(EE105&gt;0,EG105&lt;&gt;EE105),3,0))))))</f>
        <v>0</v>
      </c>
      <c r="EI105">
        <f ca="1">IF(EH105=0,EG105,CS105)</f>
        <v>0</v>
      </c>
      <c r="EJ105">
        <f ca="1">IF(EE105&gt;0,EE105,IF(AND(EI105&gt;0,settings!$C$29=0),EI105,IF(ED105&gt;0,ED105,IF(EI105&gt;0,EI105,EE105))))</f>
        <v>-1</v>
      </c>
      <c r="EK105">
        <f ca="1">IF(AND(ED105&gt;0,ED105&lt;&gt;EJ105),1,0)</f>
        <v>0</v>
      </c>
      <c r="EL105" t="b">
        <f ca="1">AND(EE105&gt;-1,$EL$37,EJ105&lt;=0)</f>
        <v>0</v>
      </c>
      <c r="EM105" s="57">
        <f>IF(EXACT(CE105,CM105),0,1)</f>
        <v>0</v>
      </c>
      <c r="EN105" s="57">
        <f>IF(EXACT(CF105,CN105),0,1)</f>
        <v>0</v>
      </c>
      <c r="EO105" s="57">
        <f>IF($CS$400,0,IF(EXACT(CG105,CO105),0,1))</f>
        <v>0</v>
      </c>
      <c r="EP105" s="57">
        <f>IF($CS$4&lt;&gt;3,0,IF(AND(CH105=INDEX(settings!$I$19:$P$19,1),LEN(CP105)=0),0,IF(EXACT(CH105,CP105),0,1)))</f>
        <v>0</v>
      </c>
      <c r="EQ105" s="57">
        <f>IF(settings!$C$1100,0,IF(CI105=CQ105,0,1))</f>
        <v>0</v>
      </c>
      <c r="ER105" s="57">
        <f>IF($CS$6=0,0,IF(CJ105=CR105,0,1))</f>
        <v>0</v>
      </c>
      <c r="ES105" s="57">
        <f>IF($CS$6&lt;2,0,IF(CK105=CS105,0,1))</f>
        <v>0</v>
      </c>
      <c r="ET105" s="57">
        <f>IF(DR106&lt;37,0,IF(CL105=CT105,0,1))</f>
        <v>0</v>
      </c>
      <c r="EU105" s="57">
        <f>IF(CD105,0,SUM(EM105:ET105))</f>
        <v>0</v>
      </c>
      <c r="FB105">
        <f>IF(DH105&lt;FH97,FH97,DH105)</f>
        <v>1</v>
      </c>
      <c r="FC105">
        <f>FC102+1</f>
        <v>3</v>
      </c>
      <c r="FD105">
        <f>FD102</f>
        <v>1</v>
      </c>
      <c r="FE105">
        <f>IF(CD105,CP105,IF(FB105&gt;FI97,FI97,FB105))</f>
        <v>1</v>
      </c>
      <c r="FG105">
        <f>IF(CD105,FE105,IF(FE105&lt;=FH102,FE105,IF(FH102&lt;0,0,FH102)))</f>
        <v>1</v>
      </c>
      <c r="FH105">
        <f>FG97-SUM(FG98:FG105)-SUM(FD106:FD123)+FH97</f>
        <v>73</v>
      </c>
      <c r="FI105" t="b">
        <f>FG105&lt;&gt;AJ105</f>
        <v>1</v>
      </c>
    </row>
    <row r="106" spans="2:165" ht="12" customHeight="1" x14ac:dyDescent="0.2">
      <c r="C106" s="57"/>
      <c r="D106" s="57"/>
      <c r="F106" s="57"/>
      <c r="G106" s="57"/>
      <c r="H106" s="66"/>
      <c r="I106" s="67"/>
      <c r="J106" s="66"/>
      <c r="K106" s="67"/>
      <c r="L106" s="211"/>
      <c r="M106" s="211"/>
      <c r="N106" s="212"/>
      <c r="O106" s="212"/>
      <c r="Q106" s="57"/>
      <c r="R106" s="218"/>
      <c r="S106" s="70"/>
      <c r="T106" s="516" t="str">
        <f>IF(CZ106,zeichen_gesperrt,"")</f>
        <v/>
      </c>
      <c r="U106" s="473"/>
      <c r="V106" s="474" t="s">
        <v>552</v>
      </c>
      <c r="W106" s="474"/>
      <c r="X106" s="489"/>
      <c r="Y106" s="490"/>
      <c r="Z106" s="491"/>
      <c r="AA106" s="475"/>
      <c r="AB106" s="476"/>
      <c r="AC106" s="226" t="s">
        <v>583</v>
      </c>
      <c r="AD106" s="477"/>
      <c r="AE106" s="478"/>
      <c r="AF106" s="467"/>
      <c r="AG106" s="469"/>
      <c r="AH106" s="471"/>
      <c r="AI106" s="463"/>
      <c r="AJ106" s="463"/>
      <c r="AK106" s="465"/>
      <c r="AL106" s="223"/>
      <c r="AM106" s="628"/>
      <c r="AN106" s="628"/>
      <c r="AO106" s="629"/>
      <c r="AP106" s="420"/>
      <c r="AQ106" s="420"/>
      <c r="AR106" s="421"/>
      <c r="AS106" s="108"/>
      <c r="AT106" s="70"/>
      <c r="AU106" s="220" t="str">
        <f ca="1">IF(AND(ED105&gt;0,EE105&gt;-1,EK105=1),"Ungültiger Sieger",IF(EL105,"Sieger fehlt!",""))</f>
        <v/>
      </c>
      <c r="AV106" s="70"/>
      <c r="AW106" s="70"/>
      <c r="AX106" s="70"/>
      <c r="AY106" s="70"/>
      <c r="AZ106" s="70"/>
      <c r="BA106" s="70"/>
      <c r="BB106" s="221"/>
      <c r="BC106" s="221"/>
      <c r="BD106" s="221"/>
      <c r="BE106" s="221"/>
      <c r="BF106" s="438"/>
      <c r="BG106" s="440"/>
      <c r="BH106" s="433"/>
      <c r="BI106" s="517"/>
      <c r="BJ106" s="518"/>
      <c r="BK106" s="518"/>
      <c r="BL106" s="518"/>
      <c r="BM106" s="518"/>
      <c r="BN106" s="518"/>
      <c r="BO106" s="518"/>
      <c r="BP106" s="518"/>
      <c r="BQ106" s="518"/>
      <c r="BR106" s="70"/>
      <c r="BU106" s="355" t="b">
        <f ca="1">IF(LEN(AA106)=0,FALSE,ISERROR(MATCH(AA106,OFFSET($U$326:$U$349,0,Q105*2),0)))</f>
        <v>0</v>
      </c>
      <c r="BV106" s="356" t="b">
        <f ca="1">IF(LEN(AD106)=0,FALSE,ISERROR(MATCH(AD106,OFFSET($V$326:$V$349,0,Q105*2),0)))</f>
        <v>0</v>
      </c>
      <c r="BW106" s="222"/>
      <c r="BX106" t="b">
        <f>VLOOKUP(BT105,$BU$175:$CA$190,6,FALSE)&lt;&gt;BV105</f>
        <v>0</v>
      </c>
      <c r="BY106" t="b">
        <f>VLOOKUP(BT105,$BU$175:$CA$190,7,FALSE)&lt;&gt;BW105</f>
        <v>0</v>
      </c>
      <c r="BZ106" s="227" t="str">
        <f ca="1">IF(EJ105&lt;=0," ",IF(EJ105=1,AA106,AD106))</f>
        <v xml:space="preserve"> </v>
      </c>
      <c r="CA106" s="227" t="str">
        <f ca="1">IF(EJ105&lt;=0," ",IF(EJ105=1,AD106,AA106))</f>
        <v xml:space="preserve"> </v>
      </c>
      <c r="DF106" s="137"/>
      <c r="DG106" s="137"/>
      <c r="DL106" t="s">
        <v>608</v>
      </c>
      <c r="DM106" t="s">
        <v>646</v>
      </c>
      <c r="DN106">
        <f t="shared" si="111"/>
        <v>0</v>
      </c>
      <c r="DO106">
        <f>IF(DN106=0,0,INDEX(daten!$N$9:$N$32,DN106))</f>
        <v>0</v>
      </c>
      <c r="DV106" s="223"/>
      <c r="DW106" s="224"/>
      <c r="DX106" s="224"/>
      <c r="DY106" s="225"/>
      <c r="EC106" s="62"/>
      <c r="EF106" s="62"/>
    </row>
    <row r="107" spans="2:165" ht="3.9" customHeight="1" x14ac:dyDescent="0.2">
      <c r="C107" s="57"/>
      <c r="D107" s="57"/>
      <c r="F107" s="57"/>
      <c r="G107" s="57"/>
      <c r="H107" s="66"/>
      <c r="I107" s="67"/>
      <c r="J107" s="66"/>
      <c r="K107" s="67"/>
      <c r="L107" s="211"/>
      <c r="M107" s="211"/>
      <c r="N107" s="212"/>
      <c r="O107" s="212"/>
      <c r="Q107" s="57"/>
      <c r="R107" s="218"/>
      <c r="S107" s="70"/>
      <c r="T107" s="228"/>
      <c r="U107" s="359"/>
      <c r="V107" s="360"/>
      <c r="W107" s="360"/>
      <c r="X107" s="361"/>
      <c r="Y107" s="361"/>
      <c r="Z107" s="362"/>
      <c r="AA107" s="229"/>
      <c r="AB107" s="229"/>
      <c r="AC107" s="229"/>
      <c r="AD107" s="229"/>
      <c r="AE107" s="229"/>
      <c r="AF107" s="230"/>
      <c r="AG107" s="231"/>
      <c r="AH107" s="230"/>
      <c r="AI107" s="224"/>
      <c r="AJ107" s="224"/>
      <c r="AK107" s="224"/>
      <c r="AL107" s="231"/>
      <c r="AM107" s="231"/>
      <c r="AN107" s="231"/>
      <c r="AO107" s="217"/>
      <c r="AP107" s="231"/>
      <c r="AQ107" s="231"/>
      <c r="AR107" s="101"/>
      <c r="AS107" s="108"/>
      <c r="AT107" s="70"/>
      <c r="AU107" s="70"/>
      <c r="AV107" s="70"/>
      <c r="AW107" s="70"/>
      <c r="AX107" s="70"/>
      <c r="AY107" s="70"/>
      <c r="AZ107" s="70"/>
      <c r="BA107" s="70"/>
      <c r="BB107" s="71"/>
      <c r="BC107" s="71"/>
      <c r="BD107" s="71"/>
      <c r="BE107" s="71"/>
      <c r="BF107" s="70"/>
      <c r="BG107" s="70"/>
      <c r="BH107" s="89"/>
      <c r="BI107" s="232"/>
      <c r="BJ107" s="71"/>
      <c r="BK107" s="70"/>
      <c r="BL107" s="70"/>
      <c r="BM107" s="70"/>
      <c r="BN107" s="70"/>
      <c r="BO107" s="70"/>
      <c r="BP107" s="70"/>
      <c r="BQ107" s="70"/>
      <c r="BR107" s="70"/>
      <c r="BV107" s="222"/>
      <c r="BW107" s="222"/>
      <c r="DF107" s="137"/>
      <c r="DG107" s="137"/>
      <c r="DL107" t="s">
        <v>608</v>
      </c>
      <c r="DM107" t="s">
        <v>648</v>
      </c>
      <c r="DN107">
        <f t="shared" si="111"/>
        <v>0</v>
      </c>
      <c r="DO107">
        <f>IF(DN107=0,0,INDEX(daten!$N$9:$N$32,DN107))</f>
        <v>0</v>
      </c>
      <c r="DV107" s="231"/>
      <c r="DW107" s="231"/>
      <c r="DX107" s="231"/>
      <c r="DY107" s="217"/>
      <c r="EC107" s="62"/>
      <c r="EF107" s="62"/>
    </row>
    <row r="108" spans="2:165" ht="10.199999999999999" customHeight="1" x14ac:dyDescent="0.2">
      <c r="B108">
        <v>40</v>
      </c>
      <c r="C108" s="57" t="b">
        <f>INDEX(tabber!$O$395:$O$402,R108)</f>
        <v>0</v>
      </c>
      <c r="D108" s="57" t="b">
        <f>INDEX(tabber!$P$395:$P$402,R108)</f>
        <v>0</v>
      </c>
      <c r="E108" t="s">
        <v>415</v>
      </c>
      <c r="F108" s="57">
        <f>INDEX(tabber!$L$407:$L$414,B108-36)</f>
        <v>5</v>
      </c>
      <c r="G108" s="57">
        <f>INDEX(tabber!$M$407:$M$414,B108-36)</f>
        <v>3</v>
      </c>
      <c r="H108" s="66">
        <f>INDEX(tabbermsp!$J$395:$J$402,$R108)</f>
        <v>5</v>
      </c>
      <c r="I108" s="67">
        <f>INDEX(tabbermsp!$K$395:$K$402,$R108)</f>
        <v>3</v>
      </c>
      <c r="J108" s="66">
        <f>H108</f>
        <v>5</v>
      </c>
      <c r="K108" s="67">
        <f>I108</f>
        <v>3</v>
      </c>
      <c r="L108" s="211">
        <f ca="1">IF(EJ108&lt;=0,0,INDEX(H108:I108,EJ108))</f>
        <v>0</v>
      </c>
      <c r="M108" s="211">
        <f ca="1">IF(EJ108&lt;=0,0,IF(INDEX(C108:D108,EJ108)=TRUE,INDEX(F108:G108,EJ108),0))</f>
        <v>0</v>
      </c>
      <c r="N108" s="212">
        <f ca="1">IF(L108=0,0,IF(L108=H108,I108,IF(L108=I108,H108,0)))</f>
        <v>0</v>
      </c>
      <c r="O108" s="212">
        <f ca="1">IF(M108=0,0,IF(M108=F108,G108,IF(M108=G108,F108,0)))</f>
        <v>0</v>
      </c>
      <c r="Q108" s="57">
        <v>4</v>
      </c>
      <c r="R108" s="218">
        <v>1</v>
      </c>
      <c r="S108" s="70"/>
      <c r="T108" s="516" t="str">
        <f>IF(CZ108,zeichen_gesperrt,"")</f>
        <v/>
      </c>
      <c r="U108" s="472" t="s">
        <v>415</v>
      </c>
      <c r="V108" s="357" t="s">
        <v>730</v>
      </c>
      <c r="W108" s="358">
        <v>0.875</v>
      </c>
      <c r="X108" s="486" t="str">
        <f>"Real: "&amp;VLOOKUP(BT108,$A$6:$F$20,3,FALSE)&amp;"  :  "&amp;VLOOKUP(BT108,$A$6:$F$20,4,FALSE)&amp;CHAR(10)&amp;"Tipp: "&amp;VLOOKUP(BT108,$A$6:$F$20,5,FALSE)&amp;"  :  "&amp;VLOOKUP(BT108,$A$6:$F$20,6,FALSE)</f>
        <v>Real: ESP  :  HUN
Tipp: ESP  :  HUN</v>
      </c>
      <c r="Y108" s="487"/>
      <c r="Z108" s="488"/>
      <c r="AA108" s="492" t="str">
        <f>INDEX(daten!$K$95:$K$110,Q108)</f>
        <v>1. B</v>
      </c>
      <c r="AB108" s="479"/>
      <c r="AC108" s="219" t="s">
        <v>583</v>
      </c>
      <c r="AD108" s="479" t="str">
        <f>INDEX(daten!$L$95:$L$110,Q108)</f>
        <v>ADEF</v>
      </c>
      <c r="AE108" s="479"/>
      <c r="AF108" s="466"/>
      <c r="AG108" s="468" t="s">
        <v>583</v>
      </c>
      <c r="AH108" s="470"/>
      <c r="AI108" s="462"/>
      <c r="AJ108" s="462"/>
      <c r="AK108" s="464" t="s">
        <v>411</v>
      </c>
      <c r="AL108" s="223"/>
      <c r="AM108" s="628"/>
      <c r="AN108" s="628"/>
      <c r="AO108" s="629"/>
      <c r="AP108" s="418"/>
      <c r="AQ108" s="418"/>
      <c r="AR108" s="419"/>
      <c r="AS108" s="108"/>
      <c r="AT108" s="70"/>
      <c r="AU108" s="220" t="str">
        <f ca="1">IF(EH108=0,"",INDEX($DL$21:$DL$24,EH108))</f>
        <v/>
      </c>
      <c r="AV108" s="70"/>
      <c r="AW108" s="70"/>
      <c r="AX108" s="70"/>
      <c r="AY108" s="70"/>
      <c r="AZ108" s="70"/>
      <c r="BA108" s="70"/>
      <c r="BB108" s="221"/>
      <c r="BC108" s="221"/>
      <c r="BD108" s="221"/>
      <c r="BE108" s="221"/>
      <c r="BF108" s="437"/>
      <c r="BG108" s="439" t="s">
        <v>583</v>
      </c>
      <c r="BH108" s="432"/>
      <c r="BI108" s="517"/>
      <c r="BJ108" s="518"/>
      <c r="BK108" s="518"/>
      <c r="BL108" s="518"/>
      <c r="BM108" s="518"/>
      <c r="BN108" s="518"/>
      <c r="BO108" s="518"/>
      <c r="BP108" s="518"/>
      <c r="BQ108" s="518"/>
      <c r="BR108" s="70"/>
      <c r="BT108" t="s">
        <v>415</v>
      </c>
      <c r="BU108">
        <f>IF(COUNT(BF108,BH108)&lt;&gt;2,-1,IF(BF108&gt;BH108,1,IF(BF108&lt;BH108,2,0)))</f>
        <v>-1</v>
      </c>
      <c r="BV108" s="222">
        <f>IF(LEN(AA109)=0,0,IF(ISERROR(MATCH(AA109,teamsmitk,0)),0,MATCH(AA109,teamsmitk,0)))</f>
        <v>0</v>
      </c>
      <c r="BW108" s="222">
        <f>IF(LEN(AD109)=0,0,IF(ISERROR(MATCH(AD109,teamsmitk,0)),0,MATCH(AD109,teamsmitk,0)))</f>
        <v>0</v>
      </c>
      <c r="BZ108" t="b">
        <f>IF($AH$4,VLOOKUP(B108,$B$6:$P$13,14,FALSE),C108)</f>
        <v>0</v>
      </c>
      <c r="CA108" t="b">
        <f>IF($AH$4,VLOOKUP(B108,$B$6:$P$13,15,FALSE),D108)</f>
        <v>0</v>
      </c>
      <c r="CC108">
        <v>40</v>
      </c>
      <c r="CD108" t="b">
        <v>0</v>
      </c>
      <c r="CE108" s="216" t="str">
        <f>IF(CD108,IF(COUNT(CM108:CN108)=2,ABS(CM108),""),IF(COUNT(AF108,AH108)=2,ABS(AF108),""))</f>
        <v/>
      </c>
      <c r="CF108" s="216" t="str">
        <f>IF(CD108,IF(COUNT(CM108:CN108)=2,ABS(CN108),""),IF(COUNT(AF108,AH108)=2,ABS(AH108),""))</f>
        <v/>
      </c>
      <c r="CG108" s="138">
        <f>IF(SUM($CV$99:$CV$120)&gt;0,CO108,IF($CS$4&lt;&gt;1,CO108,IF(AND(LEN(AI108)&gt;0,NOT(DC108),$CS$4=1),1,0)))</f>
        <v>0</v>
      </c>
      <c r="CH108" s="138">
        <f>IF(OR(CD108,$CS$4&lt;&gt;3),CP108,ABS(VALUE(FG108)))</f>
        <v>0</v>
      </c>
      <c r="CI108" s="138">
        <f>IF(OR(CD108,CY108,NOT(CX108)),CQ108,IF(LEN(AK108)=0,0,IF(AK108=$CV$4,1,IF(AK108=$CV$5,2,0))))</f>
        <v>0</v>
      </c>
      <c r="CJ108" s="138">
        <f>IF(OR(CD108,$CS$6=0),CR108,IF(AND($CS$6&gt;1,CK108&gt;0),1,IF($CS$6=2,CR108,IF(EF108="EW",1,0))))</f>
        <v>0</v>
      </c>
      <c r="CK108" s="138">
        <f>IF(OR(CD108,$CS$6&lt;2),CS108,EI108)</f>
        <v>0</v>
      </c>
      <c r="CL108" s="138">
        <f ca="1">IF(OR(CD108,EK108=1),CT108,ED108)</f>
        <v>0</v>
      </c>
      <c r="CO108">
        <v>0</v>
      </c>
      <c r="CP108">
        <v>0</v>
      </c>
      <c r="CQ108">
        <v>0</v>
      </c>
      <c r="CR108">
        <v>0</v>
      </c>
      <c r="CS108">
        <v>0</v>
      </c>
      <c r="CT108">
        <v>0</v>
      </c>
      <c r="CV108">
        <f>IF(AND(CO108=1,CD108),1,0)</f>
        <v>0</v>
      </c>
      <c r="CX108" t="b">
        <f>AND($CS$5=1,COUNT(CE108:CF108)=2,CE108&lt;&gt;CF108)</f>
        <v>0</v>
      </c>
      <c r="CY108" t="b">
        <f>IF(LEN(AK108)=0,FALSE,IF(COUNT(CE108:CF108)&lt;&gt;2,TRUE,IF(AND(CX108,AK108=$CV$4,ABS(CE108-CF108)&gt;=2),FALSE,IF(AND(CX108,AK108=$CV$5,ABS(CE108-CF108)&gt;=3),FALSE,TRUE))))</f>
        <v>0</v>
      </c>
      <c r="CZ108" t="b">
        <v>0</v>
      </c>
      <c r="DA108">
        <f>IF(SUM($CV$99:$CV$120)&gt;0,CO108,IF(AND(LEN(AI108)&gt;0),1,0))</f>
        <v>0</v>
      </c>
      <c r="DB108">
        <f>SUM($DA$97:$DA108)</f>
        <v>0</v>
      </c>
      <c r="DC108" t="b">
        <f>OR(AND(DA108=1,OR(DB108&gt;1,$CS$4=3)))</f>
        <v>0</v>
      </c>
      <c r="DE108">
        <v>4</v>
      </c>
      <c r="DF108" s="137">
        <v>1</v>
      </c>
      <c r="DG108" s="137">
        <v>15</v>
      </c>
      <c r="DH108">
        <f>IF(NOT(ISNUMBER(AJ108)),DF108,IF(LEN(AJ108)=0,DF108,IF(AJ108&gt;DG108,DG108,IF(AJ108&lt;DF108,DF108,AJ108))))</f>
        <v>1</v>
      </c>
      <c r="DL108" t="s">
        <v>608</v>
      </c>
      <c r="DM108" t="s">
        <v>650</v>
      </c>
      <c r="DN108">
        <f t="shared" si="111"/>
        <v>0</v>
      </c>
      <c r="DO108">
        <f>IF(DN108=0,0,INDEX(daten!$N$9:$N$32,DN108))</f>
        <v>0</v>
      </c>
      <c r="DV108" s="223"/>
      <c r="DW108" s="224"/>
      <c r="DX108" s="224"/>
      <c r="DY108" s="225"/>
      <c r="EA108" t="b">
        <f ca="1">AU109="Ungültiger Sieger"</f>
        <v>0</v>
      </c>
      <c r="EB108" t="b">
        <f ca="1">AND($CS$6&gt;0,EF108&lt;&gt;0,EH108&gt;0)</f>
        <v>0</v>
      </c>
      <c r="EC108" s="62">
        <f>AP108</f>
        <v>0</v>
      </c>
      <c r="ED108" s="56">
        <f ca="1">IF(CC108&lt;37,0,IF(LEN(EC108)=0,0,IF(ISERROR(MATCH(EC108,OFFSET($CR$15:$CR$16,0,CC108-36),0)),0,MATCH(EC108,OFFSET($CR$15:$CR$16,0,CC108-36),0))))</f>
        <v>0</v>
      </c>
      <c r="EE108" s="57">
        <f>IF(COUNT(CE108:CF108)&lt;&gt;2,-1,IF(CE108&gt;CF108,1,IF(CE108&lt;CF108,2,0)))</f>
        <v>-1</v>
      </c>
      <c r="EF108" s="62">
        <f>AM108</f>
        <v>0</v>
      </c>
      <c r="EG108">
        <f ca="1">IF(CC108&lt;37,0,IF(LEN(EF108)=0,0,IF(ISERROR(MATCH(EF108,OFFSET($CR$15:$CR$16,0,CC108-37),0)),0,MATCH(EF108,OFFSET($CR$15:$CR$16,0,CC108-37),0))))</f>
        <v>0</v>
      </c>
      <c r="EH108">
        <f ca="1">IF(AND(EE108&lt;&gt;-1,settings!$C$29,EG108=0),4,IF(OR(CC108&lt;37,NOT($EH$31),$CS$6&lt;2,AND(EF108&lt;&gt;"EW",EG108=0)),0,IF(EE108=-1,1,IF(AND(EE108=0,$EH$28&lt;&gt;0),2,IF(AND(EE108&gt;0,$EH$28=0),2,IF(AND(EE108&gt;0,EG108&lt;&gt;EE108),3,0))))))</f>
        <v>0</v>
      </c>
      <c r="EI108">
        <f ca="1">IF(EH108=0,EG108,CS108)</f>
        <v>0</v>
      </c>
      <c r="EJ108">
        <f ca="1">IF(EE108&gt;0,EE108,IF(AND(EI108&gt;0,settings!$C$29=0),EI108,IF(ED108&gt;0,ED108,IF(EI108&gt;0,EI108,EE108))))</f>
        <v>-1</v>
      </c>
      <c r="EK108">
        <f ca="1">IF(AND(ED108&gt;0,ED108&lt;&gt;EJ108),1,0)</f>
        <v>0</v>
      </c>
      <c r="EL108" t="b">
        <f ca="1">AND(EE108&gt;-1,$EL$37,EJ108&lt;=0)</f>
        <v>0</v>
      </c>
      <c r="EM108" s="57">
        <f>IF(EXACT(CE108,CM108),0,1)</f>
        <v>0</v>
      </c>
      <c r="EN108" s="57">
        <f>IF(EXACT(CF108,CN108),0,1)</f>
        <v>0</v>
      </c>
      <c r="EO108" s="57">
        <f>IF($CS$400,0,IF(EXACT(CG108,CO108),0,1))</f>
        <v>0</v>
      </c>
      <c r="EP108" s="57">
        <f>IF($CS$4&lt;&gt;3,0,IF(AND(CH108=INDEX(settings!$I$19:$P$19,1),LEN(CP108)=0),0,IF(EXACT(CH108,CP108),0,1)))</f>
        <v>0</v>
      </c>
      <c r="EQ108" s="57">
        <f>IF(settings!$C$1100,0,IF(CI108=CQ108,0,1))</f>
        <v>0</v>
      </c>
      <c r="ER108" s="57">
        <f>IF($CS$6=0,0,IF(CJ108=CR108,0,1))</f>
        <v>0</v>
      </c>
      <c r="ES108" s="57">
        <f>IF($CS$6&lt;2,0,IF(CK108=CS108,0,1))</f>
        <v>0</v>
      </c>
      <c r="ET108" s="57">
        <f>IF(DR109&lt;37,0,IF(CL108=CT108,0,1))</f>
        <v>0</v>
      </c>
      <c r="EU108" s="57">
        <f>IF(CD108,0,SUM(EM108:ET108))</f>
        <v>0</v>
      </c>
      <c r="FB108">
        <f>IF(DH108&lt;FH97,FH97,DH108)</f>
        <v>1</v>
      </c>
      <c r="FC108">
        <f>FC105+1</f>
        <v>4</v>
      </c>
      <c r="FD108">
        <f>FD105</f>
        <v>1</v>
      </c>
      <c r="FE108">
        <f>IF(CD108,CP108,IF(FB108&gt;FI97,FI97,FB108))</f>
        <v>1</v>
      </c>
      <c r="FG108">
        <f>IF(CD108,FE108,IF(FE108&lt;=FH105,FE108,IF(FH105&lt;0,0,FH105)))</f>
        <v>1</v>
      </c>
      <c r="FH108">
        <f>FG97-SUM(FG98:FG108)-SUM(FD109:FD123)+FH97</f>
        <v>73</v>
      </c>
      <c r="FI108" t="b">
        <f>FG108&lt;&gt;AJ108</f>
        <v>1</v>
      </c>
    </row>
    <row r="109" spans="2:165" ht="12" customHeight="1" x14ac:dyDescent="0.2">
      <c r="C109" s="57"/>
      <c r="D109" s="57"/>
      <c r="F109" s="57"/>
      <c r="G109" s="57"/>
      <c r="H109" s="66"/>
      <c r="I109" s="67"/>
      <c r="J109" s="66"/>
      <c r="K109" s="67"/>
      <c r="L109" s="211"/>
      <c r="M109" s="211"/>
      <c r="N109" s="212"/>
      <c r="O109" s="212"/>
      <c r="Q109" s="57"/>
      <c r="R109" s="218"/>
      <c r="S109" s="70"/>
      <c r="T109" s="516" t="str">
        <f>IF(CZ109,zeichen_gesperrt,"")</f>
        <v/>
      </c>
      <c r="U109" s="473"/>
      <c r="V109" s="474" t="s">
        <v>553</v>
      </c>
      <c r="W109" s="474"/>
      <c r="X109" s="489"/>
      <c r="Y109" s="490"/>
      <c r="Z109" s="491"/>
      <c r="AA109" s="475"/>
      <c r="AB109" s="476"/>
      <c r="AC109" s="226" t="s">
        <v>583</v>
      </c>
      <c r="AD109" s="477"/>
      <c r="AE109" s="478"/>
      <c r="AF109" s="467"/>
      <c r="AG109" s="469"/>
      <c r="AH109" s="471"/>
      <c r="AI109" s="463"/>
      <c r="AJ109" s="463"/>
      <c r="AK109" s="465"/>
      <c r="AL109" s="223"/>
      <c r="AM109" s="628"/>
      <c r="AN109" s="628"/>
      <c r="AO109" s="629"/>
      <c r="AP109" s="420"/>
      <c r="AQ109" s="420"/>
      <c r="AR109" s="421"/>
      <c r="AS109" s="108"/>
      <c r="AT109" s="70"/>
      <c r="AU109" s="220" t="str">
        <f ca="1">IF(AND(ED108&gt;0,EE108&gt;-1,EK108=1),"Ungültiger Sieger",IF(EL108,"Sieger fehlt!",""))</f>
        <v/>
      </c>
      <c r="AV109" s="70"/>
      <c r="AW109" s="70"/>
      <c r="AX109" s="70"/>
      <c r="AY109" s="70"/>
      <c r="AZ109" s="70"/>
      <c r="BA109" s="70"/>
      <c r="BB109" s="221"/>
      <c r="BC109" s="221"/>
      <c r="BD109" s="221"/>
      <c r="BE109" s="221"/>
      <c r="BF109" s="438"/>
      <c r="BG109" s="440"/>
      <c r="BH109" s="433"/>
      <c r="BI109" s="517"/>
      <c r="BJ109" s="518"/>
      <c r="BK109" s="518"/>
      <c r="BL109" s="518"/>
      <c r="BM109" s="518"/>
      <c r="BN109" s="518"/>
      <c r="BO109" s="518"/>
      <c r="BP109" s="518"/>
      <c r="BQ109" s="518"/>
      <c r="BR109" s="70"/>
      <c r="BU109" s="355" t="b">
        <f ca="1">IF(LEN(AA109)=0,FALSE,ISERROR(MATCH(AA109,OFFSET($U$326:$U$349,0,Q108*2),0)))</f>
        <v>0</v>
      </c>
      <c r="BV109" s="356" t="b">
        <f ca="1">IF(LEN(AD109)=0,FALSE,ISERROR(MATCH(AD109,OFFSET($V$326:$V$349,0,Q108*2),0)))</f>
        <v>0</v>
      </c>
      <c r="BW109" s="222"/>
      <c r="BX109" t="b">
        <f>VLOOKUP(BT108,$BU$175:$CA$190,6,FALSE)&lt;&gt;BV108</f>
        <v>0</v>
      </c>
      <c r="BY109" t="b">
        <f>VLOOKUP(BT108,$BU$175:$CA$190,7,FALSE)&lt;&gt;BW108</f>
        <v>0</v>
      </c>
      <c r="BZ109" s="227" t="str">
        <f ca="1">IF(EJ108&lt;=0," ",IF(EJ108=1,AA109,AD109))</f>
        <v xml:space="preserve"> </v>
      </c>
      <c r="CA109" s="227" t="str">
        <f ca="1">IF(EJ108&lt;=0," ",IF(EJ108=1,AD109,AA109))</f>
        <v xml:space="preserve"> </v>
      </c>
      <c r="DF109" s="137"/>
      <c r="DG109" s="137"/>
      <c r="DL109" t="s">
        <v>487</v>
      </c>
      <c r="DM109" t="s">
        <v>652</v>
      </c>
      <c r="DN109">
        <f t="shared" si="111"/>
        <v>0</v>
      </c>
      <c r="DO109">
        <f>IF(DN109=0,0,INDEX(daten!$N$9:$N$32,DN109))</f>
        <v>0</v>
      </c>
      <c r="DV109" s="223"/>
      <c r="DW109" s="224"/>
      <c r="DX109" s="224"/>
      <c r="DY109" s="225"/>
      <c r="EC109" s="62"/>
      <c r="EF109" s="62"/>
    </row>
    <row r="110" spans="2:165" ht="3.9" customHeight="1" x14ac:dyDescent="0.2">
      <c r="C110" s="57"/>
      <c r="D110" s="57"/>
      <c r="F110" s="57"/>
      <c r="G110" s="57"/>
      <c r="H110" s="66"/>
      <c r="I110" s="67"/>
      <c r="J110" s="66"/>
      <c r="K110" s="67"/>
      <c r="L110" s="211"/>
      <c r="M110" s="211"/>
      <c r="N110" s="212"/>
      <c r="O110" s="212"/>
      <c r="Q110" s="57"/>
      <c r="R110" s="218"/>
      <c r="S110" s="70"/>
      <c r="T110" s="228"/>
      <c r="U110" s="359"/>
      <c r="V110" s="360"/>
      <c r="W110" s="360"/>
      <c r="X110" s="361"/>
      <c r="Y110" s="361"/>
      <c r="Z110" s="362"/>
      <c r="AA110" s="229"/>
      <c r="AB110" s="229"/>
      <c r="AC110" s="229"/>
      <c r="AD110" s="229"/>
      <c r="AE110" s="229"/>
      <c r="AF110" s="230"/>
      <c r="AG110" s="231"/>
      <c r="AH110" s="230"/>
      <c r="AI110" s="224"/>
      <c r="AJ110" s="224"/>
      <c r="AK110" s="224"/>
      <c r="AL110" s="231"/>
      <c r="AM110" s="231"/>
      <c r="AN110" s="231"/>
      <c r="AO110" s="217"/>
      <c r="AP110" s="231"/>
      <c r="AQ110" s="231"/>
      <c r="AR110" s="101"/>
      <c r="AS110" s="108"/>
      <c r="AT110" s="70"/>
      <c r="AU110" s="70"/>
      <c r="AV110" s="70"/>
      <c r="AW110" s="70"/>
      <c r="AX110" s="70"/>
      <c r="AY110" s="70"/>
      <c r="AZ110" s="70"/>
      <c r="BA110" s="70"/>
      <c r="BB110" s="71"/>
      <c r="BC110" s="71"/>
      <c r="BD110" s="71"/>
      <c r="BE110" s="71"/>
      <c r="BF110" s="70"/>
      <c r="BG110" s="70"/>
      <c r="BH110" s="89"/>
      <c r="BI110" s="232"/>
      <c r="BJ110" s="71"/>
      <c r="BK110" s="70"/>
      <c r="BL110" s="70"/>
      <c r="BM110" s="70"/>
      <c r="BN110" s="70"/>
      <c r="BO110" s="70"/>
      <c r="BP110" s="70"/>
      <c r="BQ110" s="70"/>
      <c r="BR110" s="70"/>
      <c r="BV110" s="222"/>
      <c r="BW110" s="222"/>
      <c r="DF110" s="137"/>
      <c r="DG110" s="137"/>
      <c r="DL110" t="s">
        <v>487</v>
      </c>
      <c r="DM110" t="s">
        <v>654</v>
      </c>
      <c r="DN110">
        <f t="shared" si="111"/>
        <v>0</v>
      </c>
      <c r="DO110">
        <f>IF(DN110=0,0,INDEX(daten!$N$9:$N$32,DN110))</f>
        <v>0</v>
      </c>
      <c r="DV110" s="231"/>
      <c r="DW110" s="231"/>
      <c r="DX110" s="231"/>
      <c r="DY110" s="217"/>
      <c r="EC110" s="62"/>
      <c r="EF110" s="62"/>
    </row>
    <row r="111" spans="2:165" ht="10.199999999999999" customHeight="1" x14ac:dyDescent="0.2">
      <c r="B111">
        <v>41</v>
      </c>
      <c r="C111" s="57" t="b">
        <f>INDEX(tabber!$O$395:$O$402,R111)</f>
        <v>0</v>
      </c>
      <c r="D111" s="57" t="b">
        <f>INDEX(tabber!$P$395:$P$402,R111)</f>
        <v>0</v>
      </c>
      <c r="E111" t="s">
        <v>417</v>
      </c>
      <c r="F111" s="57">
        <f>INDEX(tabber!$L$407:$L$414,B111-36)</f>
        <v>14</v>
      </c>
      <c r="G111" s="57">
        <f>INDEX(tabber!$M$407:$M$414,B111-36)</f>
        <v>18</v>
      </c>
      <c r="H111" s="66">
        <f>INDEX(tabbermsp!$J$395:$J$402,$R111)</f>
        <v>14</v>
      </c>
      <c r="I111" s="67">
        <f>INDEX(tabbermsp!$K$395:$K$402,$R111)</f>
        <v>18</v>
      </c>
      <c r="J111" s="66">
        <f>H111</f>
        <v>14</v>
      </c>
      <c r="K111" s="67">
        <f>I111</f>
        <v>18</v>
      </c>
      <c r="L111" s="211">
        <f ca="1">IF(EJ111&lt;=0,0,INDEX(H111:I111,EJ111))</f>
        <v>0</v>
      </c>
      <c r="M111" s="211">
        <f ca="1">IF(EJ111&lt;=0,0,IF(INDEX(C111:D111,EJ111)=TRUE,INDEX(F111:G111,EJ111),0))</f>
        <v>0</v>
      </c>
      <c r="N111" s="212">
        <f ca="1">IF(L111=0,0,IF(L111=H111,I111,IF(L111=I111,H111,0)))</f>
        <v>0</v>
      </c>
      <c r="O111" s="212">
        <f ca="1">IF(M111=0,0,IF(M111=F111,G111,IF(M111=G111,F111,0)))</f>
        <v>0</v>
      </c>
      <c r="Q111" s="57">
        <v>5</v>
      </c>
      <c r="R111" s="218">
        <v>4</v>
      </c>
      <c r="S111" s="70"/>
      <c r="T111" s="516" t="str">
        <f>IF(CZ111,zeichen_gesperrt,"")</f>
        <v/>
      </c>
      <c r="U111" s="472" t="s">
        <v>417</v>
      </c>
      <c r="V111" s="357" t="s">
        <v>554</v>
      </c>
      <c r="W111" s="358">
        <v>0.75</v>
      </c>
      <c r="X111" s="486" t="str">
        <f>"Real: "&amp;VLOOKUP(BT111,$A$6:$F$20,3,FALSE)&amp;"  :  "&amp;VLOOKUP(BT111,$A$6:$F$20,4,FALSE)&amp;CHAR(10)&amp;"Tipp: "&amp;VLOOKUP(BT111,$A$6:$F$20,5,FALSE)&amp;"  :  "&amp;VLOOKUP(BT111,$A$6:$F$20,6,FALSE)</f>
        <v>Real: NED  :  SVK
Tipp: NED  :  SVK</v>
      </c>
      <c r="Y111" s="487"/>
      <c r="Z111" s="488"/>
      <c r="AA111" s="492" t="str">
        <f>INDEX(daten!$K$95:$K$110,Q111)</f>
        <v>2. D</v>
      </c>
      <c r="AB111" s="479"/>
      <c r="AC111" s="219" t="s">
        <v>583</v>
      </c>
      <c r="AD111" s="479" t="str">
        <f>INDEX(daten!$L$95:$L$110,Q111)</f>
        <v>2. E</v>
      </c>
      <c r="AE111" s="479"/>
      <c r="AF111" s="466"/>
      <c r="AG111" s="468" t="s">
        <v>583</v>
      </c>
      <c r="AH111" s="470"/>
      <c r="AI111" s="462"/>
      <c r="AJ111" s="462"/>
      <c r="AK111" s="464" t="s">
        <v>411</v>
      </c>
      <c r="AL111" s="223"/>
      <c r="AM111" s="628"/>
      <c r="AN111" s="628"/>
      <c r="AO111" s="629"/>
      <c r="AP111" s="418"/>
      <c r="AQ111" s="418"/>
      <c r="AR111" s="419"/>
      <c r="AS111" s="108"/>
      <c r="AT111" s="70"/>
      <c r="AU111" s="220" t="str">
        <f ca="1">IF(EH111=0,"",INDEX($DL$21:$DL$24,EH111))</f>
        <v/>
      </c>
      <c r="AV111" s="70"/>
      <c r="AW111" s="70"/>
      <c r="AX111" s="70"/>
      <c r="AY111" s="70"/>
      <c r="AZ111" s="70"/>
      <c r="BA111" s="70"/>
      <c r="BB111" s="221"/>
      <c r="BC111" s="221"/>
      <c r="BD111" s="221"/>
      <c r="BE111" s="221"/>
      <c r="BF111" s="437"/>
      <c r="BG111" s="439" t="s">
        <v>583</v>
      </c>
      <c r="BH111" s="432"/>
      <c r="BI111" s="517"/>
      <c r="BJ111" s="518"/>
      <c r="BK111" s="518"/>
      <c r="BL111" s="518"/>
      <c r="BM111" s="518"/>
      <c r="BN111" s="518"/>
      <c r="BO111" s="518"/>
      <c r="BP111" s="518"/>
      <c r="BQ111" s="518"/>
      <c r="BR111" s="70"/>
      <c r="BT111" t="s">
        <v>417</v>
      </c>
      <c r="BU111">
        <f>IF(COUNT(BF111,BH111)&lt;&gt;2,-1,IF(BF111&gt;BH111,1,IF(BF111&lt;BH111,2,0)))</f>
        <v>-1</v>
      </c>
      <c r="BV111" s="222">
        <f>IF(LEN(AA112)=0,0,IF(ISERROR(MATCH(AA112,teamsmitk,0)),0,MATCH(AA112,teamsmitk,0)))</f>
        <v>0</v>
      </c>
      <c r="BW111" s="222">
        <f>IF(LEN(AD112)=0,0,IF(ISERROR(MATCH(AD112,teamsmitk,0)),0,MATCH(AD112,teamsmitk,0)))</f>
        <v>0</v>
      </c>
      <c r="BZ111" t="b">
        <f>IF($AH$4,VLOOKUP(B111,$B$6:$P$13,14,FALSE),C111)</f>
        <v>0</v>
      </c>
      <c r="CA111" t="b">
        <f>IF($AH$4,VLOOKUP(B111,$B$6:$P$13,15,FALSE),D111)</f>
        <v>0</v>
      </c>
      <c r="CC111">
        <v>41</v>
      </c>
      <c r="CD111" t="b">
        <v>0</v>
      </c>
      <c r="CE111" s="216" t="str">
        <f>IF(CD111,IF(COUNT(CM111:CN111)=2,ABS(CM111),""),IF(COUNT(AF111,AH111)=2,ABS(AF111),""))</f>
        <v/>
      </c>
      <c r="CF111" s="216" t="str">
        <f>IF(CD111,IF(COUNT(CM111:CN111)=2,ABS(CN111),""),IF(COUNT(AF111,AH111)=2,ABS(AH111),""))</f>
        <v/>
      </c>
      <c r="CG111" s="138">
        <f>IF(SUM($CV$99:$CV$120)&gt;0,CO111,IF($CS$4&lt;&gt;1,CO111,IF(AND(LEN(AI111)&gt;0,NOT(DC111),$CS$4=1),1,0)))</f>
        <v>0</v>
      </c>
      <c r="CH111" s="138">
        <f>IF(OR(CD111,$CS$4&lt;&gt;3),CP111,ABS(VALUE(FG111)))</f>
        <v>0</v>
      </c>
      <c r="CI111" s="138">
        <f>IF(OR(CD111,CY111,NOT(CX111)),CQ111,IF(LEN(AK111)=0,0,IF(AK111=$CV$4,1,IF(AK111=$CV$5,2,0))))</f>
        <v>0</v>
      </c>
      <c r="CJ111" s="138">
        <f>IF(OR(CD111,$CS$6=0),CR111,IF(AND($CS$6&gt;1,CK111&gt;0),1,IF($CS$6=2,CR111,IF(EF111="EW",1,0))))</f>
        <v>0</v>
      </c>
      <c r="CK111" s="138">
        <f>IF(OR(CD111,$CS$6&lt;2),CS111,EI111)</f>
        <v>0</v>
      </c>
      <c r="CL111" s="138">
        <f ca="1">IF(OR(CD111,EK111=1),CT111,ED111)</f>
        <v>0</v>
      </c>
      <c r="CO111">
        <v>0</v>
      </c>
      <c r="CP111">
        <v>0</v>
      </c>
      <c r="CQ111">
        <v>0</v>
      </c>
      <c r="CR111">
        <v>0</v>
      </c>
      <c r="CS111">
        <v>0</v>
      </c>
      <c r="CT111">
        <v>0</v>
      </c>
      <c r="CV111">
        <f>IF(AND(CO111=1,CD111),1,0)</f>
        <v>0</v>
      </c>
      <c r="CX111" t="b">
        <f>AND($CS$5=1,COUNT(CE111:CF111)=2,CE111&lt;&gt;CF111)</f>
        <v>0</v>
      </c>
      <c r="CY111" t="b">
        <f>IF(LEN(AK111)=0,FALSE,IF(COUNT(CE111:CF111)&lt;&gt;2,TRUE,IF(AND(CX111,AK111=$CV$4,ABS(CE111-CF111)&gt;=2),FALSE,IF(AND(CX111,AK111=$CV$5,ABS(CE111-CF111)&gt;=3),FALSE,TRUE))))</f>
        <v>0</v>
      </c>
      <c r="CZ111" t="b">
        <v>0</v>
      </c>
      <c r="DA111">
        <f>IF(SUM($CV$99:$CV$120)&gt;0,CO111,IF(AND(LEN(AI111)&gt;0),1,0))</f>
        <v>0</v>
      </c>
      <c r="DB111">
        <f>SUM($DA$97:$DA111)</f>
        <v>0</v>
      </c>
      <c r="DC111" t="b">
        <f>OR(AND(DA111=1,OR(DB111&gt;1,$CS$4=3)))</f>
        <v>0</v>
      </c>
      <c r="DE111">
        <v>4</v>
      </c>
      <c r="DF111" s="137">
        <v>1</v>
      </c>
      <c r="DG111" s="137">
        <v>15</v>
      </c>
      <c r="DH111">
        <f>IF(NOT(ISNUMBER(AJ111)),DF111,IF(LEN(AJ111)=0,DF111,IF(AJ111&gt;DG111,DG111,IF(AJ111&lt;DF111,DF111,AJ111))))</f>
        <v>1</v>
      </c>
      <c r="DL111" t="s">
        <v>487</v>
      </c>
      <c r="DM111" t="s">
        <v>657</v>
      </c>
      <c r="DN111">
        <f t="shared" si="111"/>
        <v>0</v>
      </c>
      <c r="DO111">
        <f>IF(DN111=0,0,INDEX(daten!$N$9:$N$32,DN111))</f>
        <v>0</v>
      </c>
      <c r="DV111" s="223"/>
      <c r="DW111" s="224"/>
      <c r="DX111" s="224"/>
      <c r="DY111" s="225"/>
      <c r="EA111" t="b">
        <f ca="1">AU112="Ungültiger Sieger"</f>
        <v>0</v>
      </c>
      <c r="EB111" t="b">
        <f ca="1">AND($CS$6&gt;0,EF111&lt;&gt;0,EH111&gt;0)</f>
        <v>0</v>
      </c>
      <c r="EC111" s="62">
        <f>AP111</f>
        <v>0</v>
      </c>
      <c r="ED111" s="56">
        <f ca="1">IF(CC111&lt;37,0,IF(LEN(EC111)=0,0,IF(ISERROR(MATCH(EC111,OFFSET($CR$15:$CR$16,0,CC111-36),0)),0,MATCH(EC111,OFFSET($CR$15:$CR$16,0,CC111-36),0))))</f>
        <v>0</v>
      </c>
      <c r="EE111" s="57">
        <f>IF(COUNT(CE111:CF111)&lt;&gt;2,-1,IF(CE111&gt;CF111,1,IF(CE111&lt;CF111,2,0)))</f>
        <v>-1</v>
      </c>
      <c r="EF111" s="62">
        <f>AM111</f>
        <v>0</v>
      </c>
      <c r="EG111">
        <f ca="1">IF(CC111&lt;37,0,IF(LEN(EF111)=0,0,IF(ISERROR(MATCH(EF111,OFFSET($CR$15:$CR$16,0,CC111-37),0)),0,MATCH(EF111,OFFSET($CR$15:$CR$16,0,CC111-37),0))))</f>
        <v>0</v>
      </c>
      <c r="EH111">
        <f ca="1">IF(AND(EE111&lt;&gt;-1,settings!$C$29,EG111=0),4,IF(OR(CC111&lt;37,NOT($EH$31),$CS$6&lt;2,AND(EF111&lt;&gt;"EW",EG111=0)),0,IF(EE111=-1,1,IF(AND(EE111=0,$EH$28&lt;&gt;0),2,IF(AND(EE111&gt;0,$EH$28=0),2,IF(AND(EE111&gt;0,EG111&lt;&gt;EE111),3,0))))))</f>
        <v>0</v>
      </c>
      <c r="EI111">
        <f ca="1">IF(EH111=0,EG111,CS111)</f>
        <v>0</v>
      </c>
      <c r="EJ111">
        <f ca="1">IF(EE111&gt;0,EE111,IF(AND(EI111&gt;0,settings!$C$29=0),EI111,IF(ED111&gt;0,ED111,IF(EI111&gt;0,EI111,EE111))))</f>
        <v>-1</v>
      </c>
      <c r="EK111">
        <f ca="1">IF(AND(ED111&gt;0,ED111&lt;&gt;EJ111),1,0)</f>
        <v>0</v>
      </c>
      <c r="EL111" t="b">
        <f ca="1">AND(EE111&gt;-1,$EL$37,EJ111&lt;=0)</f>
        <v>0</v>
      </c>
      <c r="EM111" s="57">
        <f>IF(EXACT(CE111,CM111),0,1)</f>
        <v>0</v>
      </c>
      <c r="EN111" s="57">
        <f>IF(EXACT(CF111,CN111),0,1)</f>
        <v>0</v>
      </c>
      <c r="EO111" s="57">
        <f>IF($CS$400,0,IF(EXACT(CG111,CO111),0,1))</f>
        <v>0</v>
      </c>
      <c r="EP111" s="57">
        <f>IF($CS$4&lt;&gt;3,0,IF(AND(CH111=INDEX(settings!$I$19:$P$19,1),LEN(CP111)=0),0,IF(EXACT(CH111,CP111),0,1)))</f>
        <v>0</v>
      </c>
      <c r="EQ111" s="57">
        <f>IF(settings!$C$1100,0,IF(CI111=CQ111,0,1))</f>
        <v>0</v>
      </c>
      <c r="ER111" s="57">
        <f>IF($CS$6=0,0,IF(CJ111=CR111,0,1))</f>
        <v>0</v>
      </c>
      <c r="ES111" s="57">
        <f>IF($CS$6&lt;2,0,IF(CK111=CS111,0,1))</f>
        <v>0</v>
      </c>
      <c r="ET111" s="57">
        <f>IF(DR112&lt;37,0,IF(CL111=CT111,0,1))</f>
        <v>0</v>
      </c>
      <c r="EU111" s="57">
        <f>IF(CD111,0,SUM(EM111:ET111))</f>
        <v>0</v>
      </c>
      <c r="FB111">
        <f>IF(DH111&lt;FH97,FH97,DH111)</f>
        <v>1</v>
      </c>
      <c r="FC111">
        <f>FC108+1</f>
        <v>5</v>
      </c>
      <c r="FD111">
        <f>FD108</f>
        <v>1</v>
      </c>
      <c r="FE111">
        <f>IF(CD111,CP111,IF(FB111&gt;FI97,FI97,FB111))</f>
        <v>1</v>
      </c>
      <c r="FG111">
        <f>IF(CD111,FE111,IF(FE111&lt;=FH108,FE111,IF(FH108&lt;0,0,FH108)))</f>
        <v>1</v>
      </c>
      <c r="FH111">
        <f>FG97-SUM(FG98:FG111)-SUM(FD112:FD123)+FH97</f>
        <v>73</v>
      </c>
      <c r="FI111" t="b">
        <f>FG111&lt;&gt;AJ111</f>
        <v>1</v>
      </c>
    </row>
    <row r="112" spans="2:165" ht="12" customHeight="1" x14ac:dyDescent="0.2">
      <c r="C112" s="57"/>
      <c r="D112" s="57"/>
      <c r="F112" s="57"/>
      <c r="G112" s="57"/>
      <c r="H112" s="66"/>
      <c r="I112" s="67"/>
      <c r="J112" s="66"/>
      <c r="K112" s="67"/>
      <c r="L112" s="211"/>
      <c r="M112" s="211"/>
      <c r="N112" s="212"/>
      <c r="O112" s="212"/>
      <c r="Q112" s="57"/>
      <c r="R112" s="218"/>
      <c r="S112" s="70"/>
      <c r="T112" s="516" t="str">
        <f>IF(CZ112,zeichen_gesperrt,"")</f>
        <v/>
      </c>
      <c r="U112" s="473"/>
      <c r="V112" s="474" t="s">
        <v>555</v>
      </c>
      <c r="W112" s="474"/>
      <c r="X112" s="489"/>
      <c r="Y112" s="490"/>
      <c r="Z112" s="491"/>
      <c r="AA112" s="475"/>
      <c r="AB112" s="476"/>
      <c r="AC112" s="226" t="s">
        <v>583</v>
      </c>
      <c r="AD112" s="477"/>
      <c r="AE112" s="478"/>
      <c r="AF112" s="467"/>
      <c r="AG112" s="469"/>
      <c r="AH112" s="471"/>
      <c r="AI112" s="463"/>
      <c r="AJ112" s="463"/>
      <c r="AK112" s="465"/>
      <c r="AL112" s="223"/>
      <c r="AM112" s="628"/>
      <c r="AN112" s="628"/>
      <c r="AO112" s="629"/>
      <c r="AP112" s="420"/>
      <c r="AQ112" s="420"/>
      <c r="AR112" s="421"/>
      <c r="AS112" s="108"/>
      <c r="AT112" s="70"/>
      <c r="AU112" s="220" t="str">
        <f ca="1">IF(AND(ED111&gt;0,EE111&gt;-1,EK111=1),"Ungültiger Sieger",IF(EL111,"Sieger fehlt!",""))</f>
        <v/>
      </c>
      <c r="AV112" s="70"/>
      <c r="AW112" s="70"/>
      <c r="AX112" s="70"/>
      <c r="AY112" s="70"/>
      <c r="AZ112" s="70"/>
      <c r="BA112" s="70"/>
      <c r="BB112" s="221"/>
      <c r="BC112" s="221"/>
      <c r="BD112" s="221"/>
      <c r="BE112" s="221"/>
      <c r="BF112" s="438"/>
      <c r="BG112" s="440"/>
      <c r="BH112" s="433"/>
      <c r="BI112" s="517"/>
      <c r="BJ112" s="518"/>
      <c r="BK112" s="518"/>
      <c r="BL112" s="518"/>
      <c r="BM112" s="518"/>
      <c r="BN112" s="518"/>
      <c r="BO112" s="518"/>
      <c r="BP112" s="518"/>
      <c r="BQ112" s="518"/>
      <c r="BR112" s="70"/>
      <c r="BU112" s="355" t="b">
        <f ca="1">IF(LEN(AA112)=0,FALSE,ISERROR(MATCH(AA112,OFFSET($U$326:$U$349,0,Q111*2),0)))</f>
        <v>0</v>
      </c>
      <c r="BV112" s="356" t="b">
        <f ca="1">IF(LEN(AD112)=0,FALSE,ISERROR(MATCH(AD112,OFFSET($V$326:$V$349,0,Q111*2),0)))</f>
        <v>0</v>
      </c>
      <c r="BW112" s="222"/>
      <c r="BX112" t="b">
        <f>VLOOKUP(BT111,$BU$175:$CA$190,6,FALSE)&lt;&gt;BV111</f>
        <v>0</v>
      </c>
      <c r="BY112" t="b">
        <f>VLOOKUP(BT111,$BU$175:$CA$190,7,FALSE)&lt;&gt;BW111</f>
        <v>0</v>
      </c>
      <c r="BZ112" s="227" t="str">
        <f ca="1">IF(EJ111&lt;=0," ",IF(EJ111=1,AA112,AD112))</f>
        <v xml:space="preserve"> </v>
      </c>
      <c r="CA112" s="227" t="str">
        <f ca="1">IF(EJ111&lt;=0," ",IF(EJ111=1,AD112,AA112))</f>
        <v xml:space="preserve"> </v>
      </c>
      <c r="DF112" s="137"/>
      <c r="DG112" s="137"/>
      <c r="DL112" t="s">
        <v>487</v>
      </c>
      <c r="DM112" t="s">
        <v>659</v>
      </c>
      <c r="DN112">
        <f t="shared" si="111"/>
        <v>0</v>
      </c>
      <c r="DO112">
        <f>IF(DN112=0,0,INDEX(daten!$N$9:$N$32,DN112))</f>
        <v>0</v>
      </c>
      <c r="DV112" s="223"/>
      <c r="DW112" s="224"/>
      <c r="DX112" s="224"/>
      <c r="DY112" s="225"/>
      <c r="EC112" s="62"/>
      <c r="EF112" s="62"/>
    </row>
    <row r="113" spans="1:165" ht="3.9" customHeight="1" x14ac:dyDescent="0.2">
      <c r="C113" s="57"/>
      <c r="D113" s="57"/>
      <c r="F113" s="57"/>
      <c r="G113" s="57"/>
      <c r="H113" s="66"/>
      <c r="I113" s="67"/>
      <c r="J113" s="66"/>
      <c r="K113" s="67"/>
      <c r="L113" s="211"/>
      <c r="M113" s="211"/>
      <c r="N113" s="212"/>
      <c r="O113" s="212"/>
      <c r="Q113" s="57"/>
      <c r="R113" s="218"/>
      <c r="S113" s="70"/>
      <c r="T113" s="228"/>
      <c r="U113" s="359"/>
      <c r="V113" s="360"/>
      <c r="W113" s="360"/>
      <c r="X113" s="361"/>
      <c r="Y113" s="361"/>
      <c r="Z113" s="362"/>
      <c r="AA113" s="229"/>
      <c r="AB113" s="229"/>
      <c r="AC113" s="229"/>
      <c r="AD113" s="229"/>
      <c r="AE113" s="229"/>
      <c r="AF113" s="230"/>
      <c r="AG113" s="231"/>
      <c r="AH113" s="230"/>
      <c r="AI113" s="224"/>
      <c r="AJ113" s="224"/>
      <c r="AK113" s="224"/>
      <c r="AL113" s="231"/>
      <c r="AM113" s="231"/>
      <c r="AN113" s="231"/>
      <c r="AO113" s="217"/>
      <c r="AP113" s="231"/>
      <c r="AQ113" s="231"/>
      <c r="AR113" s="101"/>
      <c r="AS113" s="108"/>
      <c r="AT113" s="70"/>
      <c r="AU113" s="70"/>
      <c r="AV113" s="70"/>
      <c r="AW113" s="70"/>
      <c r="AX113" s="70"/>
      <c r="AY113" s="70"/>
      <c r="AZ113" s="70"/>
      <c r="BA113" s="70"/>
      <c r="BB113" s="71"/>
      <c r="BC113" s="71"/>
      <c r="BD113" s="71"/>
      <c r="BE113" s="71"/>
      <c r="BF113" s="70"/>
      <c r="BG113" s="70"/>
      <c r="BH113" s="89"/>
      <c r="BI113" s="232"/>
      <c r="BJ113" s="71"/>
      <c r="BK113" s="70"/>
      <c r="BL113" s="70"/>
      <c r="BM113" s="70"/>
      <c r="BN113" s="70"/>
      <c r="BO113" s="70"/>
      <c r="BP113" s="70"/>
      <c r="BQ113" s="70"/>
      <c r="BR113" s="70"/>
      <c r="BV113" s="222"/>
      <c r="BW113" s="222"/>
      <c r="DF113" s="137"/>
      <c r="DG113" s="137"/>
      <c r="DL113" t="s">
        <v>632</v>
      </c>
      <c r="DM113" t="s">
        <v>661</v>
      </c>
      <c r="DN113">
        <f t="shared" si="111"/>
        <v>0</v>
      </c>
      <c r="DO113">
        <f>IF(DN113=0,0,INDEX(daten!$N$9:$N$32,DN113))</f>
        <v>0</v>
      </c>
      <c r="DV113" s="231"/>
      <c r="DW113" s="231"/>
      <c r="DX113" s="231"/>
      <c r="DY113" s="217"/>
      <c r="EC113" s="62"/>
      <c r="EF113" s="62"/>
    </row>
    <row r="114" spans="1:165" ht="10.199999999999999" customHeight="1" x14ac:dyDescent="0.2">
      <c r="B114">
        <v>42</v>
      </c>
      <c r="C114" s="57" t="b">
        <f>INDEX(tabber!$O$395:$O$402,R114)</f>
        <v>0</v>
      </c>
      <c r="D114" s="57" t="b">
        <f>INDEX(tabber!$P$395:$P$402,R114)</f>
        <v>0</v>
      </c>
      <c r="E114" t="s">
        <v>419</v>
      </c>
      <c r="F114" s="57">
        <f>INDEX(tabber!$L$407:$L$414,B114-36)</f>
        <v>21</v>
      </c>
      <c r="G114" s="57">
        <f>INDEX(tabber!$M$407:$M$414,B114-36)</f>
        <v>11</v>
      </c>
      <c r="H114" s="66">
        <f>INDEX(tabbermsp!$J$395:$J$402,$R114)</f>
        <v>21</v>
      </c>
      <c r="I114" s="67">
        <f>INDEX(tabbermsp!$K$395:$K$402,$R114)</f>
        <v>11</v>
      </c>
      <c r="J114" s="66">
        <f>H114</f>
        <v>21</v>
      </c>
      <c r="K114" s="67">
        <f>I114</f>
        <v>11</v>
      </c>
      <c r="L114" s="211">
        <f ca="1">IF(EJ114&lt;=0,0,INDEX(H114:I114,EJ114))</f>
        <v>0</v>
      </c>
      <c r="M114" s="211">
        <f ca="1">IF(EJ114&lt;=0,0,IF(INDEX(C114:D114,EJ114)=TRUE,INDEX(F114:G114,EJ114),0))</f>
        <v>0</v>
      </c>
      <c r="N114" s="212">
        <f ca="1">IF(L114=0,0,IF(L114=H114,I114,IF(L114=I114,H114,0)))</f>
        <v>0</v>
      </c>
      <c r="O114" s="212">
        <f ca="1">IF(M114=0,0,IF(M114=F114,G114,IF(M114=G114,F114,0)))</f>
        <v>0</v>
      </c>
      <c r="Q114" s="57">
        <v>6</v>
      </c>
      <c r="R114" s="218">
        <v>3</v>
      </c>
      <c r="S114" s="70"/>
      <c r="T114" s="516" t="str">
        <f>IF(CZ114,zeichen_gesperrt,"")</f>
        <v/>
      </c>
      <c r="U114" s="472" t="s">
        <v>419</v>
      </c>
      <c r="V114" s="357" t="s">
        <v>554</v>
      </c>
      <c r="W114" s="358">
        <v>0.875</v>
      </c>
      <c r="X114" s="486" t="str">
        <f>"Real: "&amp;VLOOKUP(BT114,$A$6:$F$20,3,FALSE)&amp;"  :  "&amp;VLOOKUP(BT114,$A$6:$F$20,4,FALSE)&amp;CHAR(10)&amp;"Tipp: "&amp;VLOOKUP(BT114,$A$6:$F$20,5,FALSE)&amp;"  :  "&amp;VLOOKUP(BT114,$A$6:$F$20,6,FALSE)</f>
        <v>Real: TUR  :  SRB
Tipp: TUR  :  SRB</v>
      </c>
      <c r="Y114" s="487"/>
      <c r="Z114" s="488"/>
      <c r="AA114" s="492" t="str">
        <f>INDEX(daten!$K$95:$K$110,Q114)</f>
        <v>1. F</v>
      </c>
      <c r="AB114" s="479"/>
      <c r="AC114" s="219" t="s">
        <v>583</v>
      </c>
      <c r="AD114" s="479" t="str">
        <f>INDEX(daten!$L$95:$L$110,Q114)</f>
        <v>ABC</v>
      </c>
      <c r="AE114" s="479"/>
      <c r="AF114" s="466"/>
      <c r="AG114" s="468" t="s">
        <v>583</v>
      </c>
      <c r="AH114" s="470"/>
      <c r="AI114" s="462"/>
      <c r="AJ114" s="462"/>
      <c r="AK114" s="464" t="s">
        <v>411</v>
      </c>
      <c r="AL114" s="223"/>
      <c r="AM114" s="628"/>
      <c r="AN114" s="628"/>
      <c r="AO114" s="629"/>
      <c r="AP114" s="418"/>
      <c r="AQ114" s="418"/>
      <c r="AR114" s="419"/>
      <c r="AS114" s="108"/>
      <c r="AT114" s="70"/>
      <c r="AU114" s="220" t="str">
        <f ca="1">IF(EH114=0,"",INDEX($DL$21:$DL$24,EH114))</f>
        <v/>
      </c>
      <c r="AV114" s="70"/>
      <c r="AW114" s="70"/>
      <c r="AX114" s="70"/>
      <c r="AY114" s="70"/>
      <c r="AZ114" s="70"/>
      <c r="BA114" s="70"/>
      <c r="BB114" s="221"/>
      <c r="BC114" s="221"/>
      <c r="BD114" s="221"/>
      <c r="BE114" s="221"/>
      <c r="BF114" s="437"/>
      <c r="BG114" s="439" t="s">
        <v>583</v>
      </c>
      <c r="BH114" s="432"/>
      <c r="BI114" s="517"/>
      <c r="BJ114" s="518"/>
      <c r="BK114" s="518"/>
      <c r="BL114" s="518"/>
      <c r="BM114" s="518"/>
      <c r="BN114" s="518"/>
      <c r="BO114" s="518"/>
      <c r="BP114" s="518"/>
      <c r="BQ114" s="518"/>
      <c r="BR114" s="70"/>
      <c r="BT114" t="s">
        <v>419</v>
      </c>
      <c r="BU114">
        <f>IF(COUNT(BF114,BH114)&lt;&gt;2,-1,IF(BF114&gt;BH114,1,IF(BF114&lt;BH114,2,0)))</f>
        <v>-1</v>
      </c>
      <c r="BV114" s="222">
        <f>IF(LEN(AA115)=0,0,IF(ISERROR(MATCH(AA115,teamsmitk,0)),0,MATCH(AA115,teamsmitk,0)))</f>
        <v>0</v>
      </c>
      <c r="BW114" s="222">
        <f>IF(LEN(AD115)=0,0,IF(ISERROR(MATCH(AD115,teamsmitk,0)),0,MATCH(AD115,teamsmitk,0)))</f>
        <v>0</v>
      </c>
      <c r="BZ114" t="b">
        <f>IF($AH$4,VLOOKUP(B114,$B$6:$P$13,14,FALSE),C114)</f>
        <v>0</v>
      </c>
      <c r="CA114" t="b">
        <f>IF($AH$4,VLOOKUP(B114,$B$6:$P$13,15,FALSE),D114)</f>
        <v>0</v>
      </c>
      <c r="CC114">
        <v>42</v>
      </c>
      <c r="CD114" t="b">
        <v>0</v>
      </c>
      <c r="CE114" s="216" t="str">
        <f>IF(CD114,IF(COUNT(CM114:CN114)=2,ABS(CM114),""),IF(COUNT(AF114,AH114)=2,ABS(AF114),""))</f>
        <v/>
      </c>
      <c r="CF114" s="216" t="str">
        <f>IF(CD114,IF(COUNT(CM114:CN114)=2,ABS(CN114),""),IF(COUNT(AF114,AH114)=2,ABS(AH114),""))</f>
        <v/>
      </c>
      <c r="CG114" s="138">
        <f>IF(SUM($CV$99:$CV$120)&gt;0,CO114,IF($CS$4&lt;&gt;1,CO114,IF(AND(LEN(AI114)&gt;0,NOT(DC114),$CS$4=1),1,0)))</f>
        <v>0</v>
      </c>
      <c r="CH114" s="138">
        <f>IF(OR(CD114,$CS$4&lt;&gt;3),CP114,ABS(VALUE(FG114)))</f>
        <v>0</v>
      </c>
      <c r="CI114" s="138">
        <f>IF(OR(CD114,CY114,NOT(CX114)),CQ114,IF(LEN(AK114)=0,0,IF(AK114=$CV$4,1,IF(AK114=$CV$5,2,0))))</f>
        <v>0</v>
      </c>
      <c r="CJ114" s="138">
        <f>IF(OR(CD114,$CS$6=0),CR114,IF(AND($CS$6&gt;1,CK114&gt;0),1,IF($CS$6=2,CR114,IF(EF114="EW",1,0))))</f>
        <v>0</v>
      </c>
      <c r="CK114" s="138">
        <f>IF(OR(CD114,$CS$6&lt;2),CS114,EI114)</f>
        <v>0</v>
      </c>
      <c r="CL114" s="138">
        <f ca="1">IF(OR(CD114,EK114=1),CT114,ED114)</f>
        <v>0</v>
      </c>
      <c r="CO114">
        <v>0</v>
      </c>
      <c r="CP114">
        <v>0</v>
      </c>
      <c r="CQ114">
        <v>0</v>
      </c>
      <c r="CR114">
        <v>0</v>
      </c>
      <c r="CS114">
        <v>0</v>
      </c>
      <c r="CT114">
        <v>0</v>
      </c>
      <c r="CV114">
        <f>IF(AND(CO114=1,CD114),1,0)</f>
        <v>0</v>
      </c>
      <c r="CX114" t="b">
        <f>AND($CS$5=1,COUNT(CE114:CF114)=2,CE114&lt;&gt;CF114)</f>
        <v>0</v>
      </c>
      <c r="CY114" t="b">
        <f>IF(LEN(AK114)=0,FALSE,IF(COUNT(CE114:CF114)&lt;&gt;2,TRUE,IF(AND(CX114,AK114=$CV$4,ABS(CE114-CF114)&gt;=2),FALSE,IF(AND(CX114,AK114=$CV$5,ABS(CE114-CF114)&gt;=3),FALSE,TRUE))))</f>
        <v>0</v>
      </c>
      <c r="CZ114" t="b">
        <v>0</v>
      </c>
      <c r="DA114">
        <f>IF(SUM($CV$99:$CV$120)&gt;0,CO114,IF(AND(LEN(AI114)&gt;0),1,0))</f>
        <v>0</v>
      </c>
      <c r="DB114">
        <f>SUM($DA$97:$DA114)</f>
        <v>0</v>
      </c>
      <c r="DC114" t="b">
        <f>OR(AND(DA114=1,OR(DB114&gt;1,$CS$4=3)))</f>
        <v>0</v>
      </c>
      <c r="DE114">
        <v>4</v>
      </c>
      <c r="DF114" s="137">
        <v>1</v>
      </c>
      <c r="DG114" s="137">
        <v>15</v>
      </c>
      <c r="DH114">
        <f>IF(NOT(ISNUMBER(AJ114)),DF114,IF(LEN(AJ114)=0,DF114,IF(AJ114&gt;DG114,DG114,IF(AJ114&lt;DF114,DF114,AJ114))))</f>
        <v>1</v>
      </c>
      <c r="DL114" t="s">
        <v>632</v>
      </c>
      <c r="DM114" t="s">
        <v>663</v>
      </c>
      <c r="DN114">
        <f t="shared" si="111"/>
        <v>0</v>
      </c>
      <c r="DO114">
        <f>IF(DN114=0,0,INDEX(daten!$N$9:$N$32,DN114))</f>
        <v>0</v>
      </c>
      <c r="DV114" s="223"/>
      <c r="DW114" s="224"/>
      <c r="DX114" s="224"/>
      <c r="DY114" s="225"/>
      <c r="EA114" t="b">
        <f ca="1">AU115="Ungültiger Sieger"</f>
        <v>0</v>
      </c>
      <c r="EB114" t="b">
        <f ca="1">AND($CS$6&gt;0,EF114&lt;&gt;0,EH114&gt;0)</f>
        <v>0</v>
      </c>
      <c r="EC114" s="62">
        <f>AP114</f>
        <v>0</v>
      </c>
      <c r="ED114" s="56">
        <f ca="1">IF(CC114&lt;37,0,IF(LEN(EC114)=0,0,IF(ISERROR(MATCH(EC114,OFFSET($CR$15:$CR$16,0,CC114-36),0)),0,MATCH(EC114,OFFSET($CR$15:$CR$16,0,CC114-36),0))))</f>
        <v>0</v>
      </c>
      <c r="EE114" s="57">
        <f>IF(COUNT(CE114:CF114)&lt;&gt;2,-1,IF(CE114&gt;CF114,1,IF(CE114&lt;CF114,2,0)))</f>
        <v>-1</v>
      </c>
      <c r="EF114" s="62">
        <f>AM114</f>
        <v>0</v>
      </c>
      <c r="EG114">
        <f ca="1">IF(CC114&lt;37,0,IF(LEN(EF114)=0,0,IF(ISERROR(MATCH(EF114,OFFSET($CR$15:$CR$16,0,CC114-37),0)),0,MATCH(EF114,OFFSET($CR$15:$CR$16,0,CC114-37),0))))</f>
        <v>0</v>
      </c>
      <c r="EH114">
        <f ca="1">IF(AND(EE114&lt;&gt;-1,settings!$C$29,EG114=0),4,IF(OR(CC114&lt;37,NOT($EH$31),$CS$6&lt;2,AND(EF114&lt;&gt;"EW",EG114=0)),0,IF(EE114=-1,1,IF(AND(EE114=0,$EH$28&lt;&gt;0),2,IF(AND(EE114&gt;0,$EH$28=0),2,IF(AND(EE114&gt;0,EG114&lt;&gt;EE114),3,0))))))</f>
        <v>0</v>
      </c>
      <c r="EI114">
        <f ca="1">IF(EH114=0,EG114,CS114)</f>
        <v>0</v>
      </c>
      <c r="EJ114">
        <f ca="1">IF(EE114&gt;0,EE114,IF(AND(EI114&gt;0,settings!$C$29=0),EI114,IF(ED114&gt;0,ED114,IF(EI114&gt;0,EI114,EE114))))</f>
        <v>-1</v>
      </c>
      <c r="EK114">
        <f ca="1">IF(AND(ED114&gt;0,ED114&lt;&gt;EJ114),1,0)</f>
        <v>0</v>
      </c>
      <c r="EL114" t="b">
        <f ca="1">AND(EE114&gt;-1,$EL$37,EJ114&lt;=0)</f>
        <v>0</v>
      </c>
      <c r="EM114" s="57">
        <f>IF(EXACT(CE114,CM114),0,1)</f>
        <v>0</v>
      </c>
      <c r="EN114" s="57">
        <f>IF(EXACT(CF114,CN114),0,1)</f>
        <v>0</v>
      </c>
      <c r="EO114" s="57">
        <f>IF($CS$400,0,IF(EXACT(CG114,CO114),0,1))</f>
        <v>0</v>
      </c>
      <c r="EP114" s="57">
        <f>IF($CS$4&lt;&gt;3,0,IF(AND(CH114=INDEX(settings!$I$19:$P$19,1),LEN(CP114)=0),0,IF(EXACT(CH114,CP114),0,1)))</f>
        <v>0</v>
      </c>
      <c r="EQ114" s="57">
        <f>IF(settings!$C$1100,0,IF(CI114=CQ114,0,1))</f>
        <v>0</v>
      </c>
      <c r="ER114" s="57">
        <f>IF($CS$6=0,0,IF(CJ114=CR114,0,1))</f>
        <v>0</v>
      </c>
      <c r="ES114" s="57">
        <f>IF($CS$6&lt;2,0,IF(CK114=CS114,0,1))</f>
        <v>0</v>
      </c>
      <c r="ET114" s="57">
        <f>IF(DR115&lt;37,0,IF(CL114=CT114,0,1))</f>
        <v>0</v>
      </c>
      <c r="EU114" s="57">
        <f>IF(CD114,0,SUM(EM114:ET114))</f>
        <v>0</v>
      </c>
      <c r="FB114">
        <f>IF(DH114&lt;FH97,FH97,DH114)</f>
        <v>1</v>
      </c>
      <c r="FC114">
        <f>FC111+1</f>
        <v>6</v>
      </c>
      <c r="FD114">
        <f>FD111</f>
        <v>1</v>
      </c>
      <c r="FE114">
        <f>IF(CD114,CP114,IF(FB114&gt;FI97,FI97,FB114))</f>
        <v>1</v>
      </c>
      <c r="FG114">
        <f>IF(CD114,FE114,IF(FE114&lt;=FH111,FE114,IF(FH111&lt;0,0,FH111)))</f>
        <v>1</v>
      </c>
      <c r="FH114">
        <f>FG97-SUM(FG98:FG114)-SUM(FD115:FD123)+FH97</f>
        <v>73</v>
      </c>
      <c r="FI114" t="b">
        <f>FG114&lt;&gt;AJ114</f>
        <v>1</v>
      </c>
    </row>
    <row r="115" spans="1:165" ht="12" customHeight="1" x14ac:dyDescent="0.2">
      <c r="C115" s="57"/>
      <c r="D115" s="57"/>
      <c r="F115" s="57"/>
      <c r="G115" s="57"/>
      <c r="H115" s="66"/>
      <c r="I115" s="67"/>
      <c r="J115" s="66"/>
      <c r="K115" s="67"/>
      <c r="L115" s="211"/>
      <c r="M115" s="211"/>
      <c r="N115" s="212"/>
      <c r="O115" s="212"/>
      <c r="Q115" s="57"/>
      <c r="R115" s="218"/>
      <c r="S115" s="70"/>
      <c r="T115" s="516" t="str">
        <f>IF(CZ115,zeichen_gesperrt,"")</f>
        <v/>
      </c>
      <c r="U115" s="473"/>
      <c r="V115" s="474" t="s">
        <v>556</v>
      </c>
      <c r="W115" s="474"/>
      <c r="X115" s="489"/>
      <c r="Y115" s="490"/>
      <c r="Z115" s="491"/>
      <c r="AA115" s="475"/>
      <c r="AB115" s="476"/>
      <c r="AC115" s="226" t="s">
        <v>583</v>
      </c>
      <c r="AD115" s="477"/>
      <c r="AE115" s="478"/>
      <c r="AF115" s="467"/>
      <c r="AG115" s="469"/>
      <c r="AH115" s="471"/>
      <c r="AI115" s="463"/>
      <c r="AJ115" s="463"/>
      <c r="AK115" s="465"/>
      <c r="AL115" s="223"/>
      <c r="AM115" s="628"/>
      <c r="AN115" s="628"/>
      <c r="AO115" s="629"/>
      <c r="AP115" s="420"/>
      <c r="AQ115" s="420"/>
      <c r="AR115" s="421"/>
      <c r="AS115" s="108"/>
      <c r="AT115" s="70"/>
      <c r="AU115" s="220" t="str">
        <f ca="1">IF(AND(ED114&gt;0,EE114&gt;-1,EK114=1),"Ungültiger Sieger",IF(EL114,"Sieger fehlt!",""))</f>
        <v/>
      </c>
      <c r="AV115" s="70"/>
      <c r="AW115" s="70"/>
      <c r="AX115" s="70"/>
      <c r="AY115" s="70"/>
      <c r="AZ115" s="70"/>
      <c r="BA115" s="70"/>
      <c r="BB115" s="221"/>
      <c r="BC115" s="221"/>
      <c r="BD115" s="221"/>
      <c r="BE115" s="221"/>
      <c r="BF115" s="438"/>
      <c r="BG115" s="440"/>
      <c r="BH115" s="433"/>
      <c r="BI115" s="517"/>
      <c r="BJ115" s="518"/>
      <c r="BK115" s="518"/>
      <c r="BL115" s="518"/>
      <c r="BM115" s="518"/>
      <c r="BN115" s="518"/>
      <c r="BO115" s="518"/>
      <c r="BP115" s="518"/>
      <c r="BQ115" s="518"/>
      <c r="BR115" s="70"/>
      <c r="BU115" s="355" t="b">
        <f ca="1">IF(LEN(AA115)=0,FALSE,ISERROR(MATCH(AA115,OFFSET($U$326:$U$349,0,Q114*2),0)))</f>
        <v>0</v>
      </c>
      <c r="BV115" s="356" t="b">
        <f ca="1">IF(LEN(AD115)=0,FALSE,ISERROR(MATCH(AD115,OFFSET($V$326:$V$349,0,Q114*2),0)))</f>
        <v>0</v>
      </c>
      <c r="BW115" s="222"/>
      <c r="BX115" t="b">
        <f>VLOOKUP(BT114,$BU$175:$CA$190,6,FALSE)&lt;&gt;BV114</f>
        <v>0</v>
      </c>
      <c r="BY115" t="b">
        <f>VLOOKUP(BT114,$BU$175:$CA$190,7,FALSE)&lt;&gt;BW114</f>
        <v>0</v>
      </c>
      <c r="BZ115" s="227" t="str">
        <f ca="1">IF(EJ114&lt;=0," ",IF(EJ114=1,AA115,AD115))</f>
        <v xml:space="preserve"> </v>
      </c>
      <c r="CA115" s="227" t="str">
        <f ca="1">IF(EJ114&lt;=0," ",IF(EJ114=1,AD115,AA115))</f>
        <v xml:space="preserve"> </v>
      </c>
      <c r="DF115" s="137"/>
      <c r="DG115" s="137"/>
      <c r="DL115" t="s">
        <v>632</v>
      </c>
      <c r="DM115" t="s">
        <v>665</v>
      </c>
      <c r="DN115">
        <f t="shared" si="111"/>
        <v>0</v>
      </c>
      <c r="DO115">
        <f>IF(DN115=0,0,INDEX(daten!$N$9:$N$32,DN115))</f>
        <v>0</v>
      </c>
      <c r="DV115" s="223"/>
      <c r="DW115" s="224"/>
      <c r="DX115" s="224"/>
      <c r="DY115" s="225"/>
      <c r="EC115" s="62"/>
      <c r="EF115" s="62"/>
    </row>
    <row r="116" spans="1:165" ht="3.9" customHeight="1" x14ac:dyDescent="0.2">
      <c r="C116" s="57"/>
      <c r="D116" s="57"/>
      <c r="F116" s="57"/>
      <c r="G116" s="57"/>
      <c r="H116" s="66"/>
      <c r="I116" s="67"/>
      <c r="J116" s="66"/>
      <c r="K116" s="67"/>
      <c r="L116" s="211"/>
      <c r="M116" s="211"/>
      <c r="N116" s="212"/>
      <c r="O116" s="212"/>
      <c r="Q116" s="57"/>
      <c r="R116" s="218"/>
      <c r="S116" s="70"/>
      <c r="T116" s="228"/>
      <c r="U116" s="359"/>
      <c r="V116" s="360"/>
      <c r="W116" s="360"/>
      <c r="X116" s="361"/>
      <c r="Y116" s="361"/>
      <c r="Z116" s="362"/>
      <c r="AA116" s="229"/>
      <c r="AB116" s="229"/>
      <c r="AC116" s="229"/>
      <c r="AD116" s="229"/>
      <c r="AE116" s="229"/>
      <c r="AF116" s="230"/>
      <c r="AG116" s="231"/>
      <c r="AH116" s="230"/>
      <c r="AI116" s="224"/>
      <c r="AJ116" s="224"/>
      <c r="AK116" s="224"/>
      <c r="AL116" s="231"/>
      <c r="AM116" s="231"/>
      <c r="AN116" s="231"/>
      <c r="AO116" s="217"/>
      <c r="AP116" s="231"/>
      <c r="AQ116" s="231"/>
      <c r="AR116" s="101"/>
      <c r="AS116" s="108"/>
      <c r="AT116" s="70"/>
      <c r="AU116" s="70"/>
      <c r="AV116" s="70"/>
      <c r="AW116" s="70"/>
      <c r="AX116" s="70"/>
      <c r="AY116" s="70"/>
      <c r="AZ116" s="70"/>
      <c r="BA116" s="70"/>
      <c r="BB116" s="71"/>
      <c r="BC116" s="71"/>
      <c r="BD116" s="71"/>
      <c r="BE116" s="71"/>
      <c r="BF116" s="70"/>
      <c r="BG116" s="70"/>
      <c r="BH116" s="89"/>
      <c r="BI116" s="232"/>
      <c r="BJ116" s="71"/>
      <c r="BK116" s="70"/>
      <c r="BL116" s="70"/>
      <c r="BM116" s="70"/>
      <c r="BN116" s="70"/>
      <c r="BO116" s="70"/>
      <c r="BP116" s="70"/>
      <c r="BQ116" s="70"/>
      <c r="BR116" s="70"/>
      <c r="BV116" s="222"/>
      <c r="BW116" s="222"/>
      <c r="DF116" s="137"/>
      <c r="DG116" s="137"/>
      <c r="DL116" t="s">
        <v>632</v>
      </c>
      <c r="DM116" t="s">
        <v>430</v>
      </c>
      <c r="DN116">
        <f t="shared" si="111"/>
        <v>0</v>
      </c>
      <c r="DO116">
        <f>IF(DN116=0,0,INDEX(daten!$N$9:$N$32,DN116))</f>
        <v>0</v>
      </c>
      <c r="DV116" s="231"/>
      <c r="DW116" s="231"/>
      <c r="DX116" s="231"/>
      <c r="DY116" s="217"/>
      <c r="EC116" s="62"/>
      <c r="EF116" s="62"/>
    </row>
    <row r="117" spans="1:165" ht="10.199999999999999" customHeight="1" x14ac:dyDescent="0.2">
      <c r="B117">
        <v>43</v>
      </c>
      <c r="C117" s="57" t="b">
        <f>INDEX(tabber!$O$395:$O$402,R117)</f>
        <v>0</v>
      </c>
      <c r="D117" s="57" t="b">
        <f>INDEX(tabber!$P$395:$P$402,R117)</f>
        <v>0</v>
      </c>
      <c r="E117" t="s">
        <v>421</v>
      </c>
      <c r="F117" s="57">
        <f>INDEX(tabber!$L$407:$L$414,B117-36)</f>
        <v>17</v>
      </c>
      <c r="G117" s="57">
        <f>INDEX(tabber!$M$407:$M$414,B117-36)</f>
        <v>7</v>
      </c>
      <c r="H117" s="66">
        <f>INDEX(tabbermsp!$J$395:$J$402,$R117)</f>
        <v>17</v>
      </c>
      <c r="I117" s="67">
        <f>INDEX(tabbermsp!$K$395:$K$402,$R117)</f>
        <v>7</v>
      </c>
      <c r="J117" s="66">
        <f>H117</f>
        <v>17</v>
      </c>
      <c r="K117" s="67">
        <f>I117</f>
        <v>7</v>
      </c>
      <c r="L117" s="211">
        <f ca="1">IF(EJ117&lt;=0,0,INDEX(H117:I117,EJ117))</f>
        <v>0</v>
      </c>
      <c r="M117" s="211">
        <f ca="1">IF(EJ117&lt;=0,0,IF(INDEX(C117:D117,EJ117)=TRUE,INDEX(F117:G117,EJ117),0))</f>
        <v>0</v>
      </c>
      <c r="N117" s="212">
        <f ca="1">IF(L117=0,0,IF(L117=H117,I117,IF(L117=I117,H117,0)))</f>
        <v>0</v>
      </c>
      <c r="O117" s="212">
        <f ca="1">IF(M117=0,0,IF(M117=F117,G117,IF(M117=G117,F117,0)))</f>
        <v>0</v>
      </c>
      <c r="Q117" s="57">
        <v>7</v>
      </c>
      <c r="R117" s="218">
        <v>5</v>
      </c>
      <c r="S117" s="70"/>
      <c r="T117" s="516" t="str">
        <f>IF(CZ117,zeichen_gesperrt,"")</f>
        <v/>
      </c>
      <c r="U117" s="472" t="s">
        <v>421</v>
      </c>
      <c r="V117" s="357" t="s">
        <v>557</v>
      </c>
      <c r="W117" s="358">
        <v>0.75</v>
      </c>
      <c r="X117" s="486" t="str">
        <f>"Real: "&amp;VLOOKUP(BT117,$A$6:$F$20,3,FALSE)&amp;"  :  "&amp;VLOOKUP(BT117,$A$6:$F$20,4,FALSE)&amp;CHAR(10)&amp;"Tipp: "&amp;VLOOKUP(BT117,$A$6:$F$20,5,FALSE)&amp;"  :  "&amp;VLOOKUP(BT117,$A$6:$F$20,6,FALSE)</f>
        <v>Real: BEL  :  ITA
Tipp: BEL  :  ITA</v>
      </c>
      <c r="Y117" s="487"/>
      <c r="Z117" s="488"/>
      <c r="AA117" s="492" t="str">
        <f>INDEX(daten!$K$95:$K$110,Q117)</f>
        <v>1. E</v>
      </c>
      <c r="AB117" s="479"/>
      <c r="AC117" s="219" t="s">
        <v>583</v>
      </c>
      <c r="AD117" s="479" t="str">
        <f>INDEX(daten!$L$95:$L$110,Q117)</f>
        <v>ABCD</v>
      </c>
      <c r="AE117" s="479"/>
      <c r="AF117" s="466"/>
      <c r="AG117" s="468" t="s">
        <v>583</v>
      </c>
      <c r="AH117" s="470"/>
      <c r="AI117" s="462"/>
      <c r="AJ117" s="462"/>
      <c r="AK117" s="464" t="s">
        <v>411</v>
      </c>
      <c r="AL117" s="223"/>
      <c r="AM117" s="628"/>
      <c r="AN117" s="628"/>
      <c r="AO117" s="629"/>
      <c r="AP117" s="418"/>
      <c r="AQ117" s="418"/>
      <c r="AR117" s="419"/>
      <c r="AS117" s="108"/>
      <c r="AT117" s="70"/>
      <c r="AU117" s="220" t="str">
        <f ca="1">IF(EH117=0,"",INDEX($DL$21:$DL$24,EH117))</f>
        <v/>
      </c>
      <c r="AV117" s="70"/>
      <c r="AW117" s="70"/>
      <c r="AX117" s="70"/>
      <c r="AY117" s="70"/>
      <c r="AZ117" s="70"/>
      <c r="BA117" s="70"/>
      <c r="BB117" s="221"/>
      <c r="BC117" s="221"/>
      <c r="BD117" s="221"/>
      <c r="BE117" s="221"/>
      <c r="BF117" s="437"/>
      <c r="BG117" s="439" t="s">
        <v>583</v>
      </c>
      <c r="BH117" s="432"/>
      <c r="BI117" s="517"/>
      <c r="BJ117" s="518"/>
      <c r="BK117" s="518"/>
      <c r="BL117" s="518"/>
      <c r="BM117" s="518"/>
      <c r="BN117" s="518"/>
      <c r="BO117" s="518"/>
      <c r="BP117" s="518"/>
      <c r="BQ117" s="518"/>
      <c r="BR117" s="70"/>
      <c r="BT117" t="s">
        <v>421</v>
      </c>
      <c r="BU117">
        <f>IF(COUNT(BF117,BH117)&lt;&gt;2,-1,IF(BF117&gt;BH117,1,IF(BF117&lt;BH117,2,0)))</f>
        <v>-1</v>
      </c>
      <c r="BV117" s="222">
        <f>IF(LEN(AA118)=0,0,IF(ISERROR(MATCH(AA118,teamsmitk,0)),0,MATCH(AA118,teamsmitk,0)))</f>
        <v>0</v>
      </c>
      <c r="BW117" s="222">
        <f>IF(LEN(AD118)=0,0,IF(ISERROR(MATCH(AD118,teamsmitk,0)),0,MATCH(AD118,teamsmitk,0)))</f>
        <v>0</v>
      </c>
      <c r="BZ117" t="b">
        <f>IF($AH$4,VLOOKUP(B117,$B$6:$P$13,14,FALSE),C117)</f>
        <v>0</v>
      </c>
      <c r="CA117" t="b">
        <f>IF($AH$4,VLOOKUP(B117,$B$6:$P$13,15,FALSE),D117)</f>
        <v>0</v>
      </c>
      <c r="CC117">
        <v>43</v>
      </c>
      <c r="CD117" t="b">
        <v>0</v>
      </c>
      <c r="CE117" s="216" t="str">
        <f>IF(CD117,IF(COUNT(CM117:CN117)=2,ABS(CM117),""),IF(COUNT(AF117,AH117)=2,ABS(AF117),""))</f>
        <v/>
      </c>
      <c r="CF117" s="216" t="str">
        <f>IF(CD117,IF(COUNT(CM117:CN117)=2,ABS(CN117),""),IF(COUNT(AF117,AH117)=2,ABS(AH117),""))</f>
        <v/>
      </c>
      <c r="CG117" s="138">
        <f>IF(SUM($CV$99:$CV$120)&gt;0,CO117,IF($CS$4&lt;&gt;1,CO117,IF(AND(LEN(AI117)&gt;0,NOT(DC117),$CS$4=1),1,0)))</f>
        <v>0</v>
      </c>
      <c r="CH117" s="138">
        <f>IF(OR(CD117,$CS$4&lt;&gt;3),CP117,ABS(VALUE(FG117)))</f>
        <v>0</v>
      </c>
      <c r="CI117" s="138">
        <f>IF(OR(CD117,CY117,NOT(CX117)),CQ117,IF(LEN(AK117)=0,0,IF(AK117=$CV$4,1,IF(AK117=$CV$5,2,0))))</f>
        <v>0</v>
      </c>
      <c r="CJ117" s="138">
        <f>IF(OR(CD117,$CS$6=0),CR117,IF(AND($CS$6&gt;1,CK117&gt;0),1,IF($CS$6=2,CR117,IF(EF117="EW",1,0))))</f>
        <v>0</v>
      </c>
      <c r="CK117" s="138">
        <f>IF(OR(CD117,$CS$6&lt;2),CS117,EI117)</f>
        <v>0</v>
      </c>
      <c r="CL117" s="138">
        <f ca="1">IF(OR(CD117,EK117=1),CT117,ED117)</f>
        <v>0</v>
      </c>
      <c r="CO117">
        <v>0</v>
      </c>
      <c r="CP117">
        <v>0</v>
      </c>
      <c r="CQ117">
        <v>0</v>
      </c>
      <c r="CR117">
        <v>0</v>
      </c>
      <c r="CS117">
        <v>0</v>
      </c>
      <c r="CT117">
        <v>0</v>
      </c>
      <c r="CV117">
        <f>IF(AND(CO117=1,CD117),1,0)</f>
        <v>0</v>
      </c>
      <c r="CX117" t="b">
        <f>AND($CS$5=1,COUNT(CE117:CF117)=2,CE117&lt;&gt;CF117)</f>
        <v>0</v>
      </c>
      <c r="CY117" t="b">
        <f>IF(LEN(AK117)=0,FALSE,IF(COUNT(CE117:CF117)&lt;&gt;2,TRUE,IF(AND(CX117,AK117=$CV$4,ABS(CE117-CF117)&gt;=2),FALSE,IF(AND(CX117,AK117=$CV$5,ABS(CE117-CF117)&gt;=3),FALSE,TRUE))))</f>
        <v>0</v>
      </c>
      <c r="CZ117" t="b">
        <v>0</v>
      </c>
      <c r="DA117">
        <f>IF(SUM($CV$99:$CV$120)&gt;0,CO117,IF(AND(LEN(AI117)&gt;0),1,0))</f>
        <v>0</v>
      </c>
      <c r="DB117">
        <f>SUM($DA$97:$DA117)</f>
        <v>0</v>
      </c>
      <c r="DC117" t="b">
        <f>OR(AND(DA117=1,OR(DB117&gt;1,$CS$4=3)))</f>
        <v>0</v>
      </c>
      <c r="DE117">
        <v>4</v>
      </c>
      <c r="DF117" s="137">
        <v>1</v>
      </c>
      <c r="DG117" s="137">
        <v>15</v>
      </c>
      <c r="DH117">
        <f>IF(NOT(ISNUMBER(AJ117)),DF117,IF(LEN(AJ117)=0,DF117,IF(AJ117&gt;DG117,DG117,IF(AJ117&lt;DF117,DF117,AJ117))))</f>
        <v>1</v>
      </c>
      <c r="DM117" t="s">
        <v>668</v>
      </c>
      <c r="DV117" s="223"/>
      <c r="DW117" s="224"/>
      <c r="DX117" s="224"/>
      <c r="DY117" s="225"/>
      <c r="EA117" t="b">
        <f ca="1">AU118="Ungültiger Sieger"</f>
        <v>0</v>
      </c>
      <c r="EB117" t="b">
        <f ca="1">AND($CS$6&gt;0,EF117&lt;&gt;0,EH117&gt;0)</f>
        <v>0</v>
      </c>
      <c r="EC117" s="62">
        <f>AP117</f>
        <v>0</v>
      </c>
      <c r="ED117" s="56">
        <f ca="1">IF(CC117&lt;37,0,IF(LEN(EC117)=0,0,IF(ISERROR(MATCH(EC117,OFFSET($CR$15:$CR$16,0,CC117-36),0)),0,MATCH(EC117,OFFSET($CR$15:$CR$16,0,CC117-36),0))))</f>
        <v>0</v>
      </c>
      <c r="EE117" s="57">
        <f>IF(COUNT(CE117:CF117)&lt;&gt;2,-1,IF(CE117&gt;CF117,1,IF(CE117&lt;CF117,2,0)))</f>
        <v>-1</v>
      </c>
      <c r="EF117" s="62">
        <f>AM117</f>
        <v>0</v>
      </c>
      <c r="EG117">
        <f ca="1">IF(CC117&lt;37,0,IF(LEN(EF117)=0,0,IF(ISERROR(MATCH(EF117,OFFSET($CR$15:$CR$16,0,CC117-37),0)),0,MATCH(EF117,OFFSET($CR$15:$CR$16,0,CC117-37),0))))</f>
        <v>0</v>
      </c>
      <c r="EH117">
        <f ca="1">IF(AND(EE117&lt;&gt;-1,settings!$C$29,EG117=0),4,IF(OR(CC117&lt;37,NOT($EH$31),$CS$6&lt;2,AND(EF117&lt;&gt;"EW",EG117=0)),0,IF(EE117=-1,1,IF(AND(EE117=0,$EH$28&lt;&gt;0),2,IF(AND(EE117&gt;0,$EH$28=0),2,IF(AND(EE117&gt;0,EG117&lt;&gt;EE117),3,0))))))</f>
        <v>0</v>
      </c>
      <c r="EI117">
        <f ca="1">IF(EH117=0,EG117,CS117)</f>
        <v>0</v>
      </c>
      <c r="EJ117">
        <f ca="1">IF(EE117&gt;0,EE117,IF(AND(EI117&gt;0,settings!$C$29=0),EI117,IF(ED117&gt;0,ED117,IF(EI117&gt;0,EI117,EE117))))</f>
        <v>-1</v>
      </c>
      <c r="EK117">
        <f ca="1">IF(AND(ED117&gt;0,ED117&lt;&gt;EJ117),1,0)</f>
        <v>0</v>
      </c>
      <c r="EL117" t="b">
        <f ca="1">AND(EE117&gt;-1,$EL$37,EJ117&lt;=0)</f>
        <v>0</v>
      </c>
      <c r="EM117" s="57">
        <f>IF(EXACT(CE117,CM117),0,1)</f>
        <v>0</v>
      </c>
      <c r="EN117" s="57">
        <f>IF(EXACT(CF117,CN117),0,1)</f>
        <v>0</v>
      </c>
      <c r="EO117" s="57">
        <f>IF($CS$400,0,IF(EXACT(CG117,CO117),0,1))</f>
        <v>0</v>
      </c>
      <c r="EP117" s="57">
        <f>IF($CS$4&lt;&gt;3,0,IF(AND(CH117=INDEX(settings!$I$19:$P$19,1),LEN(CP117)=0),0,IF(EXACT(CH117,CP117),0,1)))</f>
        <v>0</v>
      </c>
      <c r="EQ117" s="57">
        <f>IF(settings!$C$1100,0,IF(CI117=CQ117,0,1))</f>
        <v>0</v>
      </c>
      <c r="ER117" s="57">
        <f>IF($CS$6=0,0,IF(CJ117=CR117,0,1))</f>
        <v>0</v>
      </c>
      <c r="ES117" s="57">
        <f>IF($CS$6&lt;2,0,IF(CK117=CS117,0,1))</f>
        <v>0</v>
      </c>
      <c r="ET117" s="57">
        <f>IF(DR118&lt;37,0,IF(CL117=CT117,0,1))</f>
        <v>0</v>
      </c>
      <c r="EU117" s="57">
        <f>IF(CD117,0,SUM(EM117:ET117))</f>
        <v>0</v>
      </c>
      <c r="FB117">
        <f>IF(DH117&lt;FH97,FH97,DH117)</f>
        <v>1</v>
      </c>
      <c r="FC117">
        <f>FC114+1</f>
        <v>7</v>
      </c>
      <c r="FD117">
        <f>FD114</f>
        <v>1</v>
      </c>
      <c r="FE117">
        <f>IF(CD117,CP117,IF(FB117&gt;FI97,FI97,FB117))</f>
        <v>1</v>
      </c>
      <c r="FG117">
        <f>IF(CD117,FE117,IF(FE117&lt;=FH114,FE117,IF(FH114&lt;0,0,FH114)))</f>
        <v>1</v>
      </c>
      <c r="FH117">
        <f>FG97-SUM(FG98:FG117)-SUM(FD118:FD123)+FH97</f>
        <v>73</v>
      </c>
      <c r="FI117" t="b">
        <f>FG117&lt;&gt;AJ117</f>
        <v>1</v>
      </c>
    </row>
    <row r="118" spans="1:165" ht="12" customHeight="1" x14ac:dyDescent="0.2">
      <c r="C118" s="57"/>
      <c r="D118" s="57"/>
      <c r="F118" s="57"/>
      <c r="G118" s="57"/>
      <c r="H118" s="66"/>
      <c r="I118" s="67"/>
      <c r="J118" s="66"/>
      <c r="K118" s="67"/>
      <c r="L118" s="211"/>
      <c r="M118" s="211"/>
      <c r="N118" s="212"/>
      <c r="O118" s="212"/>
      <c r="Q118" s="57"/>
      <c r="R118" s="218"/>
      <c r="S118" s="70"/>
      <c r="T118" s="516" t="str">
        <f>IF(CZ118,zeichen_gesperrt,"")</f>
        <v/>
      </c>
      <c r="U118" s="473"/>
      <c r="V118" s="474" t="s">
        <v>636</v>
      </c>
      <c r="W118" s="474"/>
      <c r="X118" s="489"/>
      <c r="Y118" s="490"/>
      <c r="Z118" s="491"/>
      <c r="AA118" s="475"/>
      <c r="AB118" s="476"/>
      <c r="AC118" s="226" t="s">
        <v>583</v>
      </c>
      <c r="AD118" s="477"/>
      <c r="AE118" s="478"/>
      <c r="AF118" s="467"/>
      <c r="AG118" s="469"/>
      <c r="AH118" s="471"/>
      <c r="AI118" s="463"/>
      <c r="AJ118" s="463"/>
      <c r="AK118" s="465"/>
      <c r="AL118" s="223"/>
      <c r="AM118" s="628"/>
      <c r="AN118" s="628"/>
      <c r="AO118" s="629"/>
      <c r="AP118" s="420"/>
      <c r="AQ118" s="420"/>
      <c r="AR118" s="421"/>
      <c r="AS118" s="108"/>
      <c r="AT118" s="70"/>
      <c r="AU118" s="220" t="str">
        <f ca="1">IF(AND(ED117&gt;0,EE117&gt;-1,EK117=1),"Ungültiger Sieger",IF(EL117,"Sieger fehlt!",""))</f>
        <v/>
      </c>
      <c r="AV118" s="70"/>
      <c r="AW118" s="70"/>
      <c r="AX118" s="70"/>
      <c r="AY118" s="70"/>
      <c r="AZ118" s="70"/>
      <c r="BA118" s="70"/>
      <c r="BB118" s="221"/>
      <c r="BC118" s="221"/>
      <c r="BD118" s="221"/>
      <c r="BE118" s="221"/>
      <c r="BF118" s="438"/>
      <c r="BG118" s="440"/>
      <c r="BH118" s="433"/>
      <c r="BI118" s="517"/>
      <c r="BJ118" s="518"/>
      <c r="BK118" s="518"/>
      <c r="BL118" s="518"/>
      <c r="BM118" s="518"/>
      <c r="BN118" s="518"/>
      <c r="BO118" s="518"/>
      <c r="BP118" s="518"/>
      <c r="BQ118" s="518"/>
      <c r="BR118" s="70"/>
      <c r="BU118" s="355" t="b">
        <f ca="1">IF(LEN(AA118)=0,FALSE,ISERROR(MATCH(AA118,OFFSET($U$326:$U$349,0,Q117*2),0)))</f>
        <v>0</v>
      </c>
      <c r="BV118" s="356" t="b">
        <f ca="1">IF(LEN(AD118)=0,FALSE,ISERROR(MATCH(AD118,OFFSET($V$326:$V$349,0,Q117*2),0)))</f>
        <v>0</v>
      </c>
      <c r="BW118" s="222"/>
      <c r="BX118" t="b">
        <f>VLOOKUP(BT117,$BU$175:$CA$190,6,FALSE)&lt;&gt;BV117</f>
        <v>0</v>
      </c>
      <c r="BY118" t="b">
        <f>VLOOKUP(BT117,$BU$175:$CA$190,7,FALSE)&lt;&gt;BW117</f>
        <v>0</v>
      </c>
      <c r="BZ118" s="227" t="str">
        <f ca="1">IF(EJ117&lt;=0," ",IF(EJ117=1,AA118,AD118))</f>
        <v xml:space="preserve"> </v>
      </c>
      <c r="CA118" s="227" t="str">
        <f ca="1">IF(EJ117&lt;=0," ",IF(EJ117=1,AD118,AA118))</f>
        <v xml:space="preserve"> </v>
      </c>
      <c r="DF118" s="137"/>
      <c r="DG118" s="137"/>
      <c r="DM118" t="s">
        <v>671</v>
      </c>
      <c r="DV118" s="223"/>
      <c r="DW118" s="224"/>
      <c r="DX118" s="224"/>
      <c r="DY118" s="225"/>
      <c r="EC118" s="62"/>
      <c r="EF118" s="62"/>
    </row>
    <row r="119" spans="1:165" ht="3.9" customHeight="1" x14ac:dyDescent="0.2">
      <c r="C119" s="57"/>
      <c r="D119" s="57"/>
      <c r="F119" s="57"/>
      <c r="G119" s="57"/>
      <c r="H119" s="66"/>
      <c r="I119" s="67"/>
      <c r="J119" s="66"/>
      <c r="K119" s="67"/>
      <c r="L119" s="211"/>
      <c r="M119" s="211"/>
      <c r="N119" s="212"/>
      <c r="O119" s="212"/>
      <c r="Q119" s="57"/>
      <c r="R119" s="218"/>
      <c r="S119" s="70"/>
      <c r="T119" s="228"/>
      <c r="U119" s="359"/>
      <c r="V119" s="360"/>
      <c r="W119" s="360"/>
      <c r="X119" s="361"/>
      <c r="Y119" s="361"/>
      <c r="Z119" s="362"/>
      <c r="AA119" s="229"/>
      <c r="AB119" s="229"/>
      <c r="AC119" s="229"/>
      <c r="AD119" s="229"/>
      <c r="AE119" s="229"/>
      <c r="AF119" s="230"/>
      <c r="AG119" s="231"/>
      <c r="AH119" s="230"/>
      <c r="AI119" s="224"/>
      <c r="AJ119" s="224"/>
      <c r="AK119" s="224"/>
      <c r="AL119" s="231"/>
      <c r="AM119" s="231"/>
      <c r="AN119" s="231"/>
      <c r="AO119" s="217"/>
      <c r="AP119" s="231"/>
      <c r="AQ119" s="231"/>
      <c r="AR119" s="101"/>
      <c r="AS119" s="108"/>
      <c r="AT119" s="70"/>
      <c r="AU119" s="70"/>
      <c r="AV119" s="70"/>
      <c r="AW119" s="70"/>
      <c r="AX119" s="70"/>
      <c r="AY119" s="70"/>
      <c r="AZ119" s="70"/>
      <c r="BA119" s="70"/>
      <c r="BB119" s="71"/>
      <c r="BC119" s="71"/>
      <c r="BD119" s="71"/>
      <c r="BE119" s="71"/>
      <c r="BF119" s="70"/>
      <c r="BG119" s="70"/>
      <c r="BH119" s="89"/>
      <c r="BI119" s="232"/>
      <c r="BJ119" s="71"/>
      <c r="BK119" s="70"/>
      <c r="BL119" s="70"/>
      <c r="BM119" s="70"/>
      <c r="BN119" s="70"/>
      <c r="BO119" s="70"/>
      <c r="BP119" s="70"/>
      <c r="BQ119" s="70"/>
      <c r="BR119" s="70"/>
      <c r="BV119" s="222"/>
      <c r="BW119" s="222"/>
      <c r="DF119" s="137"/>
      <c r="DG119" s="137"/>
      <c r="DM119" t="s">
        <v>673</v>
      </c>
      <c r="DV119" s="231"/>
      <c r="DW119" s="231"/>
      <c r="DX119" s="231"/>
      <c r="DY119" s="217"/>
      <c r="EC119" s="62"/>
      <c r="EF119" s="62"/>
    </row>
    <row r="120" spans="1:165" ht="10.199999999999999" customHeight="1" x14ac:dyDescent="0.2">
      <c r="B120">
        <v>44</v>
      </c>
      <c r="C120" s="57" t="b">
        <f>INDEX(tabber!$O$395:$O$402,R120)</f>
        <v>0</v>
      </c>
      <c r="D120" s="57" t="b">
        <f>INDEX(tabber!$P$395:$P$402,R120)</f>
        <v>0</v>
      </c>
      <c r="E120" t="s">
        <v>422</v>
      </c>
      <c r="F120" s="57">
        <f>INDEX(tabber!$L$407:$L$414,B120-36)</f>
        <v>13</v>
      </c>
      <c r="G120" s="57">
        <f>INDEX(tabber!$M$407:$M$414,B120-36)</f>
        <v>22</v>
      </c>
      <c r="H120" s="66">
        <f>INDEX(tabbermsp!$J$395:$J$402,$R120)</f>
        <v>13</v>
      </c>
      <c r="I120" s="67">
        <f>INDEX(tabbermsp!$K$395:$K$402,$R120)</f>
        <v>22</v>
      </c>
      <c r="J120" s="66">
        <f>H120</f>
        <v>13</v>
      </c>
      <c r="K120" s="67">
        <f>I120</f>
        <v>22</v>
      </c>
      <c r="L120" s="211">
        <f ca="1">IF(EJ120&lt;=0,0,INDEX(H120:I120,EJ120))</f>
        <v>0</v>
      </c>
      <c r="M120" s="211">
        <f ca="1">IF(EJ120&lt;=0,0,IF(INDEX(C120:D120,EJ120)=TRUE,INDEX(F120:G120,EJ120),0))</f>
        <v>0</v>
      </c>
      <c r="N120" s="212">
        <f ca="1">IF(L120=0,0,IF(L120=H120,I120,IF(L120=I120,H120,0)))</f>
        <v>0</v>
      </c>
      <c r="O120" s="212">
        <f ca="1">IF(M120=0,0,IF(M120=F120,G120,IF(M120=G120,F120,0)))</f>
        <v>0</v>
      </c>
      <c r="Q120" s="57">
        <v>8</v>
      </c>
      <c r="R120" s="218">
        <v>6</v>
      </c>
      <c r="S120" s="70"/>
      <c r="T120" s="516" t="str">
        <f>IF(CZ120,zeichen_gesperrt,"")</f>
        <v/>
      </c>
      <c r="U120" s="472" t="s">
        <v>422</v>
      </c>
      <c r="V120" s="357" t="s">
        <v>557</v>
      </c>
      <c r="W120" s="358">
        <v>0.875</v>
      </c>
      <c r="X120" s="486" t="str">
        <f>"Real: "&amp;VLOOKUP(BT120,$A$6:$F$20,3,FALSE)&amp;"  :  "&amp;VLOOKUP(BT120,$A$6:$F$20,4,FALSE)&amp;CHAR(10)&amp;"Tipp: "&amp;VLOOKUP(BT120,$A$6:$F$20,5,FALSE)&amp;"  :  "&amp;VLOOKUP(BT120,$A$6:$F$20,6,FALSE)</f>
        <v>Real: POL  :  GEO
Tipp: POL  :  GEO</v>
      </c>
      <c r="Y120" s="487"/>
      <c r="Z120" s="488"/>
      <c r="AA120" s="492" t="str">
        <f>INDEX(daten!$K$95:$K$110,Q120)</f>
        <v>1. D</v>
      </c>
      <c r="AB120" s="479"/>
      <c r="AC120" s="219" t="s">
        <v>583</v>
      </c>
      <c r="AD120" s="479" t="str">
        <f>INDEX(daten!$L$95:$L$110,Q120)</f>
        <v>2. F</v>
      </c>
      <c r="AE120" s="479"/>
      <c r="AF120" s="466"/>
      <c r="AG120" s="468" t="s">
        <v>583</v>
      </c>
      <c r="AH120" s="470"/>
      <c r="AI120" s="462"/>
      <c r="AJ120" s="462"/>
      <c r="AK120" s="464" t="s">
        <v>411</v>
      </c>
      <c r="AL120" s="223"/>
      <c r="AM120" s="628"/>
      <c r="AN120" s="628"/>
      <c r="AO120" s="629"/>
      <c r="AP120" s="418"/>
      <c r="AQ120" s="418"/>
      <c r="AR120" s="419"/>
      <c r="AS120" s="108"/>
      <c r="AT120" s="70"/>
      <c r="AU120" s="220" t="str">
        <f ca="1">IF(EH120=0,"",INDEX($DL$21:$DL$24,EH120))</f>
        <v/>
      </c>
      <c r="AV120" s="70"/>
      <c r="AW120" s="70"/>
      <c r="AX120" s="70"/>
      <c r="AY120" s="70"/>
      <c r="AZ120" s="70"/>
      <c r="BA120" s="70"/>
      <c r="BB120" s="221"/>
      <c r="BC120" s="221"/>
      <c r="BD120" s="221"/>
      <c r="BE120" s="221"/>
      <c r="BF120" s="437"/>
      <c r="BG120" s="439" t="s">
        <v>583</v>
      </c>
      <c r="BH120" s="432"/>
      <c r="BI120" s="517"/>
      <c r="BJ120" s="518"/>
      <c r="BK120" s="518"/>
      <c r="BL120" s="518"/>
      <c r="BM120" s="518"/>
      <c r="BN120" s="518"/>
      <c r="BO120" s="518"/>
      <c r="BP120" s="518"/>
      <c r="BQ120" s="518"/>
      <c r="BR120" s="70"/>
      <c r="BT120" t="s">
        <v>422</v>
      </c>
      <c r="BU120">
        <f>IF(COUNT(BF120,BH120)&lt;&gt;2,-1,IF(BF120&gt;BH120,1,IF(BF120&lt;BH120,2,0)))</f>
        <v>-1</v>
      </c>
      <c r="BV120" s="222">
        <f>IF(LEN(AA121)=0,0,IF(ISERROR(MATCH(AA121,teamsmitk,0)),0,MATCH(AA121,teamsmitk,0)))</f>
        <v>0</v>
      </c>
      <c r="BW120" s="222">
        <f>IF(LEN(AD121)=0,0,IF(ISERROR(MATCH(AD121,teamsmitk,0)),0,MATCH(AD121,teamsmitk,0)))</f>
        <v>0</v>
      </c>
      <c r="BZ120" t="b">
        <f>IF($AH$4,VLOOKUP(B120,$B$6:$P$13,14,FALSE),C120)</f>
        <v>0</v>
      </c>
      <c r="CA120" t="b">
        <f>IF($AH$4,VLOOKUP(B120,$B$6:$P$13,15,FALSE),D120)</f>
        <v>0</v>
      </c>
      <c r="CC120">
        <v>44</v>
      </c>
      <c r="CD120" t="b">
        <v>0</v>
      </c>
      <c r="CE120" s="216" t="str">
        <f>IF(CD120,IF(COUNT(CM120:CN120)=2,ABS(CM120),""),IF(COUNT(AF120,AH120)=2,ABS(AF120),""))</f>
        <v/>
      </c>
      <c r="CF120" s="216" t="str">
        <f>IF(CD120,IF(COUNT(CM120:CN120)=2,ABS(CN120),""),IF(COUNT(AF120,AH120)=2,ABS(AH120),""))</f>
        <v/>
      </c>
      <c r="CG120" s="138">
        <f>IF(SUM($CV$99:$CV$120)&gt;0,CO120,IF($CS$4&lt;&gt;1,CO120,IF(AND(LEN(AI120)&gt;0,NOT(DC120),$CS$4=1),1,0)))</f>
        <v>0</v>
      </c>
      <c r="CH120" s="138">
        <f>IF(OR(CD120,$CS$4&lt;&gt;3),CP120,ABS(VALUE(FG120)))</f>
        <v>0</v>
      </c>
      <c r="CI120" s="138">
        <f>IF(OR(CD120,CY120,NOT(CX120)),CQ120,IF(LEN(AK120)=0,0,IF(AK120=$CV$4,1,IF(AK120=$CV$5,2,0))))</f>
        <v>0</v>
      </c>
      <c r="CJ120" s="138">
        <f>IF(OR(CD120,$CS$6=0),CR120,IF(AND($CS$6&gt;1,CK120&gt;0),1,IF($CS$6=2,CR120,IF(EF120="EW",1,0))))</f>
        <v>0</v>
      </c>
      <c r="CK120" s="138">
        <f>IF(OR(CD120,$CS$6&lt;2),CS120,EI120)</f>
        <v>0</v>
      </c>
      <c r="CL120" s="138">
        <f ca="1">IF(OR(CD120,EK120=1),CT120,ED120)</f>
        <v>0</v>
      </c>
      <c r="CO120">
        <v>0</v>
      </c>
      <c r="CP120">
        <v>0</v>
      </c>
      <c r="CQ120">
        <v>0</v>
      </c>
      <c r="CR120">
        <v>0</v>
      </c>
      <c r="CS120">
        <v>0</v>
      </c>
      <c r="CT120">
        <v>0</v>
      </c>
      <c r="CV120">
        <f>IF(AND(CO120=1,CD120),1,0)</f>
        <v>0</v>
      </c>
      <c r="CX120" t="b">
        <f>AND($CS$5=1,COUNT(CE120:CF120)=2,CE120&lt;&gt;CF120)</f>
        <v>0</v>
      </c>
      <c r="CY120" t="b">
        <f>IF(LEN(AK120)=0,FALSE,IF(COUNT(CE120:CF120)&lt;&gt;2,TRUE,IF(AND(CX120,AK120=$CV$4,ABS(CE120-CF120)&gt;=2),FALSE,IF(AND(CX120,AK120=$CV$5,ABS(CE120-CF120)&gt;=3),FALSE,TRUE))))</f>
        <v>0</v>
      </c>
      <c r="CZ120" t="b">
        <v>0</v>
      </c>
      <c r="DA120">
        <f>IF(SUM($CV$99:$CV$120)&gt;0,CO120,IF(AND(LEN(AI120)&gt;0),1,0))</f>
        <v>0</v>
      </c>
      <c r="DB120">
        <f>SUM($DA$97:$DA120)</f>
        <v>0</v>
      </c>
      <c r="DC120" t="b">
        <f>OR(AND(DA120=1,OR(DB120&gt;1,$CS$4=3)))</f>
        <v>0</v>
      </c>
      <c r="DE120">
        <v>4</v>
      </c>
      <c r="DF120" s="137">
        <v>1</v>
      </c>
      <c r="DG120" s="137">
        <v>15</v>
      </c>
      <c r="DH120">
        <f>IF(NOT(ISNUMBER(AJ120)),DF120,IF(LEN(AJ120)=0,DF120,IF(AJ120&gt;DG120,DG120,IF(AJ120&lt;DF120,DF120,AJ120))))</f>
        <v>1</v>
      </c>
      <c r="DM120" t="s">
        <v>675</v>
      </c>
      <c r="DV120" s="223"/>
      <c r="DW120" s="224"/>
      <c r="DX120" s="224"/>
      <c r="DY120" s="225"/>
      <c r="EA120" t="b">
        <f ca="1">AU121="Ungültiger Sieger"</f>
        <v>0</v>
      </c>
      <c r="EB120" t="b">
        <f ca="1">AND($CS$6&gt;0,EF120&lt;&gt;0,EH120&gt;0)</f>
        <v>0</v>
      </c>
      <c r="EC120" s="62">
        <f>AP120</f>
        <v>0</v>
      </c>
      <c r="ED120" s="56">
        <f ca="1">IF(CC120&lt;37,0,IF(LEN(EC120)=0,0,IF(ISERROR(MATCH(EC120,OFFSET($CR$15:$CR$16,0,CC120-36),0)),0,MATCH(EC120,OFFSET($CR$15:$CR$16,0,CC120-36),0))))</f>
        <v>0</v>
      </c>
      <c r="EE120" s="57">
        <f>IF(COUNT(CE120:CF120)&lt;&gt;2,-1,IF(CE120&gt;CF120,1,IF(CE120&lt;CF120,2,0)))</f>
        <v>-1</v>
      </c>
      <c r="EF120" s="62">
        <f>AM120</f>
        <v>0</v>
      </c>
      <c r="EG120">
        <f ca="1">IF(CC120&lt;37,0,IF(LEN(EF120)=0,0,IF(ISERROR(MATCH(EF120,OFFSET($CR$15:$CR$16,0,CC120-37),0)),0,MATCH(EF120,OFFSET($CR$15:$CR$16,0,CC120-37),0))))</f>
        <v>0</v>
      </c>
      <c r="EH120">
        <f ca="1">IF(AND(EE120&lt;&gt;-1,settings!$C$29,EG120=0),4,IF(OR(CC120&lt;37,NOT($EH$31),$CS$6&lt;2,AND(EF120&lt;&gt;"EW",EG120=0)),0,IF(EE120=-1,1,IF(AND(EE120=0,$EH$28&lt;&gt;0),2,IF(AND(EE120&gt;0,$EH$28=0),2,IF(AND(EE120&gt;0,EG120&lt;&gt;EE120),3,0))))))</f>
        <v>0</v>
      </c>
      <c r="EI120">
        <f ca="1">IF(EH120=0,EG120,CS120)</f>
        <v>0</v>
      </c>
      <c r="EJ120">
        <f ca="1">IF(EE120&gt;0,EE120,IF(AND(EI120&gt;0,settings!$C$29=0),EI120,IF(ED120&gt;0,ED120,IF(EI120&gt;0,EI120,EE120))))</f>
        <v>-1</v>
      </c>
      <c r="EK120">
        <f ca="1">IF(AND(ED120&gt;0,ED120&lt;&gt;EJ120),1,0)</f>
        <v>0</v>
      </c>
      <c r="EL120" t="b">
        <f ca="1">AND(EE120&gt;-1,$EL$37,EJ120&lt;=0)</f>
        <v>0</v>
      </c>
      <c r="EM120" s="57">
        <f>IF(EXACT(CE120,CM120),0,1)</f>
        <v>0</v>
      </c>
      <c r="EN120" s="57">
        <f>IF(EXACT(CF120,CN120),0,1)</f>
        <v>0</v>
      </c>
      <c r="EO120" s="57">
        <f>IF($CS$400,0,IF(EXACT(CG120,CO120),0,1))</f>
        <v>0</v>
      </c>
      <c r="EP120" s="57">
        <f>IF($CS$4&lt;&gt;3,0,IF(AND(CH120=INDEX(settings!$I$19:$P$19,1),LEN(CP120)=0),0,IF(EXACT(CH120,CP120),0,1)))</f>
        <v>0</v>
      </c>
      <c r="EQ120" s="57">
        <f>IF(settings!$C$1100,0,IF(CI120=CQ120,0,1))</f>
        <v>0</v>
      </c>
      <c r="ER120" s="57">
        <f>IF($CS$6=0,0,IF(CJ120=CR120,0,1))</f>
        <v>0</v>
      </c>
      <c r="ES120" s="57">
        <f>IF($CS$6&lt;2,0,IF(CK120=CS120,0,1))</f>
        <v>0</v>
      </c>
      <c r="ET120" s="57">
        <f>IF(DR121&lt;37,0,IF(CL120=CT120,0,1))</f>
        <v>0</v>
      </c>
      <c r="EU120" s="57">
        <f>IF(CD120,0,SUM(EM120:ET120))</f>
        <v>0</v>
      </c>
      <c r="FB120">
        <f>IF(DH120&lt;FH97,FH97,DH120)</f>
        <v>1</v>
      </c>
      <c r="FC120">
        <f>FC117+1</f>
        <v>8</v>
      </c>
      <c r="FD120">
        <f>FD117</f>
        <v>1</v>
      </c>
      <c r="FE120">
        <f>IF(CD120,CP120,IF(FB120&gt;FI97,FI97,FB120))</f>
        <v>1</v>
      </c>
      <c r="FG120">
        <f>IF(CD120,FE120,IF(FE120&lt;=FH117,FE120,IF(FH117&lt;0,0,FH117)))</f>
        <v>1</v>
      </c>
      <c r="FH120">
        <f>FG97-SUM(FG98:FG120)-SUM(FD121:FD123)+FH97</f>
        <v>73</v>
      </c>
      <c r="FI120" t="b">
        <f>FG120&lt;&gt;AJ120</f>
        <v>1</v>
      </c>
    </row>
    <row r="121" spans="1:165" ht="12" customHeight="1" x14ac:dyDescent="0.2">
      <c r="D121" s="57"/>
      <c r="E121" s="57"/>
      <c r="F121" s="57"/>
      <c r="G121" s="57"/>
      <c r="H121" s="66"/>
      <c r="I121" s="67"/>
      <c r="J121" s="66"/>
      <c r="K121" s="67"/>
      <c r="L121" s="211"/>
      <c r="M121" s="211"/>
      <c r="N121" s="212"/>
      <c r="O121" s="212"/>
      <c r="Q121" s="57"/>
      <c r="R121" s="57"/>
      <c r="S121" s="70"/>
      <c r="T121" s="516" t="str">
        <f>IF(CZ121,zeichen_gesperrt,"")</f>
        <v/>
      </c>
      <c r="U121" s="473"/>
      <c r="V121" s="474" t="s">
        <v>558</v>
      </c>
      <c r="W121" s="474"/>
      <c r="X121" s="489"/>
      <c r="Y121" s="490"/>
      <c r="Z121" s="491"/>
      <c r="AA121" s="475"/>
      <c r="AB121" s="476"/>
      <c r="AC121" s="226" t="s">
        <v>583</v>
      </c>
      <c r="AD121" s="477"/>
      <c r="AE121" s="478"/>
      <c r="AF121" s="467"/>
      <c r="AG121" s="469"/>
      <c r="AH121" s="471"/>
      <c r="AI121" s="463"/>
      <c r="AJ121" s="463"/>
      <c r="AK121" s="465"/>
      <c r="AL121" s="223"/>
      <c r="AM121" s="628"/>
      <c r="AN121" s="628"/>
      <c r="AO121" s="629"/>
      <c r="AP121" s="420"/>
      <c r="AQ121" s="420"/>
      <c r="AR121" s="421"/>
      <c r="AS121" s="108"/>
      <c r="AT121" s="70"/>
      <c r="AU121" s="220" t="str">
        <f ca="1">IF(AND(ED120&gt;0,EE120&gt;-1,EK120=1),"Ungültiger Sieger",IF(EL120,"Sieger fehlt!",""))</f>
        <v/>
      </c>
      <c r="AV121" s="70"/>
      <c r="AW121" s="70"/>
      <c r="AX121" s="70"/>
      <c r="AY121" s="70"/>
      <c r="AZ121" s="70"/>
      <c r="BA121" s="70"/>
      <c r="BB121" s="221"/>
      <c r="BC121" s="221"/>
      <c r="BD121" s="221"/>
      <c r="BE121" s="221"/>
      <c r="BF121" s="438"/>
      <c r="BG121" s="440"/>
      <c r="BH121" s="433"/>
      <c r="BI121" s="517"/>
      <c r="BJ121" s="518"/>
      <c r="BK121" s="518"/>
      <c r="BL121" s="518"/>
      <c r="BM121" s="518"/>
      <c r="BN121" s="518"/>
      <c r="BO121" s="518"/>
      <c r="BP121" s="518"/>
      <c r="BQ121" s="518"/>
      <c r="BR121" s="70"/>
      <c r="BU121" s="355" t="b">
        <f ca="1">IF(LEN(AA121)=0,FALSE,ISERROR(MATCH(AA121,OFFSET($U$326:$U$349,0,Q120*2),0)))</f>
        <v>0</v>
      </c>
      <c r="BV121" s="356" t="b">
        <f ca="1">IF(LEN(AD121)=0,FALSE,ISERROR(MATCH(AD121,OFFSET($V$326:$V$349,0,Q120*2),0)))</f>
        <v>0</v>
      </c>
      <c r="BW121" s="222"/>
      <c r="BX121" t="b">
        <f>VLOOKUP(BT120,$BU$175:$CA$190,6,FALSE)&lt;&gt;BV120</f>
        <v>0</v>
      </c>
      <c r="BY121" t="b">
        <f>VLOOKUP(BT120,$BU$175:$CA$190,7,FALSE)&lt;&gt;BW120</f>
        <v>0</v>
      </c>
      <c r="BZ121" s="227" t="str">
        <f ca="1">IF(EJ120&lt;=0," ",IF(EJ120=1,AA121,AD121))</f>
        <v xml:space="preserve"> </v>
      </c>
      <c r="CA121" s="227" t="str">
        <f ca="1">IF(EJ120&lt;=0," ",IF(EJ120=1,AD121,AA121))</f>
        <v xml:space="preserve"> </v>
      </c>
      <c r="DF121" s="137"/>
      <c r="DG121" s="137"/>
      <c r="DN121" t="s">
        <v>677</v>
      </c>
      <c r="DQ121" t="s">
        <v>688</v>
      </c>
      <c r="DS121">
        <f>SUM(DS122:DS127)</f>
        <v>0</v>
      </c>
      <c r="DT121" t="b">
        <f>SUM(DS122:DS127)=4</f>
        <v>0</v>
      </c>
      <c r="DV121" s="223"/>
      <c r="DW121" s="224"/>
      <c r="DX121" s="224"/>
      <c r="DY121" s="225"/>
      <c r="EC121" s="62"/>
      <c r="EF121" s="62"/>
    </row>
    <row r="122" spans="1:165" ht="3.9" customHeight="1" thickBot="1" x14ac:dyDescent="0.25">
      <c r="D122" s="57"/>
      <c r="E122" s="57"/>
      <c r="F122" s="57"/>
      <c r="G122" s="57"/>
      <c r="H122" s="66"/>
      <c r="I122" s="67"/>
      <c r="J122" s="66"/>
      <c r="K122" s="67"/>
      <c r="L122" s="211"/>
      <c r="M122" s="211"/>
      <c r="N122" s="212"/>
      <c r="O122" s="212"/>
      <c r="Q122" s="57"/>
      <c r="R122" s="57"/>
      <c r="S122" s="70"/>
      <c r="T122" s="178"/>
      <c r="U122" s="192"/>
      <c r="V122" s="233"/>
      <c r="W122" s="233"/>
      <c r="X122" s="233"/>
      <c r="Y122" s="233"/>
      <c r="Z122" s="234"/>
      <c r="AA122" s="233"/>
      <c r="AB122" s="233"/>
      <c r="AC122" s="233"/>
      <c r="AD122" s="233"/>
      <c r="AE122" s="233"/>
      <c r="AF122" s="234"/>
      <c r="AG122" s="234"/>
      <c r="AH122" s="234"/>
      <c r="AI122" s="234"/>
      <c r="AJ122" s="234"/>
      <c r="AK122" s="234"/>
      <c r="AL122" s="236"/>
      <c r="AM122" s="236"/>
      <c r="AN122" s="236"/>
      <c r="AO122" s="236"/>
      <c r="AP122" s="234"/>
      <c r="AQ122" s="234"/>
      <c r="AR122" s="234"/>
      <c r="AS122" s="235"/>
      <c r="AT122" s="70"/>
      <c r="AU122" s="70"/>
      <c r="AV122" s="70"/>
      <c r="AW122" s="70"/>
      <c r="AX122" s="70"/>
      <c r="AY122" s="70"/>
      <c r="AZ122" s="70"/>
      <c r="BA122" s="70"/>
      <c r="BB122" s="71"/>
      <c r="BC122" s="71"/>
      <c r="BD122" s="71"/>
      <c r="BE122" s="71"/>
      <c r="BF122" s="70"/>
      <c r="BG122" s="70"/>
      <c r="BH122" s="89"/>
      <c r="BI122" s="232"/>
      <c r="BJ122" s="71"/>
      <c r="BK122" s="70"/>
      <c r="BL122" s="70"/>
      <c r="BM122" s="70"/>
      <c r="BN122" s="70"/>
      <c r="BO122" s="70"/>
      <c r="BP122" s="70"/>
      <c r="BQ122" s="70"/>
      <c r="BR122" s="70"/>
      <c r="BV122" s="222"/>
      <c r="BW122" s="222"/>
      <c r="DF122" s="137"/>
      <c r="DG122" s="137"/>
      <c r="DM122" t="s">
        <v>581</v>
      </c>
      <c r="DN122" t="b">
        <f t="array" ref="DN122">SUM(IF(DL93:DL116=DM122,IF(DO93:DO116&gt;0,1,0)))=4</f>
        <v>0</v>
      </c>
      <c r="DQ122" t="s">
        <v>581</v>
      </c>
      <c r="DR122">
        <f>$BQ$42</f>
        <v>0</v>
      </c>
      <c r="DS122">
        <f t="shared" ref="DS122:DS127" si="112">IF(DR122=$DD$2,1,0)</f>
        <v>0</v>
      </c>
      <c r="DT122">
        <f t="shared" ref="DT122:DT127" si="113">IF(NOT($DT$121),99,IF(DS122=1,ROW()-121,99))</f>
        <v>99</v>
      </c>
      <c r="DV122" s="236"/>
      <c r="DW122" s="236"/>
      <c r="DX122" s="236"/>
      <c r="DY122" s="236"/>
      <c r="EC122" s="62"/>
      <c r="EF122" s="62"/>
    </row>
    <row r="123" spans="1:165" ht="8.1" customHeight="1" thickBot="1" x14ac:dyDescent="0.25">
      <c r="D123" s="57"/>
      <c r="E123" s="57"/>
      <c r="F123" s="57"/>
      <c r="G123" s="57"/>
      <c r="H123" s="66"/>
      <c r="I123" s="67"/>
      <c r="J123" s="66"/>
      <c r="K123" s="67"/>
      <c r="L123" s="211"/>
      <c r="M123" s="211"/>
      <c r="N123" s="212"/>
      <c r="O123" s="212"/>
      <c r="S123" s="70"/>
      <c r="T123" s="70"/>
      <c r="U123" s="70"/>
      <c r="V123" s="70"/>
      <c r="W123" s="70"/>
      <c r="X123" s="70"/>
      <c r="Y123" s="70"/>
      <c r="Z123" s="70"/>
      <c r="AA123" s="70"/>
      <c r="AB123" s="70"/>
      <c r="AC123" s="70"/>
      <c r="AD123" s="70"/>
      <c r="AE123" s="70"/>
      <c r="AF123" s="70"/>
      <c r="AG123" s="70"/>
      <c r="AH123" s="70"/>
      <c r="AI123" s="70"/>
      <c r="AJ123" s="70"/>
      <c r="AK123" s="70"/>
      <c r="AL123" s="237"/>
      <c r="AM123" s="237"/>
      <c r="AN123" s="237"/>
      <c r="AO123" s="237"/>
      <c r="AP123" s="70"/>
      <c r="AQ123" s="70"/>
      <c r="AR123" s="70"/>
      <c r="AS123" s="70"/>
      <c r="AT123" s="70"/>
      <c r="AU123" s="70"/>
      <c r="AV123" s="70"/>
      <c r="AW123" s="70"/>
      <c r="AX123" s="70"/>
      <c r="AY123" s="70"/>
      <c r="AZ123" s="70"/>
      <c r="BA123" s="70"/>
      <c r="BB123" s="71"/>
      <c r="BC123" s="71"/>
      <c r="BD123" s="71"/>
      <c r="BE123" s="71"/>
      <c r="BF123" s="70"/>
      <c r="BG123" s="70"/>
      <c r="BH123" s="89"/>
      <c r="BI123" s="232"/>
      <c r="BJ123" s="71"/>
      <c r="BK123" s="70"/>
      <c r="BL123" s="70"/>
      <c r="BM123" s="70"/>
      <c r="BN123" s="70"/>
      <c r="BO123" s="70"/>
      <c r="BP123" s="70"/>
      <c r="BQ123" s="70"/>
      <c r="BR123" s="70"/>
      <c r="BV123" s="222"/>
      <c r="BW123" s="222"/>
      <c r="DF123" s="137"/>
      <c r="DG123" s="137"/>
      <c r="DM123" t="s">
        <v>601</v>
      </c>
      <c r="DN123" t="b">
        <f t="array" ref="DN123">SUM(IF(DL93:DL116=DM123,IF(DO93:DO116&gt;0,1,0)))=4</f>
        <v>0</v>
      </c>
      <c r="DQ123" t="s">
        <v>601</v>
      </c>
      <c r="DR123">
        <f>$BQ$49</f>
        <v>0</v>
      </c>
      <c r="DS123">
        <f t="shared" si="112"/>
        <v>0</v>
      </c>
      <c r="DT123">
        <f t="shared" si="113"/>
        <v>99</v>
      </c>
      <c r="DV123" s="237"/>
      <c r="DW123" s="237"/>
      <c r="DX123" s="237"/>
      <c r="DY123" s="237"/>
      <c r="EC123" s="62"/>
      <c r="EF123" s="62"/>
    </row>
    <row r="124" spans="1:165" ht="3.9" customHeight="1" x14ac:dyDescent="0.2">
      <c r="D124" s="57"/>
      <c r="E124" s="57"/>
      <c r="F124" s="57"/>
      <c r="G124" s="57"/>
      <c r="H124" s="66"/>
      <c r="I124" s="67"/>
      <c r="J124" s="66"/>
      <c r="K124" s="67"/>
      <c r="L124" s="211"/>
      <c r="M124" s="211"/>
      <c r="N124" s="212"/>
      <c r="O124" s="212"/>
      <c r="S124" s="70"/>
      <c r="T124" s="95"/>
      <c r="U124" s="96"/>
      <c r="V124" s="96"/>
      <c r="W124" s="96"/>
      <c r="X124" s="96"/>
      <c r="Y124" s="96"/>
      <c r="Z124" s="96"/>
      <c r="AA124" s="96"/>
      <c r="AB124" s="96"/>
      <c r="AC124" s="96"/>
      <c r="AD124" s="96"/>
      <c r="AE124" s="96"/>
      <c r="AF124" s="96"/>
      <c r="AG124" s="96"/>
      <c r="AH124" s="96"/>
      <c r="AI124" s="96"/>
      <c r="AJ124" s="96"/>
      <c r="AK124" s="96"/>
      <c r="AL124" s="238"/>
      <c r="AM124" s="238"/>
      <c r="AN124" s="238"/>
      <c r="AO124" s="238"/>
      <c r="AP124" s="96"/>
      <c r="AQ124" s="96"/>
      <c r="AR124" s="96"/>
      <c r="AS124" s="97"/>
      <c r="AT124" s="70"/>
      <c r="AU124" s="70"/>
      <c r="AV124" s="70"/>
      <c r="AW124" s="70"/>
      <c r="AX124" s="70"/>
      <c r="AY124" s="70"/>
      <c r="AZ124" s="70"/>
      <c r="BA124" s="70"/>
      <c r="BB124" s="71"/>
      <c r="BC124" s="71"/>
      <c r="BD124" s="71"/>
      <c r="BE124" s="71"/>
      <c r="BF124" s="70"/>
      <c r="BG124" s="70"/>
      <c r="BH124" s="89"/>
      <c r="BI124" s="232"/>
      <c r="BJ124" s="71"/>
      <c r="BK124" s="70"/>
      <c r="BL124" s="70"/>
      <c r="BM124" s="70"/>
      <c r="BN124" s="70"/>
      <c r="BO124" s="70"/>
      <c r="BP124" s="70"/>
      <c r="BQ124" s="70"/>
      <c r="BR124" s="70"/>
      <c r="BV124" s="222"/>
      <c r="BW124" s="222"/>
      <c r="DF124" s="137"/>
      <c r="DG124" s="137"/>
      <c r="DM124" t="s">
        <v>613</v>
      </c>
      <c r="DN124" t="b">
        <f t="array" ref="DN124">SUM(IF(DL93:DL116=DM124,IF(DO93:DO116&gt;0,1,0)))=4</f>
        <v>0</v>
      </c>
      <c r="DQ124" t="s">
        <v>613</v>
      </c>
      <c r="DR124">
        <f>$BQ$61</f>
        <v>0</v>
      </c>
      <c r="DS124">
        <f t="shared" si="112"/>
        <v>0</v>
      </c>
      <c r="DT124">
        <f t="shared" si="113"/>
        <v>99</v>
      </c>
      <c r="DV124" s="238"/>
      <c r="DW124" s="238"/>
      <c r="DX124" s="238"/>
      <c r="DY124" s="238"/>
      <c r="EC124" s="62"/>
      <c r="EF124" s="62"/>
    </row>
    <row r="125" spans="1:165" ht="15" customHeight="1" x14ac:dyDescent="0.2">
      <c r="D125" s="57"/>
      <c r="E125" s="57"/>
      <c r="F125" s="57"/>
      <c r="G125" s="57"/>
      <c r="H125" s="66"/>
      <c r="I125" s="67"/>
      <c r="J125" s="66"/>
      <c r="K125" s="67"/>
      <c r="L125" s="211"/>
      <c r="M125" s="211"/>
      <c r="N125" s="212"/>
      <c r="O125" s="212"/>
      <c r="S125" s="70"/>
      <c r="T125" s="99"/>
      <c r="U125" s="100" t="s">
        <v>731</v>
      </c>
      <c r="V125" s="207"/>
      <c r="W125" s="208" t="str">
        <f xml:space="preserve"> IF($CA$11," Die angezeigten Paarungen sind evtl.  NICHT  die tatsächlich zu tippenden realen Spiele sondern ihre VORHERSAGEN.","")</f>
        <v/>
      </c>
      <c r="X125" s="209"/>
      <c r="Y125" s="209"/>
      <c r="Z125" s="209"/>
      <c r="AA125" s="209"/>
      <c r="AB125" s="209"/>
      <c r="AC125" s="209"/>
      <c r="AD125" s="209"/>
      <c r="AE125" s="209"/>
      <c r="AF125" s="102"/>
      <c r="AG125" s="102"/>
      <c r="AH125" s="102"/>
      <c r="AI125" s="102"/>
      <c r="AJ125" s="102"/>
      <c r="AK125" s="102"/>
      <c r="AL125" s="210"/>
      <c r="AM125" s="210"/>
      <c r="AN125" s="210"/>
      <c r="AO125" s="210"/>
      <c r="AP125" s="210"/>
      <c r="AQ125" s="210"/>
      <c r="AR125" s="210"/>
      <c r="AS125" s="108"/>
      <c r="AT125" s="70"/>
      <c r="AU125" s="70"/>
      <c r="AV125" s="70"/>
      <c r="AW125" s="70"/>
      <c r="AX125" s="70"/>
      <c r="AY125" s="70"/>
      <c r="AZ125" s="70"/>
      <c r="BA125" s="70"/>
      <c r="BB125" s="71"/>
      <c r="BC125" s="71"/>
      <c r="BD125" s="71"/>
      <c r="BE125" s="71"/>
      <c r="BF125" s="70"/>
      <c r="BG125" s="70"/>
      <c r="BH125" s="89"/>
      <c r="BI125" s="232"/>
      <c r="BJ125" s="71"/>
      <c r="BK125" s="70"/>
      <c r="BL125" s="70"/>
      <c r="BM125" s="70"/>
      <c r="BN125" s="70"/>
      <c r="BO125" s="70"/>
      <c r="BP125" s="70"/>
      <c r="BQ125" s="70"/>
      <c r="BR125" s="70"/>
      <c r="BV125" s="222"/>
      <c r="BW125" s="222"/>
      <c r="DF125" s="137"/>
      <c r="DG125" s="137"/>
      <c r="DM125" t="s">
        <v>608</v>
      </c>
      <c r="DN125" t="b">
        <f t="array" ref="DN125">SUM(IF(DL93:DL116=DM125,IF(DO93:DO116&gt;0,1,0)))=4</f>
        <v>0</v>
      </c>
      <c r="DQ125" t="s">
        <v>608</v>
      </c>
      <c r="DR125">
        <f>$BQ$68</f>
        <v>0</v>
      </c>
      <c r="DS125">
        <f t="shared" si="112"/>
        <v>0</v>
      </c>
      <c r="DT125">
        <f t="shared" si="113"/>
        <v>99</v>
      </c>
      <c r="DV125" s="210"/>
      <c r="DW125" s="210"/>
      <c r="DX125" s="210"/>
      <c r="DY125" s="210"/>
      <c r="EC125" s="62"/>
      <c r="EF125" s="62"/>
      <c r="FG125" s="57"/>
      <c r="FH125" s="57"/>
      <c r="FI125" s="57"/>
    </row>
    <row r="126" spans="1:165" ht="11.25" hidden="1" customHeight="1" thickBot="1" x14ac:dyDescent="0.25">
      <c r="D126" s="57"/>
      <c r="E126" s="57"/>
      <c r="F126" s="57"/>
      <c r="G126" s="57"/>
      <c r="H126" s="66"/>
      <c r="I126" s="67"/>
      <c r="J126" s="66"/>
      <c r="K126" s="67"/>
      <c r="L126" s="211"/>
      <c r="M126" s="211"/>
      <c r="N126" s="212"/>
      <c r="O126" s="212"/>
      <c r="S126" s="70"/>
      <c r="T126" s="99"/>
      <c r="U126" s="481" t="s">
        <v>469</v>
      </c>
      <c r="V126" s="481"/>
      <c r="W126" s="482"/>
      <c r="X126" s="104">
        <f>INDEX(settings!$I$18:$P$18,DE130)</f>
        <v>40</v>
      </c>
      <c r="Y126" s="481" t="s">
        <v>470</v>
      </c>
      <c r="Z126" s="482"/>
      <c r="AA126" s="105">
        <f>DF130</f>
        <v>1</v>
      </c>
      <c r="AB126" s="104">
        <f>DG130</f>
        <v>15</v>
      </c>
      <c r="AC126" s="481" t="s">
        <v>471</v>
      </c>
      <c r="AD126" s="482"/>
      <c r="AE126" s="104">
        <f>X126-AJ126</f>
        <v>36</v>
      </c>
      <c r="AF126" s="483"/>
      <c r="AG126" s="484"/>
      <c r="AH126" s="484"/>
      <c r="AI126" s="102"/>
      <c r="AJ126" s="107">
        <f>SUM(FG130:FG141)</f>
        <v>4</v>
      </c>
      <c r="AK126" s="101"/>
      <c r="AL126" s="102"/>
      <c r="AM126" s="102"/>
      <c r="AN126" s="102"/>
      <c r="AO126" s="217"/>
      <c r="AP126" s="102"/>
      <c r="AQ126" s="102"/>
      <c r="AR126" s="101"/>
      <c r="AS126" s="108"/>
      <c r="AT126" s="70"/>
      <c r="AU126" s="70"/>
      <c r="AV126" s="70"/>
      <c r="AW126" s="70"/>
      <c r="AX126" s="70"/>
      <c r="AY126" s="70"/>
      <c r="AZ126" s="70"/>
      <c r="BA126" s="70"/>
      <c r="BB126" s="71"/>
      <c r="BC126" s="71"/>
      <c r="BD126" s="71"/>
      <c r="BE126" s="71"/>
      <c r="BF126" s="70"/>
      <c r="BG126" s="70"/>
      <c r="BH126" s="89"/>
      <c r="BI126" s="232"/>
      <c r="BJ126" s="71"/>
      <c r="BK126" s="70"/>
      <c r="BL126" s="70"/>
      <c r="BM126" s="70"/>
      <c r="BN126" s="70"/>
      <c r="BO126" s="70"/>
      <c r="BP126" s="70"/>
      <c r="BQ126" s="70"/>
      <c r="BR126" s="70"/>
      <c r="BV126" s="222"/>
      <c r="BW126" s="222"/>
      <c r="DF126" s="137"/>
      <c r="DG126" s="137"/>
      <c r="DM126" t="s">
        <v>487</v>
      </c>
      <c r="DN126" t="b">
        <f t="array" ref="DN126">SUM(IF(DL93:DL116=DM126,IF(DO93:DO116&gt;0,1,0)))=4</f>
        <v>0</v>
      </c>
      <c r="DQ126" t="s">
        <v>487</v>
      </c>
      <c r="DR126">
        <f>$BQ$80</f>
        <v>0</v>
      </c>
      <c r="DS126">
        <f t="shared" si="112"/>
        <v>0</v>
      </c>
      <c r="DT126">
        <f t="shared" si="113"/>
        <v>99</v>
      </c>
      <c r="DV126" s="102"/>
      <c r="DW126" s="102"/>
      <c r="DX126" s="102"/>
      <c r="DY126" s="217"/>
      <c r="EC126" s="62"/>
      <c r="EF126" s="62"/>
      <c r="FG126" s="57"/>
      <c r="FH126" s="57"/>
      <c r="FI126" s="57"/>
    </row>
    <row r="127" spans="1:165" ht="14.1" customHeight="1" x14ac:dyDescent="0.2">
      <c r="D127" s="57"/>
      <c r="E127" s="57"/>
      <c r="F127" s="57"/>
      <c r="G127" s="57"/>
      <c r="H127" s="66"/>
      <c r="I127" s="67"/>
      <c r="J127" s="66"/>
      <c r="K127" s="67"/>
      <c r="L127" s="211"/>
      <c r="M127" s="211"/>
      <c r="N127" s="212"/>
      <c r="O127" s="212"/>
      <c r="S127" s="70"/>
      <c r="T127" s="99"/>
      <c r="U127" s="111" t="str">
        <f>IF($CS$4&lt;&gt;3,"","Für Spiele OHNE Einsatz gilt automatisch der Mindesteinsatz. ROT: Eintrag wird auf min. bzw. max. erlaubte Werte korrigiert.")</f>
        <v/>
      </c>
      <c r="V127" s="106"/>
      <c r="W127" s="106"/>
      <c r="X127" s="110"/>
      <c r="Y127" s="106"/>
      <c r="Z127" s="106"/>
      <c r="AA127" s="110"/>
      <c r="AB127" s="110"/>
      <c r="AC127" s="106"/>
      <c r="AD127" s="106"/>
      <c r="AE127" s="110"/>
      <c r="AF127" s="101"/>
      <c r="AG127" s="101"/>
      <c r="AH127" s="101"/>
      <c r="AI127" s="101"/>
      <c r="AJ127" s="101"/>
      <c r="AK127" s="101"/>
      <c r="AL127" s="102"/>
      <c r="AM127" s="102"/>
      <c r="AN127" s="102"/>
      <c r="AO127" s="217"/>
      <c r="AP127" s="102"/>
      <c r="AQ127" s="102"/>
      <c r="AR127" s="101"/>
      <c r="AS127" s="108"/>
      <c r="AT127" s="70"/>
      <c r="AU127" s="70"/>
      <c r="AV127" s="70"/>
      <c r="AW127" s="70"/>
      <c r="AX127" s="70"/>
      <c r="AY127" s="70"/>
      <c r="AZ127" s="70"/>
      <c r="BA127" s="70"/>
      <c r="BB127" s="71"/>
      <c r="BC127" s="71"/>
      <c r="BD127" s="71"/>
      <c r="BE127" s="71"/>
      <c r="BF127" s="70"/>
      <c r="BG127" s="70"/>
      <c r="BH127" s="89"/>
      <c r="BI127" s="232"/>
      <c r="BJ127" s="71"/>
      <c r="BK127" s="70"/>
      <c r="BL127" s="70"/>
      <c r="BM127" s="70"/>
      <c r="BN127" s="70"/>
      <c r="BO127" s="70"/>
      <c r="BP127" s="70"/>
      <c r="BQ127" s="70"/>
      <c r="BR127" s="70"/>
      <c r="BV127" s="222"/>
      <c r="BW127" s="222"/>
      <c r="DF127" s="137"/>
      <c r="DG127" s="137"/>
      <c r="DM127" t="s">
        <v>632</v>
      </c>
      <c r="DN127" t="b">
        <f t="array" ref="DN127">SUM(IF(DL93:DL116=DM127,IF(DO93:DO116&gt;0,1,0)))=4</f>
        <v>0</v>
      </c>
      <c r="DQ127" t="s">
        <v>632</v>
      </c>
      <c r="DR127">
        <f>$BQ$87</f>
        <v>0</v>
      </c>
      <c r="DS127">
        <f t="shared" si="112"/>
        <v>0</v>
      </c>
      <c r="DT127">
        <f t="shared" si="113"/>
        <v>99</v>
      </c>
      <c r="DV127" s="102"/>
      <c r="DW127" s="102"/>
      <c r="DX127" s="102"/>
      <c r="DY127" s="217"/>
      <c r="EC127" s="62"/>
      <c r="EF127" s="62"/>
      <c r="FG127" s="57" t="s">
        <v>482</v>
      </c>
      <c r="FH127" s="57" t="s">
        <v>483</v>
      </c>
      <c r="FI127" s="57" t="s">
        <v>484</v>
      </c>
    </row>
    <row r="128" spans="1:165" x14ac:dyDescent="0.2">
      <c r="A128" s="239" t="s">
        <v>732</v>
      </c>
      <c r="B128" s="239"/>
      <c r="D128" s="57"/>
      <c r="E128" s="57"/>
      <c r="F128" s="57" t="s">
        <v>387</v>
      </c>
      <c r="G128" s="57"/>
      <c r="H128" s="66" t="s">
        <v>702</v>
      </c>
      <c r="I128" s="67"/>
      <c r="J128" s="66" t="s">
        <v>703</v>
      </c>
      <c r="K128" s="67"/>
      <c r="L128" s="211" t="s">
        <v>704</v>
      </c>
      <c r="M128" s="211" t="s">
        <v>705</v>
      </c>
      <c r="N128" s="211" t="s">
        <v>706</v>
      </c>
      <c r="O128" s="211" t="s">
        <v>707</v>
      </c>
      <c r="S128" s="70"/>
      <c r="T128" s="99"/>
      <c r="U128" s="182" t="s">
        <v>596</v>
      </c>
      <c r="V128" s="106"/>
      <c r="W128" s="106"/>
      <c r="X128" s="422" t="s">
        <v>722</v>
      </c>
      <c r="Y128" s="422"/>
      <c r="Z128" s="422"/>
      <c r="AA128" s="422" t="str">
        <f>"Paarung " &amp; IF($CA$11," (Vorhersagen)","")</f>
        <v xml:space="preserve">Paarung </v>
      </c>
      <c r="AB128" s="485"/>
      <c r="AC128" s="485"/>
      <c r="AD128" s="485"/>
      <c r="AE128" s="485"/>
      <c r="AF128" s="422" t="s">
        <v>486</v>
      </c>
      <c r="AG128" s="422"/>
      <c r="AH128" s="422"/>
      <c r="AI128" s="102" t="str">
        <f>IF($CS$4=2,"TS","J")</f>
        <v>J</v>
      </c>
      <c r="AJ128" s="102" t="s">
        <v>487</v>
      </c>
      <c r="AK128" s="102" t="s">
        <v>488</v>
      </c>
      <c r="AL128" s="102"/>
      <c r="AM128" s="102"/>
      <c r="AN128" s="102"/>
      <c r="AO128" s="102"/>
      <c r="AP128" s="422" t="s">
        <v>467</v>
      </c>
      <c r="AQ128" s="422"/>
      <c r="AR128" s="422"/>
      <c r="AS128" s="108"/>
      <c r="AT128" s="70"/>
      <c r="AU128" s="70"/>
      <c r="AV128" s="70"/>
      <c r="AW128" s="70"/>
      <c r="AX128" s="70"/>
      <c r="AY128" s="70"/>
      <c r="AZ128" s="70"/>
      <c r="BA128" s="70"/>
      <c r="BB128" s="71"/>
      <c r="BC128" s="71"/>
      <c r="BD128" s="71"/>
      <c r="BE128" s="71"/>
      <c r="BF128" s="521" t="s">
        <v>1106</v>
      </c>
      <c r="BG128" s="521"/>
      <c r="BH128" s="521"/>
      <c r="BI128" s="521"/>
      <c r="BJ128" s="521"/>
      <c r="BK128" s="521"/>
      <c r="BL128" s="521"/>
      <c r="BM128" s="521"/>
      <c r="BN128" s="521"/>
      <c r="BO128" s="521"/>
      <c r="BP128" s="521"/>
      <c r="BQ128" s="521"/>
      <c r="BR128" s="70"/>
      <c r="BV128" s="222"/>
      <c r="BW128" s="222"/>
      <c r="BZ128" t="s">
        <v>467</v>
      </c>
      <c r="CA128" t="s">
        <v>712</v>
      </c>
      <c r="CJ128" s="216" t="s">
        <v>409</v>
      </c>
      <c r="CK128" s="216" t="s">
        <v>497</v>
      </c>
      <c r="CL128" s="216" t="s">
        <v>498</v>
      </c>
      <c r="DF128" s="137"/>
      <c r="DG128" s="137"/>
      <c r="DV128" s="102"/>
      <c r="DW128" s="102"/>
      <c r="DX128" s="102"/>
      <c r="DY128" s="102"/>
      <c r="EC128" s="62"/>
      <c r="EF128" s="62"/>
      <c r="FD128">
        <v>5</v>
      </c>
      <c r="FE128" t="s">
        <v>578</v>
      </c>
      <c r="FG128" s="57">
        <f>INDEX(settings!$I$18:$P$20,1,FD128)</f>
        <v>40</v>
      </c>
      <c r="FH128" s="57">
        <f>INDEX(settings!$I$18:$P$20,2,FD128)</f>
        <v>1</v>
      </c>
      <c r="FI128" s="57">
        <f>INDEX(settings!$I$18:$P$20,3,FD128)</f>
        <v>15</v>
      </c>
    </row>
    <row r="129" spans="1:165" ht="3.9" customHeight="1" x14ac:dyDescent="0.2">
      <c r="A129" s="239"/>
      <c r="B129" s="239"/>
      <c r="D129" s="57"/>
      <c r="E129" s="57"/>
      <c r="F129" s="57"/>
      <c r="G129" s="57"/>
      <c r="H129" s="66"/>
      <c r="I129" s="67"/>
      <c r="J129" s="66"/>
      <c r="K129" s="67"/>
      <c r="L129" s="211"/>
      <c r="M129" s="211"/>
      <c r="N129" s="212"/>
      <c r="O129" s="212"/>
      <c r="S129" s="70"/>
      <c r="T129" s="99"/>
      <c r="U129" s="110"/>
      <c r="V129" s="101"/>
      <c r="W129" s="101"/>
      <c r="X129" s="101"/>
      <c r="Y129" s="101"/>
      <c r="Z129" s="101"/>
      <c r="AA129" s="101"/>
      <c r="AB129" s="101"/>
      <c r="AC129" s="101"/>
      <c r="AD129" s="101"/>
      <c r="AE129" s="101"/>
      <c r="AF129" s="101"/>
      <c r="AG129" s="101"/>
      <c r="AH129" s="101"/>
      <c r="AI129" s="101"/>
      <c r="AJ129" s="101"/>
      <c r="AK129" s="101"/>
      <c r="AL129" s="217"/>
      <c r="AM129" s="217"/>
      <c r="AN129" s="217"/>
      <c r="AO129" s="217"/>
      <c r="AP129" s="101"/>
      <c r="AQ129" s="101"/>
      <c r="AR129" s="101"/>
      <c r="AS129" s="108"/>
      <c r="AT129" s="70"/>
      <c r="AU129" s="70"/>
      <c r="AV129" s="70"/>
      <c r="AW129" s="70"/>
      <c r="AX129" s="70"/>
      <c r="AY129" s="70"/>
      <c r="AZ129" s="70"/>
      <c r="BA129" s="70"/>
      <c r="BB129" s="71"/>
      <c r="BC129" s="71"/>
      <c r="BD129" s="71"/>
      <c r="BE129" s="71"/>
      <c r="BF129" s="70"/>
      <c r="BG129" s="70"/>
      <c r="BH129" s="89"/>
      <c r="BI129" s="232"/>
      <c r="BJ129" s="71"/>
      <c r="BK129" s="70"/>
      <c r="BL129" s="70"/>
      <c r="BM129" s="70"/>
      <c r="BN129" s="70"/>
      <c r="BO129" s="70"/>
      <c r="BP129" s="70"/>
      <c r="BQ129" s="70"/>
      <c r="BR129" s="70"/>
      <c r="BV129" s="222"/>
      <c r="BW129" s="222"/>
      <c r="DF129" s="137"/>
      <c r="DG129" s="137"/>
      <c r="DV129" s="217"/>
      <c r="DW129" s="217"/>
      <c r="DX129" s="217"/>
      <c r="DY129" s="217"/>
      <c r="EC129" s="62"/>
      <c r="EF129" s="62"/>
      <c r="FB129" t="s">
        <v>580</v>
      </c>
    </row>
    <row r="130" spans="1:165" ht="10.199999999999999" customHeight="1" x14ac:dyDescent="0.2">
      <c r="A130" s="240">
        <v>4</v>
      </c>
      <c r="B130" s="240">
        <v>2</v>
      </c>
      <c r="C130">
        <v>45</v>
      </c>
      <c r="D130" s="57"/>
      <c r="E130" s="153" t="s">
        <v>423</v>
      </c>
      <c r="F130" s="57">
        <f>INDEX(tabber!$L$407:$L$422,C130-36)</f>
        <v>-1</v>
      </c>
      <c r="G130" s="57">
        <f>INDEX(tabber!$M$407:$M$422,C130-36)</f>
        <v>-1</v>
      </c>
      <c r="H130" s="66">
        <f ca="1">INDEX($L$99:$L$120,(A130-1)*3+1)</f>
        <v>0</v>
      </c>
      <c r="I130" s="67">
        <f ca="1">INDEX($L$99:$L$120,(B130-1)*3+1)</f>
        <v>0</v>
      </c>
      <c r="J130" s="66">
        <f ca="1">INDEX($M$99:$M$120,(A130-1)*3+1)</f>
        <v>0</v>
      </c>
      <c r="K130" s="67">
        <f ca="1">INDEX($M$99:$M$120,(B130-1)*3+1)</f>
        <v>0</v>
      </c>
      <c r="L130" s="211">
        <f ca="1">IF(EJ130&lt;=0,0,INDEX(H130:I130,EJ130))</f>
        <v>0</v>
      </c>
      <c r="M130" s="211">
        <f ca="1">IF(EJ130&lt;=0,0,INDEX(F130:G130,EJ130))</f>
        <v>0</v>
      </c>
      <c r="N130" s="212">
        <f ca="1">IF(L130=0,0,IF(L130=H130,I130,IF(L130=I130,H130,0)))</f>
        <v>0</v>
      </c>
      <c r="O130" s="212">
        <f ca="1">IF(M130=0,0,IF(M130=F130,G130,IF(M130=G130,F130,0)))</f>
        <v>0</v>
      </c>
      <c r="Q130" s="57">
        <v>1</v>
      </c>
      <c r="R130" s="57">
        <v>9</v>
      </c>
      <c r="S130" s="70"/>
      <c r="T130" s="516" t="str">
        <f>IF(CZ130,zeichen_gesperrt,"")</f>
        <v/>
      </c>
      <c r="U130" s="472" t="s">
        <v>423</v>
      </c>
      <c r="V130" s="357" t="s">
        <v>559</v>
      </c>
      <c r="W130" s="358">
        <v>0.75</v>
      </c>
      <c r="X130" s="510" t="str">
        <f ca="1">"Real: "&amp;VLOOKUP(BT130,$A$6:$F$20,3,FALSE)&amp;"  :  "&amp;VLOOKUP(BT130,$A$6:$F$20,4,FALSE)&amp;CHAR(10)&amp;"Tipp: "&amp;VLOOKUP(BT130,$A$6:$F$20,5,FALSE)&amp;"  :  "&amp;VLOOKUP(BT130,$A$6:$F$20,6,FALSE)</f>
        <v xml:space="preserve">Real:  -   :   - 
Tipp:  -   :   - </v>
      </c>
      <c r="Y130" s="511"/>
      <c r="Z130" s="512"/>
      <c r="AA130" s="492" t="str">
        <f>"SIEGER AF "&amp;A130</f>
        <v>SIEGER AF 4</v>
      </c>
      <c r="AB130" s="480"/>
      <c r="AC130" s="241" t="s">
        <v>583</v>
      </c>
      <c r="AD130" s="479" t="str">
        <f>"SIEGER AF "&amp;B130</f>
        <v>SIEGER AF 2</v>
      </c>
      <c r="AE130" s="480"/>
      <c r="AF130" s="466"/>
      <c r="AG130" s="468" t="s">
        <v>583</v>
      </c>
      <c r="AH130" s="470"/>
      <c r="AI130" s="462"/>
      <c r="AJ130" s="462"/>
      <c r="AK130" s="464" t="s">
        <v>411</v>
      </c>
      <c r="AL130" s="223"/>
      <c r="AM130" s="628"/>
      <c r="AN130" s="628"/>
      <c r="AO130" s="629"/>
      <c r="AP130" s="418"/>
      <c r="AQ130" s="418"/>
      <c r="AR130" s="419"/>
      <c r="AS130" s="108"/>
      <c r="AT130" s="70"/>
      <c r="AU130" s="220" t="str">
        <f ca="1">IF(EH130=0,"",INDEX($DL$21:$DL$24,EH130))</f>
        <v/>
      </c>
      <c r="AV130" s="70"/>
      <c r="AW130" s="70"/>
      <c r="AX130" s="70"/>
      <c r="AY130" s="70"/>
      <c r="AZ130" s="70"/>
      <c r="BA130" s="70"/>
      <c r="BB130" s="221"/>
      <c r="BC130" s="221"/>
      <c r="BD130" s="221"/>
      <c r="BE130" s="221"/>
      <c r="BF130" s="437"/>
      <c r="BG130" s="439" t="s">
        <v>583</v>
      </c>
      <c r="BH130" s="432"/>
      <c r="BI130" s="517"/>
      <c r="BJ130" s="518"/>
      <c r="BK130" s="518"/>
      <c r="BL130" s="518"/>
      <c r="BM130" s="518"/>
      <c r="BN130" s="518"/>
      <c r="BO130" s="518"/>
      <c r="BP130" s="518"/>
      <c r="BQ130" s="518"/>
      <c r="BR130" s="70"/>
      <c r="BT130" t="s">
        <v>423</v>
      </c>
      <c r="BU130">
        <f>IF(COUNT(BF130,BH130)&lt;&gt;2,-1,IF(BF130&gt;BH130,1,IF(BF130&lt;BH130,2,0)))</f>
        <v>-1</v>
      </c>
      <c r="BV130" s="222">
        <f>IF(LEN(AA131)=0,0,IF(ISERROR(MATCH(AA131,teamsmitk,0)),0,MATCH(AA131,teamsmitk,0)))</f>
        <v>0</v>
      </c>
      <c r="BW130" s="222">
        <f>IF(LEN(AD131)=0,0,IF(ISERROR(MATCH(AD131,teamsmitk,0)),0,MATCH(AD131,teamsmitk,0)))</f>
        <v>0</v>
      </c>
      <c r="CC130">
        <v>45</v>
      </c>
      <c r="CD130" t="b">
        <v>0</v>
      </c>
      <c r="CE130" s="216" t="str">
        <f>IF(CD130,IF(COUNT(CM130:CN130)=2,ABS(CM130),""),IF(COUNT(AF130,AH130)=2,ABS(AF130),""))</f>
        <v/>
      </c>
      <c r="CF130" s="216" t="str">
        <f>IF(CD130,IF(COUNT(CM130:CN130)=2,ABS(CN130),""),IF(COUNT(AF130,AH130)=2,ABS(AH130),""))</f>
        <v/>
      </c>
      <c r="CG130" s="138">
        <f>IF(SUM($CV$130:$CV$139)&gt;0,CO130,IF($CS$4&lt;&gt;1,CO130,IF(AND(LEN(AI130)&gt;0,NOT(DC130),$CS$4=1),1,0)))</f>
        <v>0</v>
      </c>
      <c r="CH130" s="138">
        <f>IF(OR(CD130,$CS$4&lt;&gt;3),CP130,ABS(VALUE(FG130)))</f>
        <v>0</v>
      </c>
      <c r="CI130" s="138">
        <f>IF(OR(CD130,CY130,NOT(CX130)),CQ130,IF(LEN(AK130)=0,0,IF(AK130=$CV$4,1,IF(AK130=$CV$5,2,0))))</f>
        <v>0</v>
      </c>
      <c r="CJ130" s="138">
        <f>IF(OR(CD130,$CS$6=0),CR130,IF(AND($CS$6&gt;1,CK130&gt;0),1,IF($CS$6=2,CR130,IF(EF130="EW",1,0))))</f>
        <v>0</v>
      </c>
      <c r="CK130" s="138">
        <f>IF(OR(CD130,$CS$6&lt;2),CS130,EI130)</f>
        <v>0</v>
      </c>
      <c r="CL130" s="138">
        <f ca="1">IF(OR(CD130,EK130=1),CT130,ED130)</f>
        <v>0</v>
      </c>
      <c r="CO130">
        <v>0</v>
      </c>
      <c r="CP130">
        <v>0</v>
      </c>
      <c r="CQ130">
        <v>0</v>
      </c>
      <c r="CR130">
        <v>0</v>
      </c>
      <c r="CS130">
        <v>0</v>
      </c>
      <c r="CT130">
        <v>0</v>
      </c>
      <c r="CV130">
        <f>IF(AND(CO130=1,CD130),1,0)</f>
        <v>0</v>
      </c>
      <c r="CX130" t="b">
        <f>AND($CS$5=1,COUNT(CE130:CF130)=2,CE130&lt;&gt;CF130)</f>
        <v>0</v>
      </c>
      <c r="CY130" t="b">
        <f>IF(LEN(AK130)=0,FALSE,IF(COUNT(CE130:CF130)&lt;&gt;2,TRUE,IF(AND(CX130,AK130=$CV$4,ABS(CE130-CF130)&gt;=2),FALSE,IF(AND(CX130,AK130=$CV$5,ABS(CE130-CF130)&gt;=3),FALSE,TRUE))))</f>
        <v>0</v>
      </c>
      <c r="CZ130" t="b">
        <v>0</v>
      </c>
      <c r="DA130">
        <f>IF(SUM($CV$130:$CV$139)&gt;0,CO130,IF(AND(LEN(AI130)&gt;0),1,0))</f>
        <v>0</v>
      </c>
      <c r="DB130">
        <f>SUM($DA$128:$DA130)</f>
        <v>0</v>
      </c>
      <c r="DC130" t="b">
        <f>OR(AND(DA130=1,OR(DB130&gt;1,$CS$4=3)))</f>
        <v>0</v>
      </c>
      <c r="DE130">
        <v>5</v>
      </c>
      <c r="DF130" s="137">
        <v>1</v>
      </c>
      <c r="DG130" s="137">
        <v>15</v>
      </c>
      <c r="DH130">
        <f>IF(NOT(ISNUMBER(AJ130)),DF130,IF(LEN(AJ130)=0,DF130,IF(AJ130&gt;DG130,DG130,IF(AJ130&lt;DF130,DF130,AJ130))))</f>
        <v>1</v>
      </c>
      <c r="DV130" s="223"/>
      <c r="DW130" s="224"/>
      <c r="DX130" s="224"/>
      <c r="DY130" s="225"/>
      <c r="EA130" t="b">
        <f ca="1">AU131="Ungültiger Sieger"</f>
        <v>0</v>
      </c>
      <c r="EB130" t="b">
        <f ca="1">AND($CS$6&gt;0,EF130&lt;&gt;0,EH130&gt;0)</f>
        <v>0</v>
      </c>
      <c r="EC130" s="62">
        <f>AP130</f>
        <v>0</v>
      </c>
      <c r="ED130" s="56">
        <f ca="1">IF(CC130&lt;37,0,IF(LEN(EC130)=0,0,IF(ISERROR(MATCH(EC130,OFFSET($CR$15:$CR$16,0,CC130-36),0)),0,MATCH(EC130,OFFSET($CR$15:$CR$16,0,CC130-36),0))))</f>
        <v>0</v>
      </c>
      <c r="EE130" s="57">
        <f>IF(COUNT(CE130:CF130)&lt;&gt;2,-1,IF(CE130&gt;CF130,1,IF(CE130&lt;CF130,2,0)))</f>
        <v>-1</v>
      </c>
      <c r="EF130" s="62">
        <f>AM130</f>
        <v>0</v>
      </c>
      <c r="EG130">
        <f ca="1">IF(CC130&lt;37,0,IF(LEN(EF130)=0,0,IF(ISERROR(MATCH(EF130,OFFSET($CR$15:$CR$16,0,CC130-37),0)),0,MATCH(EF130,OFFSET($CR$15:$CR$16,0,CC130-37),0))))</f>
        <v>0</v>
      </c>
      <c r="EH130">
        <f ca="1">IF(AND(EE130&lt;&gt;-1,settings!$C$29,EG130=0),4,IF(OR(CC130&lt;37,NOT($EH$31),$CS$6&lt;2,AND(EF130&lt;&gt;"EW",EG130=0)),0,IF(EE130=-1,1,IF(AND(EE130=0,$EH$28&lt;&gt;0),2,IF(AND(EE130&gt;0,$EH$28=0),2,IF(AND(EE130&gt;0,EG130&lt;&gt;EE130),3,0))))))</f>
        <v>0</v>
      </c>
      <c r="EI130">
        <f ca="1">IF(EH130=0,EG130,CS130)</f>
        <v>0</v>
      </c>
      <c r="EJ130">
        <f ca="1">IF(EE130&gt;0,EE130,IF(AND(EI130&gt;0,settings!$C$29=0),EI130,IF(ED130&gt;0,ED130,IF(EI130&gt;0,EI130,EE130))))</f>
        <v>-1</v>
      </c>
      <c r="EK130">
        <f ca="1">IF(AND(ED130&gt;0,ED130&lt;&gt;EJ130),1,0)</f>
        <v>0</v>
      </c>
      <c r="EL130" t="b">
        <f ca="1">AND(EE130&gt;-1,$EL$37,EJ130&lt;=0)</f>
        <v>0</v>
      </c>
      <c r="EM130" s="57">
        <f>IF(EXACT(CE130,CM130),0,1)</f>
        <v>0</v>
      </c>
      <c r="EN130" s="57">
        <f>IF(EXACT(CF130,CN130),0,1)</f>
        <v>0</v>
      </c>
      <c r="EO130" s="57">
        <f>IF($CS$400,0,IF(EXACT(CG130,CO130),0,1))</f>
        <v>0</v>
      </c>
      <c r="EP130" s="57">
        <f>IF($CS$4&lt;&gt;3,0,IF(AND(CH130=INDEX(settings!$I$19:$P$19,1),LEN(CP130)=0),0,IF(EXACT(CH130,CP130),0,1)))</f>
        <v>0</v>
      </c>
      <c r="EQ130" s="57">
        <f>IF(settings!$C$1100,0,IF(CI130=CQ130,0,1))</f>
        <v>0</v>
      </c>
      <c r="ER130" s="57">
        <f>IF($CS$6=0,0,IF(CJ130=CR130,0,1))</f>
        <v>0</v>
      </c>
      <c r="ES130" s="57">
        <f>IF($CS$6&lt;2,0,IF(CK130=CS130,0,1))</f>
        <v>0</v>
      </c>
      <c r="ET130" s="57">
        <f>IF(DR131&lt;37,0,IF(CL130=CT130,0,1))</f>
        <v>0</v>
      </c>
      <c r="EU130" s="57">
        <f>IF(CD130,0,SUM(EM130:ET130))</f>
        <v>0</v>
      </c>
      <c r="FB130">
        <f>IF(DH130&lt;FH128,FH128,DH130)</f>
        <v>1</v>
      </c>
      <c r="FC130">
        <v>1</v>
      </c>
      <c r="FD130">
        <f>FH128</f>
        <v>1</v>
      </c>
      <c r="FE130">
        <f>IF(CD130,CP130,IF(FB130&gt;FI128,FI128,FB130))</f>
        <v>1</v>
      </c>
      <c r="FG130">
        <f>FE130</f>
        <v>1</v>
      </c>
      <c r="FH130">
        <f>FG128-SUM(FG129:FG130)-SUM(FD131:FD142)+FH128</f>
        <v>37</v>
      </c>
      <c r="FI130" t="b">
        <f>FG130&lt;&gt;AJ130</f>
        <v>1</v>
      </c>
    </row>
    <row r="131" spans="1:165" ht="12" customHeight="1" x14ac:dyDescent="0.2">
      <c r="A131" s="240"/>
      <c r="B131" s="240"/>
      <c r="D131" s="57"/>
      <c r="E131" s="153"/>
      <c r="F131" s="57"/>
      <c r="G131" s="57"/>
      <c r="H131" s="66"/>
      <c r="I131" s="67"/>
      <c r="J131" s="66"/>
      <c r="K131" s="67"/>
      <c r="L131" s="211"/>
      <c r="M131" s="211"/>
      <c r="N131" s="212"/>
      <c r="O131" s="212"/>
      <c r="Q131" s="57"/>
      <c r="R131" s="57"/>
      <c r="S131" s="70"/>
      <c r="T131" s="516" t="str">
        <f>IF(CZ131,zeichen_gesperrt,"")</f>
        <v/>
      </c>
      <c r="U131" s="473"/>
      <c r="V131" s="474" t="s">
        <v>560</v>
      </c>
      <c r="W131" s="474"/>
      <c r="X131" s="513"/>
      <c r="Y131" s="514"/>
      <c r="Z131" s="515"/>
      <c r="AA131" s="475"/>
      <c r="AB131" s="476"/>
      <c r="AC131" s="226" t="s">
        <v>583</v>
      </c>
      <c r="AD131" s="477"/>
      <c r="AE131" s="478"/>
      <c r="AF131" s="467"/>
      <c r="AG131" s="469"/>
      <c r="AH131" s="471"/>
      <c r="AI131" s="463"/>
      <c r="AJ131" s="463"/>
      <c r="AK131" s="465"/>
      <c r="AL131" s="223"/>
      <c r="AM131" s="628"/>
      <c r="AN131" s="628"/>
      <c r="AO131" s="629"/>
      <c r="AP131" s="420"/>
      <c r="AQ131" s="420"/>
      <c r="AR131" s="421"/>
      <c r="AS131" s="108"/>
      <c r="AT131" s="70"/>
      <c r="AU131" s="220" t="str">
        <f ca="1">IF(AND(ED130&gt;0,EE130&gt;-1,EK130=1),"Ungültiger Sieger",IF(EL130,"Sieger fehlt!",""))</f>
        <v/>
      </c>
      <c r="AV131" s="70"/>
      <c r="AW131" s="70"/>
      <c r="AX131" s="70"/>
      <c r="AY131" s="70"/>
      <c r="AZ131" s="70"/>
      <c r="BA131" s="70"/>
      <c r="BB131" s="221"/>
      <c r="BC131" s="221"/>
      <c r="BD131" s="221"/>
      <c r="BE131" s="221"/>
      <c r="BF131" s="438"/>
      <c r="BG131" s="440"/>
      <c r="BH131" s="433"/>
      <c r="BI131" s="517"/>
      <c r="BJ131" s="518"/>
      <c r="BK131" s="518"/>
      <c r="BL131" s="518"/>
      <c r="BM131" s="518"/>
      <c r="BN131" s="518"/>
      <c r="BO131" s="518"/>
      <c r="BP131" s="518"/>
      <c r="BQ131" s="518"/>
      <c r="BR131" s="70"/>
      <c r="BV131" s="222"/>
      <c r="BW131" s="222"/>
      <c r="BX131" t="b">
        <f>VLOOKUP(BT130,$BU$175:$CA$190,6,FALSE)&lt;&gt;BV130</f>
        <v>0</v>
      </c>
      <c r="BY131" t="b">
        <f>VLOOKUP(BT130,$BU$175:$CA$190,7,FALSE)&lt;&gt;BW130</f>
        <v>0</v>
      </c>
      <c r="BZ131" s="227" t="str">
        <f ca="1">IF(EJ130&lt;=0," ",IF(EJ130=1,AA131,AD131))</f>
        <v xml:space="preserve"> </v>
      </c>
      <c r="CA131" s="227" t="str">
        <f ca="1">IF(EJ130&lt;=0," ",IF(EJ130=1,AD131,AA131))</f>
        <v xml:space="preserve"> </v>
      </c>
      <c r="DF131" s="137"/>
      <c r="DG131" s="137"/>
      <c r="DV131" s="223"/>
      <c r="DW131" s="224"/>
      <c r="DX131" s="224"/>
      <c r="DY131" s="225"/>
      <c r="EC131" s="62"/>
      <c r="EF131" s="62"/>
    </row>
    <row r="132" spans="1:165" ht="3.9" customHeight="1" x14ac:dyDescent="0.2">
      <c r="A132" s="240"/>
      <c r="B132" s="240"/>
      <c r="D132" s="57"/>
      <c r="E132" s="153"/>
      <c r="F132" s="57"/>
      <c r="G132" s="57"/>
      <c r="H132" s="66"/>
      <c r="I132" s="67"/>
      <c r="J132" s="66"/>
      <c r="K132" s="67"/>
      <c r="L132" s="211"/>
      <c r="M132" s="211"/>
      <c r="N132" s="212"/>
      <c r="O132" s="212"/>
      <c r="Q132" s="57"/>
      <c r="R132" s="57"/>
      <c r="S132" s="70"/>
      <c r="T132" s="228"/>
      <c r="U132" s="359"/>
      <c r="V132" s="360"/>
      <c r="W132" s="360"/>
      <c r="X132" s="360"/>
      <c r="Y132" s="360"/>
      <c r="Z132" s="359"/>
      <c r="AA132" s="229"/>
      <c r="AB132" s="229"/>
      <c r="AC132" s="229"/>
      <c r="AD132" s="229"/>
      <c r="AE132" s="229"/>
      <c r="AF132" s="242"/>
      <c r="AG132" s="111"/>
      <c r="AH132" s="242"/>
      <c r="AI132" s="243"/>
      <c r="AJ132" s="243"/>
      <c r="AK132" s="224"/>
      <c r="AL132" s="231"/>
      <c r="AM132" s="231"/>
      <c r="AN132" s="231"/>
      <c r="AO132" s="217"/>
      <c r="AP132" s="231"/>
      <c r="AQ132" s="231"/>
      <c r="AR132" s="101"/>
      <c r="AS132" s="108"/>
      <c r="AT132" s="70"/>
      <c r="AU132" s="70"/>
      <c r="AV132" s="70"/>
      <c r="AW132" s="70"/>
      <c r="AX132" s="70"/>
      <c r="AY132" s="70"/>
      <c r="AZ132" s="70"/>
      <c r="BA132" s="70"/>
      <c r="BB132" s="71"/>
      <c r="BC132" s="71"/>
      <c r="BD132" s="71"/>
      <c r="BE132" s="71"/>
      <c r="BF132" s="70"/>
      <c r="BG132" s="70"/>
      <c r="BH132" s="89"/>
      <c r="BI132" s="232"/>
      <c r="BJ132" s="71"/>
      <c r="BK132" s="70"/>
      <c r="BL132" s="70"/>
      <c r="BM132" s="70"/>
      <c r="BN132" s="70"/>
      <c r="BO132" s="70"/>
      <c r="BP132" s="70"/>
      <c r="BQ132" s="70"/>
      <c r="BR132" s="70"/>
      <c r="BV132" s="222"/>
      <c r="BW132" s="222"/>
      <c r="DF132" s="137"/>
      <c r="DG132" s="137"/>
      <c r="DV132" s="231"/>
      <c r="DW132" s="231"/>
      <c r="DX132" s="231"/>
      <c r="DY132" s="217"/>
      <c r="EC132" s="62"/>
      <c r="EF132" s="62"/>
    </row>
    <row r="133" spans="1:165" ht="10.199999999999999" customHeight="1" x14ac:dyDescent="0.2">
      <c r="A133" s="240">
        <v>6</v>
      </c>
      <c r="B133" s="240">
        <v>5</v>
      </c>
      <c r="C133">
        <v>46</v>
      </c>
      <c r="D133" s="57"/>
      <c r="E133" s="153" t="s">
        <v>425</v>
      </c>
      <c r="F133" s="57">
        <f>INDEX(tabber!$L$407:$L$422,C133-36)</f>
        <v>-1</v>
      </c>
      <c r="G133" s="57">
        <f>INDEX(tabber!$M$407:$M$422,C133-36)</f>
        <v>-1</v>
      </c>
      <c r="H133" s="66">
        <f ca="1">INDEX($L$99:$L$120,(A133-1)*3+1)</f>
        <v>0</v>
      </c>
      <c r="I133" s="67">
        <f ca="1">INDEX($L$99:$L$120,(B133-1)*3+1)</f>
        <v>0</v>
      </c>
      <c r="J133" s="66">
        <f ca="1">INDEX($M$99:$M$120,(A133-1)*3+1)</f>
        <v>0</v>
      </c>
      <c r="K133" s="67">
        <f ca="1">INDEX($M$99:$M$120,(B133-1)*3+1)</f>
        <v>0</v>
      </c>
      <c r="L133" s="211">
        <f ca="1">IF(EJ133&lt;=0,0,INDEX(H133:I133,EJ133))</f>
        <v>0</v>
      </c>
      <c r="M133" s="211">
        <f ca="1">IF(EJ133&lt;=0,0,INDEX(F133:G133,EJ133))</f>
        <v>0</v>
      </c>
      <c r="N133" s="212">
        <f ca="1">IF(L133=0,0,IF(L133=H133,I133,IF(L133=I133,H133,0)))</f>
        <v>0</v>
      </c>
      <c r="O133" s="212">
        <f ca="1">IF(M133=0,0,IF(M133=F133,G133,IF(M133=G133,F133,0)))</f>
        <v>0</v>
      </c>
      <c r="Q133" s="57">
        <v>2</v>
      </c>
      <c r="R133" s="57">
        <v>10</v>
      </c>
      <c r="S133" s="70"/>
      <c r="T133" s="516" t="str">
        <f>IF(CZ133,zeichen_gesperrt,"")</f>
        <v/>
      </c>
      <c r="U133" s="472" t="s">
        <v>425</v>
      </c>
      <c r="V133" s="357" t="s">
        <v>559</v>
      </c>
      <c r="W133" s="358">
        <v>0.875</v>
      </c>
      <c r="X133" s="510" t="str">
        <f ca="1">"Real: "&amp;VLOOKUP(BT133,$A$6:$F$20,3,FALSE)&amp;"  :  "&amp;VLOOKUP(BT133,$A$6:$F$20,4,FALSE)&amp;CHAR(10)&amp;"Tipp: "&amp;VLOOKUP(BT133,$A$6:$F$20,5,FALSE)&amp;"  :  "&amp;VLOOKUP(BT133,$A$6:$F$20,6,FALSE)</f>
        <v xml:space="preserve">Real:  -   :   - 
Tipp:  -   :   - </v>
      </c>
      <c r="Y133" s="511"/>
      <c r="Z133" s="512"/>
      <c r="AA133" s="492" t="str">
        <f>"SIEGER AF "&amp;A133</f>
        <v>SIEGER AF 6</v>
      </c>
      <c r="AB133" s="480"/>
      <c r="AC133" s="241" t="s">
        <v>583</v>
      </c>
      <c r="AD133" s="479" t="str">
        <f>"SIEGER AF "&amp;B133</f>
        <v>SIEGER AF 5</v>
      </c>
      <c r="AE133" s="480"/>
      <c r="AF133" s="466"/>
      <c r="AG133" s="468" t="s">
        <v>583</v>
      </c>
      <c r="AH133" s="470"/>
      <c r="AI133" s="462"/>
      <c r="AJ133" s="462"/>
      <c r="AK133" s="464" t="s">
        <v>411</v>
      </c>
      <c r="AL133" s="223"/>
      <c r="AM133" s="628"/>
      <c r="AN133" s="628"/>
      <c r="AO133" s="629"/>
      <c r="AP133" s="418"/>
      <c r="AQ133" s="418"/>
      <c r="AR133" s="419"/>
      <c r="AS133" s="108"/>
      <c r="AT133" s="70"/>
      <c r="AU133" s="220" t="str">
        <f ca="1">IF(EH133=0,"",INDEX($DL$21:$DL$24,EH133))</f>
        <v/>
      </c>
      <c r="AV133" s="70"/>
      <c r="AW133" s="70"/>
      <c r="AX133" s="70"/>
      <c r="AY133" s="70"/>
      <c r="AZ133" s="70"/>
      <c r="BA133" s="70"/>
      <c r="BB133" s="221"/>
      <c r="BC133" s="221"/>
      <c r="BD133" s="221"/>
      <c r="BE133" s="221"/>
      <c r="BF133" s="437"/>
      <c r="BG133" s="439" t="s">
        <v>583</v>
      </c>
      <c r="BH133" s="432"/>
      <c r="BI133" s="517"/>
      <c r="BJ133" s="518"/>
      <c r="BK133" s="518"/>
      <c r="BL133" s="518"/>
      <c r="BM133" s="518"/>
      <c r="BN133" s="518"/>
      <c r="BO133" s="518"/>
      <c r="BP133" s="518"/>
      <c r="BQ133" s="518"/>
      <c r="BR133" s="70"/>
      <c r="BT133" t="s">
        <v>425</v>
      </c>
      <c r="BU133">
        <f>IF(COUNT(BF133,BH133)&lt;&gt;2,-1,IF(BF133&gt;BH133,1,IF(BF133&lt;BH133,2,0)))</f>
        <v>-1</v>
      </c>
      <c r="BV133" s="222">
        <f>IF(LEN(AA134)=0,0,IF(ISERROR(MATCH(AA134,teamsmitk,0)),0,MATCH(AA134,teamsmitk,0)))</f>
        <v>0</v>
      </c>
      <c r="BW133" s="222">
        <f>IF(LEN(AD134)=0,0,IF(ISERROR(MATCH(AD134,teamsmitk,0)),0,MATCH(AD134,teamsmitk,0)))</f>
        <v>0</v>
      </c>
      <c r="CC133">
        <v>46</v>
      </c>
      <c r="CD133" t="b">
        <v>0</v>
      </c>
      <c r="CE133" s="216" t="str">
        <f>IF(CD133,IF(COUNT(CM133:CN133)=2,ABS(CM133),""),IF(COUNT(AF133,AH133)=2,ABS(AF133),""))</f>
        <v/>
      </c>
      <c r="CF133" s="216" t="str">
        <f>IF(CD133,IF(COUNT(CM133:CN133)=2,ABS(CN133),""),IF(COUNT(AF133,AH133)=2,ABS(AH133),""))</f>
        <v/>
      </c>
      <c r="CG133" s="138">
        <f>IF(SUM($CV$130:$CV$139)&gt;0,CO133,IF($CS$4&lt;&gt;1,CO133,IF(AND(LEN(AI133)&gt;0,NOT(DC133),$CS$4=1),1,0)))</f>
        <v>0</v>
      </c>
      <c r="CH133" s="138">
        <f>IF(OR(CD133,$CS$4&lt;&gt;3),CP133,ABS(VALUE(FG133)))</f>
        <v>0</v>
      </c>
      <c r="CI133" s="138">
        <f>IF(OR(CD133,CY133,NOT(CX133)),CQ133,IF(LEN(AK133)=0,0,IF(AK133=$CV$4,1,IF(AK133=$CV$5,2,0))))</f>
        <v>0</v>
      </c>
      <c r="CJ133" s="138">
        <f>IF(OR(CD133,$CS$6=0),CR133,IF(AND($CS$6&gt;1,CK133&gt;0),1,IF($CS$6=2,CR133,IF(EF133="EW",1,0))))</f>
        <v>0</v>
      </c>
      <c r="CK133" s="138">
        <f>IF(OR(CD133,$CS$6&lt;2),CS133,EI133)</f>
        <v>0</v>
      </c>
      <c r="CL133" s="138">
        <f ca="1">IF(OR(CD133,EK133=1),CT133,ED133)</f>
        <v>0</v>
      </c>
      <c r="CO133">
        <v>0</v>
      </c>
      <c r="CP133">
        <v>0</v>
      </c>
      <c r="CQ133">
        <v>0</v>
      </c>
      <c r="CR133">
        <v>0</v>
      </c>
      <c r="CS133">
        <v>0</v>
      </c>
      <c r="CT133">
        <v>0</v>
      </c>
      <c r="CV133">
        <f>IF(AND(CO133=1,CD133),1,0)</f>
        <v>0</v>
      </c>
      <c r="CX133" t="b">
        <f>AND($CS$5=1,COUNT(CE133:CF133)=2,CE133&lt;&gt;CF133)</f>
        <v>0</v>
      </c>
      <c r="CY133" t="b">
        <f>IF(LEN(AK133)=0,FALSE,IF(COUNT(CE133:CF133)&lt;&gt;2,TRUE,IF(AND(CX133,AK133=$CV$4,ABS(CE133-CF133)&gt;=2),FALSE,IF(AND(CX133,AK133=$CV$5,ABS(CE133-CF133)&gt;=3),FALSE,TRUE))))</f>
        <v>0</v>
      </c>
      <c r="CZ133" t="b">
        <v>0</v>
      </c>
      <c r="DA133">
        <f>IF(SUM($CV$130:$CV$139)&gt;0,CO133,IF(AND(LEN(AI133)&gt;0),1,0))</f>
        <v>0</v>
      </c>
      <c r="DB133">
        <f>SUM($DA$128:$DA133)</f>
        <v>0</v>
      </c>
      <c r="DC133" t="b">
        <f>OR(AND(DA133=1,OR(DB133&gt;1,$CS$4=3)))</f>
        <v>0</v>
      </c>
      <c r="DE133">
        <v>5</v>
      </c>
      <c r="DF133" s="137">
        <v>1</v>
      </c>
      <c r="DG133" s="137">
        <v>15</v>
      </c>
      <c r="DH133">
        <f>IF(NOT(ISNUMBER(AJ133)),DF133,IF(LEN(AJ133)=0,DF133,IF(AJ133&gt;DG133,DG133,IF(AJ133&lt;DF133,DF133,AJ133))))</f>
        <v>1</v>
      </c>
      <c r="DV133" s="223"/>
      <c r="DW133" s="224"/>
      <c r="DX133" s="224"/>
      <c r="DY133" s="225"/>
      <c r="EA133" t="b">
        <f ca="1">AU134="Ungültiger Sieger"</f>
        <v>0</v>
      </c>
      <c r="EB133" t="b">
        <f ca="1">AND($CS$6&gt;0,EF133&lt;&gt;0,EH133&gt;0)</f>
        <v>0</v>
      </c>
      <c r="EC133" s="62">
        <f>AP133</f>
        <v>0</v>
      </c>
      <c r="ED133" s="56">
        <f ca="1">IF(CC133&lt;37,0,IF(LEN(EC133)=0,0,IF(ISERROR(MATCH(EC133,OFFSET($CR$15:$CR$16,0,CC133-36),0)),0,MATCH(EC133,OFFSET($CR$15:$CR$16,0,CC133-36),0))))</f>
        <v>0</v>
      </c>
      <c r="EE133" s="57">
        <f>IF(COUNT(CE133:CF133)&lt;&gt;2,-1,IF(CE133&gt;CF133,1,IF(CE133&lt;CF133,2,0)))</f>
        <v>-1</v>
      </c>
      <c r="EF133" s="62">
        <f>AM133</f>
        <v>0</v>
      </c>
      <c r="EG133">
        <f ca="1">IF(CC133&lt;37,0,IF(LEN(EF133)=0,0,IF(ISERROR(MATCH(EF133,OFFSET($CR$15:$CR$16,0,CC133-37),0)),0,MATCH(EF133,OFFSET($CR$15:$CR$16,0,CC133-37),0))))</f>
        <v>0</v>
      </c>
      <c r="EH133">
        <f ca="1">IF(AND(EE133&lt;&gt;-1,settings!$C$29,EG133=0),4,IF(OR(CC133&lt;37,NOT($EH$31),$CS$6&lt;2,AND(EF133&lt;&gt;"EW",EG133=0)),0,IF(EE133=-1,1,IF(AND(EE133=0,$EH$28&lt;&gt;0),2,IF(AND(EE133&gt;0,$EH$28=0),2,IF(AND(EE133&gt;0,EG133&lt;&gt;EE133),3,0))))))</f>
        <v>0</v>
      </c>
      <c r="EI133">
        <f ca="1">IF(EH133=0,EG133,CS133)</f>
        <v>0</v>
      </c>
      <c r="EJ133">
        <f ca="1">IF(EE133&gt;0,EE133,IF(AND(EI133&gt;0,settings!$C$29=0),EI133,IF(ED133&gt;0,ED133,IF(EI133&gt;0,EI133,EE133))))</f>
        <v>-1</v>
      </c>
      <c r="EK133">
        <f ca="1">IF(AND(ED133&gt;0,ED133&lt;&gt;EJ133),1,0)</f>
        <v>0</v>
      </c>
      <c r="EL133" t="b">
        <f ca="1">AND(EE133&gt;-1,$EL$37,EJ133&lt;=0)</f>
        <v>0</v>
      </c>
      <c r="EM133" s="57">
        <f>IF(EXACT(CE133,CM133),0,1)</f>
        <v>0</v>
      </c>
      <c r="EN133" s="57">
        <f>IF(EXACT(CF133,CN133),0,1)</f>
        <v>0</v>
      </c>
      <c r="EO133" s="57">
        <f>IF($CS$400,0,IF(EXACT(CG133,CO133),0,1))</f>
        <v>0</v>
      </c>
      <c r="EP133" s="57">
        <f>IF($CS$4&lt;&gt;3,0,IF(AND(CH133=INDEX(settings!$I$19:$P$19,1),LEN(CP133)=0),0,IF(EXACT(CH133,CP133),0,1)))</f>
        <v>0</v>
      </c>
      <c r="EQ133" s="57">
        <f>IF(settings!$C$1100,0,IF(CI133=CQ133,0,1))</f>
        <v>0</v>
      </c>
      <c r="ER133" s="57">
        <f>IF($CS$6=0,0,IF(CJ133=CR133,0,1))</f>
        <v>0</v>
      </c>
      <c r="ES133" s="57">
        <f>IF($CS$6&lt;2,0,IF(CK133=CS133,0,1))</f>
        <v>0</v>
      </c>
      <c r="ET133" s="57">
        <f>IF(DR134&lt;37,0,IF(CL133=CT133,0,1))</f>
        <v>0</v>
      </c>
      <c r="EU133" s="57">
        <f>IF(CD133,0,SUM(EM133:ET133))</f>
        <v>0</v>
      </c>
      <c r="FB133">
        <f>IF(DH133&lt;FH128,FH128,DH133)</f>
        <v>1</v>
      </c>
      <c r="FC133">
        <f>FC130+1</f>
        <v>2</v>
      </c>
      <c r="FD133">
        <f>FD130</f>
        <v>1</v>
      </c>
      <c r="FE133">
        <f>IF(CD133,CP133,IF(FB133&gt;FI128,FI128,FB133))</f>
        <v>1</v>
      </c>
      <c r="FG133">
        <f>IF(CD133,FE133,IF(FE133&lt;=FH130,FE133,IF(FH130&lt;0,0,FH130)))</f>
        <v>1</v>
      </c>
      <c r="FH133">
        <f>FG128-SUM(FG129:FG133)-SUM(FD134:FD142)+FH128</f>
        <v>37</v>
      </c>
      <c r="FI133" t="b">
        <f>FG133&lt;&gt;AJ133</f>
        <v>1</v>
      </c>
    </row>
    <row r="134" spans="1:165" ht="12" customHeight="1" x14ac:dyDescent="0.2">
      <c r="A134" s="240"/>
      <c r="B134" s="240"/>
      <c r="D134" s="57"/>
      <c r="E134" s="153"/>
      <c r="F134" s="57"/>
      <c r="G134" s="57"/>
      <c r="H134" s="66"/>
      <c r="I134" s="67"/>
      <c r="J134" s="66"/>
      <c r="K134" s="67"/>
      <c r="L134" s="211"/>
      <c r="M134" s="211"/>
      <c r="N134" s="212"/>
      <c r="O134" s="212"/>
      <c r="Q134" s="57"/>
      <c r="R134" s="57"/>
      <c r="S134" s="70"/>
      <c r="T134" s="516" t="str">
        <f>IF(CZ134,zeichen_gesperrt,"")</f>
        <v/>
      </c>
      <c r="U134" s="473"/>
      <c r="V134" s="474" t="s">
        <v>561</v>
      </c>
      <c r="W134" s="474"/>
      <c r="X134" s="513"/>
      <c r="Y134" s="514"/>
      <c r="Z134" s="515"/>
      <c r="AA134" s="475"/>
      <c r="AB134" s="476"/>
      <c r="AC134" s="226" t="s">
        <v>583</v>
      </c>
      <c r="AD134" s="477"/>
      <c r="AE134" s="478"/>
      <c r="AF134" s="467"/>
      <c r="AG134" s="469"/>
      <c r="AH134" s="471"/>
      <c r="AI134" s="463"/>
      <c r="AJ134" s="463"/>
      <c r="AK134" s="465"/>
      <c r="AL134" s="223"/>
      <c r="AM134" s="628"/>
      <c r="AN134" s="628"/>
      <c r="AO134" s="629"/>
      <c r="AP134" s="420"/>
      <c r="AQ134" s="420"/>
      <c r="AR134" s="421"/>
      <c r="AS134" s="108"/>
      <c r="AT134" s="70"/>
      <c r="AU134" s="220" t="str">
        <f ca="1">IF(AND(ED133&gt;0,EE133&gt;-1,EK133=1),"Ungültiger Sieger",IF(EL133,"Sieger fehlt!",""))</f>
        <v/>
      </c>
      <c r="AV134" s="70"/>
      <c r="AW134" s="70"/>
      <c r="AX134" s="70"/>
      <c r="AY134" s="70"/>
      <c r="AZ134" s="70"/>
      <c r="BA134" s="70"/>
      <c r="BB134" s="221"/>
      <c r="BC134" s="221"/>
      <c r="BD134" s="221"/>
      <c r="BE134" s="221"/>
      <c r="BF134" s="438"/>
      <c r="BG134" s="440"/>
      <c r="BH134" s="433"/>
      <c r="BI134" s="517"/>
      <c r="BJ134" s="518"/>
      <c r="BK134" s="518"/>
      <c r="BL134" s="518"/>
      <c r="BM134" s="518"/>
      <c r="BN134" s="518"/>
      <c r="BO134" s="518"/>
      <c r="BP134" s="518"/>
      <c r="BQ134" s="518"/>
      <c r="BR134" s="70"/>
      <c r="BV134" s="222"/>
      <c r="BW134" s="222"/>
      <c r="BX134" t="b">
        <f>VLOOKUP(BT133,$BU$175:$CA$190,6,FALSE)&lt;&gt;BV133</f>
        <v>0</v>
      </c>
      <c r="BY134" t="b">
        <f>VLOOKUP(BT133,$BU$175:$CA$190,7,FALSE)&lt;&gt;BW133</f>
        <v>0</v>
      </c>
      <c r="BZ134" s="227" t="str">
        <f ca="1">IF(EJ133&lt;=0," ",IF(EJ133=1,AA134,AD134))</f>
        <v xml:space="preserve"> </v>
      </c>
      <c r="CA134" s="227" t="str">
        <f ca="1">IF(EJ133&lt;=0," ",IF(EJ133=1,AD134,AA134))</f>
        <v xml:space="preserve"> </v>
      </c>
      <c r="DF134" s="137"/>
      <c r="DG134" s="137"/>
      <c r="DV134" s="223"/>
      <c r="DW134" s="224"/>
      <c r="DX134" s="224"/>
      <c r="DY134" s="225"/>
      <c r="EC134" s="62"/>
      <c r="EF134" s="62"/>
    </row>
    <row r="135" spans="1:165" ht="3.9" customHeight="1" x14ac:dyDescent="0.2">
      <c r="A135" s="240"/>
      <c r="B135" s="240"/>
      <c r="D135" s="57"/>
      <c r="E135" s="153"/>
      <c r="F135" s="57"/>
      <c r="G135" s="57"/>
      <c r="H135" s="66"/>
      <c r="I135" s="67"/>
      <c r="J135" s="66"/>
      <c r="K135" s="67"/>
      <c r="L135" s="211"/>
      <c r="M135" s="211"/>
      <c r="N135" s="212"/>
      <c r="O135" s="212"/>
      <c r="Q135" s="57"/>
      <c r="R135" s="57"/>
      <c r="S135" s="70"/>
      <c r="T135" s="228"/>
      <c r="U135" s="359"/>
      <c r="V135" s="360"/>
      <c r="W135" s="360"/>
      <c r="X135" s="360"/>
      <c r="Y135" s="360"/>
      <c r="Z135" s="359"/>
      <c r="AA135" s="229"/>
      <c r="AB135" s="229"/>
      <c r="AC135" s="229"/>
      <c r="AD135" s="229"/>
      <c r="AE135" s="229"/>
      <c r="AF135" s="242"/>
      <c r="AG135" s="111"/>
      <c r="AH135" s="242"/>
      <c r="AI135" s="243"/>
      <c r="AJ135" s="243"/>
      <c r="AK135" s="224"/>
      <c r="AL135" s="231"/>
      <c r="AM135" s="231"/>
      <c r="AN135" s="231"/>
      <c r="AO135" s="217"/>
      <c r="AP135" s="231"/>
      <c r="AQ135" s="231"/>
      <c r="AR135" s="101"/>
      <c r="AS135" s="108"/>
      <c r="AT135" s="70"/>
      <c r="AU135" s="70"/>
      <c r="AV135" s="70"/>
      <c r="AW135" s="70"/>
      <c r="AX135" s="70"/>
      <c r="AY135" s="70"/>
      <c r="AZ135" s="70"/>
      <c r="BA135" s="70"/>
      <c r="BB135" s="71"/>
      <c r="BC135" s="71"/>
      <c r="BD135" s="71"/>
      <c r="BE135" s="71"/>
      <c r="BF135" s="70"/>
      <c r="BG135" s="70"/>
      <c r="BH135" s="89"/>
      <c r="BI135" s="232"/>
      <c r="BJ135" s="71"/>
      <c r="BK135" s="70"/>
      <c r="BL135" s="70"/>
      <c r="BM135" s="70"/>
      <c r="BN135" s="70"/>
      <c r="BO135" s="70"/>
      <c r="BP135" s="70"/>
      <c r="BQ135" s="70"/>
      <c r="BR135" s="70"/>
      <c r="BV135" s="222"/>
      <c r="BW135" s="222"/>
      <c r="DF135" s="137"/>
      <c r="DG135" s="137"/>
      <c r="DV135" s="231"/>
      <c r="DW135" s="231"/>
      <c r="DX135" s="231"/>
      <c r="DY135" s="217"/>
      <c r="EC135" s="62"/>
      <c r="EF135" s="62"/>
    </row>
    <row r="136" spans="1:165" ht="10.199999999999999" customHeight="1" x14ac:dyDescent="0.2">
      <c r="A136" s="240">
        <v>3</v>
      </c>
      <c r="B136" s="240">
        <v>1</v>
      </c>
      <c r="C136">
        <v>47</v>
      </c>
      <c r="E136" s="153" t="s">
        <v>427</v>
      </c>
      <c r="F136" s="57">
        <f>INDEX(tabber!$L$407:$L$422,C136-36)</f>
        <v>-1</v>
      </c>
      <c r="G136" s="57">
        <f>INDEX(tabber!$M$407:$M$422,C136-36)</f>
        <v>-1</v>
      </c>
      <c r="H136" s="66">
        <f ca="1">INDEX($L$99:$L$120,(A136-1)*3+1)</f>
        <v>0</v>
      </c>
      <c r="I136" s="67">
        <f ca="1">INDEX($L$99:$L$120,(B136-1)*3+1)</f>
        <v>0</v>
      </c>
      <c r="J136" s="66">
        <f ca="1">INDEX($M$99:$M$120,(A136-1)*3+1)</f>
        <v>0</v>
      </c>
      <c r="K136" s="67">
        <f ca="1">INDEX($M$99:$M$120,(B136-1)*3+1)</f>
        <v>0</v>
      </c>
      <c r="L136" s="211">
        <f ca="1">IF(EJ136&lt;=0,0,INDEX(H136:I136,EJ136))</f>
        <v>0</v>
      </c>
      <c r="M136" s="211">
        <f ca="1">IF(EJ136&lt;=0,0,INDEX(F136:G136,EJ136))</f>
        <v>0</v>
      </c>
      <c r="N136" s="212">
        <f ca="1">IF(L136=0,0,IF(L136=H136,I136,IF(L136=I136,H136,0)))</f>
        <v>0</v>
      </c>
      <c r="O136" s="212">
        <f ca="1">IF(M136=0,0,IF(M136=F136,G136,IF(M136=G136,F136,0)))</f>
        <v>0</v>
      </c>
      <c r="Q136" s="57">
        <v>3</v>
      </c>
      <c r="R136" s="57">
        <v>11</v>
      </c>
      <c r="S136" s="70"/>
      <c r="T136" s="516" t="str">
        <f>IF(CZ136,zeichen_gesperrt,"")</f>
        <v/>
      </c>
      <c r="U136" s="472" t="s">
        <v>427</v>
      </c>
      <c r="V136" s="357" t="s">
        <v>562</v>
      </c>
      <c r="W136" s="358">
        <v>0.75</v>
      </c>
      <c r="X136" s="510" t="str">
        <f ca="1">"Real: "&amp;VLOOKUP(BT136,$A$6:$F$20,3,FALSE)&amp;"  :  "&amp;VLOOKUP(BT136,$A$6:$F$20,4,FALSE)&amp;CHAR(10)&amp;"Tipp: "&amp;VLOOKUP(BT136,$A$6:$F$20,5,FALSE)&amp;"  :  "&amp;VLOOKUP(BT136,$A$6:$F$20,6,FALSE)</f>
        <v xml:space="preserve">Real:  -   :   - 
Tipp:  -   :   - </v>
      </c>
      <c r="Y136" s="511"/>
      <c r="Z136" s="512"/>
      <c r="AA136" s="492" t="str">
        <f>"SIEGER AF "&amp;A136</f>
        <v>SIEGER AF 3</v>
      </c>
      <c r="AB136" s="480"/>
      <c r="AC136" s="241" t="s">
        <v>583</v>
      </c>
      <c r="AD136" s="479" t="str">
        <f>"SIEGER AF "&amp;B136</f>
        <v>SIEGER AF 1</v>
      </c>
      <c r="AE136" s="480"/>
      <c r="AF136" s="466"/>
      <c r="AG136" s="468" t="s">
        <v>583</v>
      </c>
      <c r="AH136" s="470"/>
      <c r="AI136" s="462"/>
      <c r="AJ136" s="462"/>
      <c r="AK136" s="464" t="s">
        <v>411</v>
      </c>
      <c r="AL136" s="223"/>
      <c r="AM136" s="628"/>
      <c r="AN136" s="628"/>
      <c r="AO136" s="629"/>
      <c r="AP136" s="418"/>
      <c r="AQ136" s="418"/>
      <c r="AR136" s="419"/>
      <c r="AS136" s="108"/>
      <c r="AT136" s="70"/>
      <c r="AU136" s="220" t="str">
        <f ca="1">IF(EH136=0,"",INDEX($DL$21:$DL$24,EH136))</f>
        <v/>
      </c>
      <c r="AV136" s="70"/>
      <c r="AW136" s="70"/>
      <c r="AX136" s="70"/>
      <c r="AY136" s="70"/>
      <c r="AZ136" s="70"/>
      <c r="BA136" s="70"/>
      <c r="BB136" s="221"/>
      <c r="BC136" s="221"/>
      <c r="BD136" s="221"/>
      <c r="BE136" s="221"/>
      <c r="BF136" s="437"/>
      <c r="BG136" s="439" t="s">
        <v>583</v>
      </c>
      <c r="BH136" s="432"/>
      <c r="BI136" s="517"/>
      <c r="BJ136" s="518"/>
      <c r="BK136" s="518"/>
      <c r="BL136" s="518"/>
      <c r="BM136" s="518"/>
      <c r="BN136" s="518"/>
      <c r="BO136" s="518"/>
      <c r="BP136" s="518"/>
      <c r="BQ136" s="518"/>
      <c r="BR136" s="70"/>
      <c r="BT136" t="s">
        <v>427</v>
      </c>
      <c r="BU136">
        <f>IF(COUNT(BF136,BH136)&lt;&gt;2,-1,IF(BF136&gt;BH136,1,IF(BF136&lt;BH136,2,0)))</f>
        <v>-1</v>
      </c>
      <c r="BV136" s="222">
        <f>IF(LEN(AA137)=0,0,IF(ISERROR(MATCH(AA137,teamsmitk,0)),0,MATCH(AA137,teamsmitk,0)))</f>
        <v>0</v>
      </c>
      <c r="BW136" s="222">
        <f>IF(LEN(AD137)=0,0,IF(ISERROR(MATCH(AD137,teamsmitk,0)),0,MATCH(AD137,teamsmitk,0)))</f>
        <v>0</v>
      </c>
      <c r="CC136">
        <v>47</v>
      </c>
      <c r="CD136" t="b">
        <v>0</v>
      </c>
      <c r="CE136" s="216" t="str">
        <f>IF(CD136,IF(COUNT(CM136:CN136)=2,ABS(CM136),""),IF(COUNT(AF136,AH136)=2,ABS(AF136),""))</f>
        <v/>
      </c>
      <c r="CF136" s="216" t="str">
        <f>IF(CD136,IF(COUNT(CM136:CN136)=2,ABS(CN136),""),IF(COUNT(AF136,AH136)=2,ABS(AH136),""))</f>
        <v/>
      </c>
      <c r="CG136" s="138">
        <f>IF(SUM($CV$130:$CV$139)&gt;0,CO136,IF($CS$4&lt;&gt;1,CO136,IF(AND(LEN(AI136)&gt;0,NOT(DC136),$CS$4=1),1,0)))</f>
        <v>0</v>
      </c>
      <c r="CH136" s="138">
        <f>IF(OR(CD136,$CS$4&lt;&gt;3),CP136,ABS(VALUE(FG136)))</f>
        <v>0</v>
      </c>
      <c r="CI136" s="138">
        <f>IF(OR(CD136,CY136,NOT(CX136)),CQ136,IF(LEN(AK136)=0,0,IF(AK136=$CV$4,1,IF(AK136=$CV$5,2,0))))</f>
        <v>0</v>
      </c>
      <c r="CJ136" s="138">
        <f>IF(OR(CD136,$CS$6=0),CR136,IF(AND($CS$6&gt;1,CK136&gt;0),1,IF($CS$6=2,CR136,IF(EF136="EW",1,0))))</f>
        <v>0</v>
      </c>
      <c r="CK136" s="138">
        <f>IF(OR(CD136,$CS$6&lt;2),CS136,EI136)</f>
        <v>0</v>
      </c>
      <c r="CL136" s="138">
        <f ca="1">IF(OR(CD136,EK136=1),CT136,ED136)</f>
        <v>0</v>
      </c>
      <c r="CO136">
        <v>0</v>
      </c>
      <c r="CP136">
        <v>0</v>
      </c>
      <c r="CQ136">
        <v>0</v>
      </c>
      <c r="CR136">
        <v>0</v>
      </c>
      <c r="CS136">
        <v>0</v>
      </c>
      <c r="CT136">
        <v>0</v>
      </c>
      <c r="CV136">
        <f>IF(AND(CO136=1,CD136),1,0)</f>
        <v>0</v>
      </c>
      <c r="CX136" t="b">
        <f>AND($CS$5=1,COUNT(CE136:CF136)=2,CE136&lt;&gt;CF136)</f>
        <v>0</v>
      </c>
      <c r="CY136" t="b">
        <f>IF(LEN(AK136)=0,FALSE,IF(COUNT(CE136:CF136)&lt;&gt;2,TRUE,IF(AND(CX136,AK136=$CV$4,ABS(CE136-CF136)&gt;=2),FALSE,IF(AND(CX136,AK136=$CV$5,ABS(CE136-CF136)&gt;=3),FALSE,TRUE))))</f>
        <v>0</v>
      </c>
      <c r="CZ136" t="b">
        <v>0</v>
      </c>
      <c r="DA136">
        <f>IF(SUM($CV$130:$CV$139)&gt;0,CO136,IF(AND(LEN(AI136)&gt;0),1,0))</f>
        <v>0</v>
      </c>
      <c r="DB136">
        <f>SUM($DA$128:$DA136)</f>
        <v>0</v>
      </c>
      <c r="DC136" t="b">
        <f>OR(AND(DA136=1,OR(DB136&gt;1,$CS$4=3)))</f>
        <v>0</v>
      </c>
      <c r="DE136">
        <v>5</v>
      </c>
      <c r="DF136" s="137">
        <v>1</v>
      </c>
      <c r="DG136" s="137">
        <v>15</v>
      </c>
      <c r="DH136">
        <f>IF(NOT(ISNUMBER(AJ136)),DF136,IF(LEN(AJ136)=0,DF136,IF(AJ136&gt;DG136,DG136,IF(AJ136&lt;DF136,DF136,AJ136))))</f>
        <v>1</v>
      </c>
      <c r="DV136" s="223"/>
      <c r="DW136" s="224"/>
      <c r="DX136" s="224"/>
      <c r="DY136" s="225"/>
      <c r="EA136" t="b">
        <f ca="1">AU137="Ungültiger Sieger"</f>
        <v>0</v>
      </c>
      <c r="EB136" t="b">
        <f ca="1">AND($CS$6&gt;0,EF136&lt;&gt;0,EH136&gt;0)</f>
        <v>0</v>
      </c>
      <c r="EC136" s="62">
        <f>AP136</f>
        <v>0</v>
      </c>
      <c r="ED136" s="56">
        <f ca="1">IF(CC136&lt;37,0,IF(LEN(EC136)=0,0,IF(ISERROR(MATCH(EC136,OFFSET($CR$15:$CR$16,0,CC136-36),0)),0,MATCH(EC136,OFFSET($CR$15:$CR$16,0,CC136-36),0))))</f>
        <v>0</v>
      </c>
      <c r="EE136" s="57">
        <f>IF(COUNT(CE136:CF136)&lt;&gt;2,-1,IF(CE136&gt;CF136,1,IF(CE136&lt;CF136,2,0)))</f>
        <v>-1</v>
      </c>
      <c r="EF136" s="62">
        <f>AM136</f>
        <v>0</v>
      </c>
      <c r="EG136">
        <f ca="1">IF(CC136&lt;37,0,IF(LEN(EF136)=0,0,IF(ISERROR(MATCH(EF136,OFFSET($CR$15:$CR$16,0,CC136-37),0)),0,MATCH(EF136,OFFSET($CR$15:$CR$16,0,CC136-37),0))))</f>
        <v>0</v>
      </c>
      <c r="EH136">
        <f ca="1">IF(AND(EE136&lt;&gt;-1,settings!$C$29,EG136=0),4,IF(OR(CC136&lt;37,NOT($EH$31),$CS$6&lt;2,AND(EF136&lt;&gt;"EW",EG136=0)),0,IF(EE136=-1,1,IF(AND(EE136=0,$EH$28&lt;&gt;0),2,IF(AND(EE136&gt;0,$EH$28=0),2,IF(AND(EE136&gt;0,EG136&lt;&gt;EE136),3,0))))))</f>
        <v>0</v>
      </c>
      <c r="EI136">
        <f ca="1">IF(EH136=0,EG136,CS136)</f>
        <v>0</v>
      </c>
      <c r="EJ136">
        <f ca="1">IF(EE136&gt;0,EE136,IF(AND(EI136&gt;0,settings!$C$29=0),EI136,IF(ED136&gt;0,ED136,IF(EI136&gt;0,EI136,EE136))))</f>
        <v>-1</v>
      </c>
      <c r="EK136">
        <f ca="1">IF(AND(ED136&gt;0,ED136&lt;&gt;EJ136),1,0)</f>
        <v>0</v>
      </c>
      <c r="EL136" t="b">
        <f ca="1">AND(EE136&gt;-1,$EL$37,EJ136&lt;=0)</f>
        <v>0</v>
      </c>
      <c r="EM136" s="57">
        <f>IF(EXACT(CE136,CM136),0,1)</f>
        <v>0</v>
      </c>
      <c r="EN136" s="57">
        <f>IF(EXACT(CF136,CN136),0,1)</f>
        <v>0</v>
      </c>
      <c r="EO136" s="57">
        <f>IF($CS$400,0,IF(EXACT(CG136,CO136),0,1))</f>
        <v>0</v>
      </c>
      <c r="EP136" s="57">
        <f>IF($CS$4&lt;&gt;3,0,IF(AND(CH136=INDEX(settings!$I$19:$P$19,1),LEN(CP136)=0),0,IF(EXACT(CH136,CP136),0,1)))</f>
        <v>0</v>
      </c>
      <c r="EQ136" s="57">
        <f>IF(settings!$C$1100,0,IF(CI136=CQ136,0,1))</f>
        <v>0</v>
      </c>
      <c r="ER136" s="57">
        <f>IF($CS$6=0,0,IF(CJ136=CR136,0,1))</f>
        <v>0</v>
      </c>
      <c r="ES136" s="57">
        <f>IF($CS$6&lt;2,0,IF(CK136=CS136,0,1))</f>
        <v>0</v>
      </c>
      <c r="ET136" s="57">
        <f>IF(DR137&lt;37,0,IF(CL136=CT136,0,1))</f>
        <v>0</v>
      </c>
      <c r="EU136" s="57">
        <f>IF(CD136,0,SUM(EM136:ET136))</f>
        <v>0</v>
      </c>
      <c r="FB136">
        <f>IF(DH136&lt;FH128,FH128,DH136)</f>
        <v>1</v>
      </c>
      <c r="FC136">
        <f>FC133+1</f>
        <v>3</v>
      </c>
      <c r="FD136">
        <f>FD133</f>
        <v>1</v>
      </c>
      <c r="FE136">
        <f>IF(CD136,CP136,IF(FB136&gt;FI128,FI128,FB136))</f>
        <v>1</v>
      </c>
      <c r="FG136">
        <f>IF(CD136,FE136,IF(FE136&lt;=FH133,FE136,IF(FH133&lt;0,0,FH133)))</f>
        <v>1</v>
      </c>
      <c r="FH136">
        <f>FG128-SUM(FG129:FG136)-SUM(FD137:FD142)+FH128</f>
        <v>37</v>
      </c>
      <c r="FI136" t="b">
        <f>FG136&lt;&gt;AJ136</f>
        <v>1</v>
      </c>
    </row>
    <row r="137" spans="1:165" ht="12" customHeight="1" x14ac:dyDescent="0.2">
      <c r="A137" s="240"/>
      <c r="B137" s="240"/>
      <c r="E137" s="153"/>
      <c r="F137" s="57"/>
      <c r="G137" s="57"/>
      <c r="H137" s="244"/>
      <c r="I137" s="245"/>
      <c r="J137" s="244"/>
      <c r="K137" s="245"/>
      <c r="L137" s="211"/>
      <c r="M137" s="211"/>
      <c r="N137" s="212"/>
      <c r="O137" s="212"/>
      <c r="Q137" s="57"/>
      <c r="R137" s="57"/>
      <c r="S137" s="70"/>
      <c r="T137" s="516" t="str">
        <f>IF(CZ137,zeichen_gesperrt,"")</f>
        <v/>
      </c>
      <c r="U137" s="473"/>
      <c r="V137" s="474" t="s">
        <v>555</v>
      </c>
      <c r="W137" s="474"/>
      <c r="X137" s="513"/>
      <c r="Y137" s="514"/>
      <c r="Z137" s="515"/>
      <c r="AA137" s="475"/>
      <c r="AB137" s="476"/>
      <c r="AC137" s="226" t="s">
        <v>583</v>
      </c>
      <c r="AD137" s="477"/>
      <c r="AE137" s="478"/>
      <c r="AF137" s="467"/>
      <c r="AG137" s="469"/>
      <c r="AH137" s="471"/>
      <c r="AI137" s="463"/>
      <c r="AJ137" s="463"/>
      <c r="AK137" s="465"/>
      <c r="AL137" s="223"/>
      <c r="AM137" s="628"/>
      <c r="AN137" s="628"/>
      <c r="AO137" s="629"/>
      <c r="AP137" s="420"/>
      <c r="AQ137" s="420"/>
      <c r="AR137" s="421"/>
      <c r="AS137" s="108"/>
      <c r="AT137" s="70"/>
      <c r="AU137" s="220" t="str">
        <f ca="1">IF(AND(ED136&gt;0,EE136&gt;-1,EK136=1),"Ungültiger Sieger",IF(EL136,"Sieger fehlt!",""))</f>
        <v/>
      </c>
      <c r="AV137" s="70"/>
      <c r="AW137" s="70"/>
      <c r="AX137" s="70"/>
      <c r="AY137" s="70"/>
      <c r="AZ137" s="70"/>
      <c r="BA137" s="70"/>
      <c r="BB137" s="221"/>
      <c r="BC137" s="221"/>
      <c r="BD137" s="221"/>
      <c r="BE137" s="221"/>
      <c r="BF137" s="438"/>
      <c r="BG137" s="440"/>
      <c r="BH137" s="433"/>
      <c r="BI137" s="517"/>
      <c r="BJ137" s="518"/>
      <c r="BK137" s="518"/>
      <c r="BL137" s="518"/>
      <c r="BM137" s="518"/>
      <c r="BN137" s="518"/>
      <c r="BO137" s="518"/>
      <c r="BP137" s="518"/>
      <c r="BQ137" s="518"/>
      <c r="BR137" s="70"/>
      <c r="BV137" s="222"/>
      <c r="BW137" s="222"/>
      <c r="BX137" t="b">
        <f>VLOOKUP(BT136,$BU$175:$CA$190,6,FALSE)&lt;&gt;BV136</f>
        <v>0</v>
      </c>
      <c r="BY137" t="b">
        <f>VLOOKUP(BT136,$BU$175:$CA$190,7,FALSE)&lt;&gt;BW136</f>
        <v>0</v>
      </c>
      <c r="BZ137" s="227" t="str">
        <f ca="1">IF(EJ136&lt;=0," ",IF(EJ136=1,AA137,AD137))</f>
        <v xml:space="preserve"> </v>
      </c>
      <c r="CA137" s="227" t="str">
        <f ca="1">IF(EJ136&lt;=0," ",IF(EJ136=1,AD137,AA137))</f>
        <v xml:space="preserve"> </v>
      </c>
      <c r="DF137" s="137"/>
      <c r="DG137" s="137"/>
      <c r="DV137" s="223"/>
      <c r="DW137" s="224"/>
      <c r="DX137" s="224"/>
      <c r="DY137" s="225"/>
      <c r="EC137" s="62"/>
      <c r="EF137" s="62"/>
    </row>
    <row r="138" spans="1:165" ht="3.9" customHeight="1" x14ac:dyDescent="0.2">
      <c r="A138" s="240"/>
      <c r="B138" s="240"/>
      <c r="E138" s="153"/>
      <c r="F138" s="57"/>
      <c r="G138" s="57"/>
      <c r="H138" s="244"/>
      <c r="I138" s="245"/>
      <c r="J138" s="244"/>
      <c r="K138" s="245"/>
      <c r="L138" s="211"/>
      <c r="M138" s="211"/>
      <c r="N138" s="212"/>
      <c r="O138" s="212"/>
      <c r="Q138" s="57"/>
      <c r="R138" s="57"/>
      <c r="S138" s="70"/>
      <c r="T138" s="228"/>
      <c r="U138" s="359"/>
      <c r="V138" s="360"/>
      <c r="W138" s="360"/>
      <c r="X138" s="360"/>
      <c r="Y138" s="360"/>
      <c r="Z138" s="359"/>
      <c r="AA138" s="229"/>
      <c r="AB138" s="229"/>
      <c r="AC138" s="229"/>
      <c r="AD138" s="229"/>
      <c r="AE138" s="229"/>
      <c r="AF138" s="242"/>
      <c r="AG138" s="111"/>
      <c r="AH138" s="242"/>
      <c r="AI138" s="243"/>
      <c r="AJ138" s="243"/>
      <c r="AK138" s="224"/>
      <c r="AL138" s="231"/>
      <c r="AM138" s="231"/>
      <c r="AN138" s="231"/>
      <c r="AO138" s="217"/>
      <c r="AP138" s="231"/>
      <c r="AQ138" s="231"/>
      <c r="AR138" s="101"/>
      <c r="AS138" s="108"/>
      <c r="AT138" s="70"/>
      <c r="AU138" s="70"/>
      <c r="AV138" s="70"/>
      <c r="AW138" s="70"/>
      <c r="AX138" s="70"/>
      <c r="AY138" s="70"/>
      <c r="AZ138" s="70"/>
      <c r="BA138" s="70"/>
      <c r="BB138" s="71"/>
      <c r="BC138" s="71"/>
      <c r="BD138" s="71"/>
      <c r="BE138" s="71"/>
      <c r="BF138" s="70"/>
      <c r="BG138" s="70"/>
      <c r="BH138" s="89"/>
      <c r="BI138" s="232"/>
      <c r="BJ138" s="71"/>
      <c r="BK138" s="70"/>
      <c r="BL138" s="70"/>
      <c r="BM138" s="70"/>
      <c r="BN138" s="70"/>
      <c r="BO138" s="70"/>
      <c r="BP138" s="70"/>
      <c r="BQ138" s="70"/>
      <c r="BR138" s="70"/>
      <c r="BV138" s="222"/>
      <c r="BW138" s="222"/>
      <c r="DF138" s="137"/>
      <c r="DG138" s="137"/>
      <c r="DV138" s="231"/>
      <c r="DW138" s="231"/>
      <c r="DX138" s="231"/>
      <c r="DY138" s="217"/>
      <c r="EC138" s="62"/>
      <c r="EF138" s="62"/>
    </row>
    <row r="139" spans="1:165" ht="10.199999999999999" customHeight="1" x14ac:dyDescent="0.2">
      <c r="A139" s="240">
        <v>7</v>
      </c>
      <c r="B139" s="240">
        <v>8</v>
      </c>
      <c r="C139">
        <v>48</v>
      </c>
      <c r="E139" s="153" t="s">
        <v>428</v>
      </c>
      <c r="F139" s="57">
        <f>INDEX(tabber!$L$407:$L$422,C139-36)</f>
        <v>-1</v>
      </c>
      <c r="G139" s="57">
        <f>INDEX(tabber!$M$407:$M$422,C139-36)</f>
        <v>-1</v>
      </c>
      <c r="H139" s="66">
        <f ca="1">INDEX($L$99:$L$120,(A139-1)*3+1)</f>
        <v>0</v>
      </c>
      <c r="I139" s="67">
        <f ca="1">INDEX($L$99:$L$120,(B139-1)*3+1)</f>
        <v>0</v>
      </c>
      <c r="J139" s="66">
        <f ca="1">INDEX($M$99:$M$120,(A139-1)*3+1)</f>
        <v>0</v>
      </c>
      <c r="K139" s="67">
        <f ca="1">INDEX($M$99:$M$120,(B139-1)*3+1)</f>
        <v>0</v>
      </c>
      <c r="L139" s="211">
        <f ca="1">IF(EJ139&lt;=0,0,INDEX(H139:I139,EJ139))</f>
        <v>0</v>
      </c>
      <c r="M139" s="211">
        <f ca="1">IF(EJ139&lt;=0,0,INDEX(F139:G139,EJ139))</f>
        <v>0</v>
      </c>
      <c r="N139" s="212">
        <f ca="1">IF(L139=0,0,IF(L139=H139,I139,IF(L139=I139,H139,0)))</f>
        <v>0</v>
      </c>
      <c r="O139" s="212">
        <f ca="1">IF(M139=0,0,IF(M139=F139,G139,IF(M139=G139,F139,0)))</f>
        <v>0</v>
      </c>
      <c r="Q139" s="57">
        <v>4</v>
      </c>
      <c r="R139" s="57">
        <v>12</v>
      </c>
      <c r="S139" s="70"/>
      <c r="T139" s="516" t="str">
        <f>IF(CZ139,zeichen_gesperrt,"")</f>
        <v/>
      </c>
      <c r="U139" s="472" t="s">
        <v>428</v>
      </c>
      <c r="V139" s="357" t="s">
        <v>562</v>
      </c>
      <c r="W139" s="358">
        <v>0.875</v>
      </c>
      <c r="X139" s="510" t="str">
        <f ca="1">"Real: "&amp;VLOOKUP(BT139,$A$6:$F$20,3,FALSE)&amp;"  :  "&amp;VLOOKUP(BT139,$A$6:$F$20,4,FALSE)&amp;CHAR(10)&amp;"Tipp: "&amp;VLOOKUP(BT139,$A$6:$F$20,5,FALSE)&amp;"  :  "&amp;VLOOKUP(BT139,$A$6:$F$20,6,FALSE)</f>
        <v xml:space="preserve">Real:  -   :   - 
Tipp:  -   :   - </v>
      </c>
      <c r="Y139" s="511"/>
      <c r="Z139" s="512"/>
      <c r="AA139" s="492" t="str">
        <f>"SIEGER AF "&amp;A139</f>
        <v>SIEGER AF 7</v>
      </c>
      <c r="AB139" s="480"/>
      <c r="AC139" s="241" t="s">
        <v>583</v>
      </c>
      <c r="AD139" s="479" t="str">
        <f>"SIEGER AF "&amp;B139</f>
        <v>SIEGER AF 8</v>
      </c>
      <c r="AE139" s="480"/>
      <c r="AF139" s="466"/>
      <c r="AG139" s="468" t="s">
        <v>583</v>
      </c>
      <c r="AH139" s="470"/>
      <c r="AI139" s="462"/>
      <c r="AJ139" s="462"/>
      <c r="AK139" s="464" t="s">
        <v>411</v>
      </c>
      <c r="AL139" s="223"/>
      <c r="AM139" s="628"/>
      <c r="AN139" s="628"/>
      <c r="AO139" s="629"/>
      <c r="AP139" s="418"/>
      <c r="AQ139" s="418"/>
      <c r="AR139" s="419"/>
      <c r="AS139" s="108"/>
      <c r="AT139" s="70"/>
      <c r="AU139" s="220" t="str">
        <f ca="1">IF(EH139=0,"",INDEX($DL$21:$DL$24,EH139))</f>
        <v/>
      </c>
      <c r="AV139" s="70"/>
      <c r="AW139" s="70"/>
      <c r="AX139" s="70"/>
      <c r="AY139" s="70"/>
      <c r="AZ139" s="70"/>
      <c r="BA139" s="70"/>
      <c r="BB139" s="221"/>
      <c r="BC139" s="221"/>
      <c r="BD139" s="221"/>
      <c r="BE139" s="221"/>
      <c r="BF139" s="437"/>
      <c r="BG139" s="439" t="s">
        <v>583</v>
      </c>
      <c r="BH139" s="432"/>
      <c r="BI139" s="517"/>
      <c r="BJ139" s="518"/>
      <c r="BK139" s="518"/>
      <c r="BL139" s="518"/>
      <c r="BM139" s="518"/>
      <c r="BN139" s="518"/>
      <c r="BO139" s="518"/>
      <c r="BP139" s="518"/>
      <c r="BQ139" s="518"/>
      <c r="BR139" s="70"/>
      <c r="BT139" t="s">
        <v>428</v>
      </c>
      <c r="BU139">
        <f>IF(COUNT(BF139,BH139)&lt;&gt;2,-1,IF(BF139&gt;BH139,1,IF(BF139&lt;BH139,2,0)))</f>
        <v>-1</v>
      </c>
      <c r="BV139" s="222">
        <f>IF(LEN(AA140)=0,0,IF(ISERROR(MATCH(AA140,teamsmitk,0)),0,MATCH(AA140,teamsmitk,0)))</f>
        <v>0</v>
      </c>
      <c r="BW139" s="222">
        <f>IF(LEN(AD140)=0,0,IF(ISERROR(MATCH(AD140,teamsmitk,0)),0,MATCH(AD140,teamsmitk,0)))</f>
        <v>0</v>
      </c>
      <c r="CC139">
        <v>48</v>
      </c>
      <c r="CD139" t="b">
        <v>0</v>
      </c>
      <c r="CE139" s="216" t="str">
        <f>IF(CD139,IF(COUNT(CM139:CN139)=2,ABS(CM139),""),IF(COUNT(AF139,AH139)=2,ABS(AF139),""))</f>
        <v/>
      </c>
      <c r="CF139" s="216" t="str">
        <f>IF(CD139,IF(COUNT(CM139:CN139)=2,ABS(CN139),""),IF(COUNT(AF139,AH139)=2,ABS(AH139),""))</f>
        <v/>
      </c>
      <c r="CG139" s="138">
        <f>IF(SUM($CV$130:$CV$139)&gt;0,CO139,IF($CS$4&lt;&gt;1,CO139,IF(AND(LEN(AI139)&gt;0,NOT(DC139),$CS$4=1),1,0)))</f>
        <v>0</v>
      </c>
      <c r="CH139" s="138">
        <f>IF(OR(CD139,$CS$4&lt;&gt;3),CP139,ABS(VALUE(FG139)))</f>
        <v>0</v>
      </c>
      <c r="CI139" s="138">
        <f>IF(OR(CD139,CY139,NOT(CX139)),CQ139,IF(LEN(AK139)=0,0,IF(AK139=$CV$4,1,IF(AK139=$CV$5,2,0))))</f>
        <v>0</v>
      </c>
      <c r="CJ139" s="138">
        <f>IF(OR(CD139,$CS$6=0),CR139,IF(AND($CS$6&gt;1,CK139&gt;0),1,IF($CS$6=2,CR139,IF(EF139="EW",1,0))))</f>
        <v>0</v>
      </c>
      <c r="CK139" s="138">
        <f>IF(OR(CD139,$CS$6&lt;2),CS139,EI139)</f>
        <v>0</v>
      </c>
      <c r="CL139" s="138">
        <f ca="1">IF(OR(CD139,EK139=1),CT139,ED139)</f>
        <v>0</v>
      </c>
      <c r="CO139">
        <v>0</v>
      </c>
      <c r="CP139">
        <v>0</v>
      </c>
      <c r="CQ139">
        <v>0</v>
      </c>
      <c r="CR139">
        <v>0</v>
      </c>
      <c r="CS139">
        <v>0</v>
      </c>
      <c r="CT139">
        <v>0</v>
      </c>
      <c r="CV139">
        <f>IF(AND(CO139=1,CD139),1,0)</f>
        <v>0</v>
      </c>
      <c r="CX139" t="b">
        <f>AND($CS$5=1,COUNT(CE139:CF139)=2,CE139&lt;&gt;CF139)</f>
        <v>0</v>
      </c>
      <c r="CY139" t="b">
        <f>IF(LEN(AK139)=0,FALSE,IF(COUNT(CE139:CF139)&lt;&gt;2,TRUE,IF(AND(CX139,AK139=$CV$4,ABS(CE139-CF139)&gt;=2),FALSE,IF(AND(CX139,AK139=$CV$5,ABS(CE139-CF139)&gt;=3),FALSE,TRUE))))</f>
        <v>0</v>
      </c>
      <c r="CZ139" t="b">
        <v>0</v>
      </c>
      <c r="DA139">
        <f>IF(SUM($CV$130:$CV$139)&gt;0,CO139,IF(AND(LEN(AI139)&gt;0),1,0))</f>
        <v>0</v>
      </c>
      <c r="DB139">
        <f>SUM($DA$128:$DA139)</f>
        <v>0</v>
      </c>
      <c r="DC139" t="b">
        <f>OR(AND(DA139=1,OR(DB139&gt;1,$CS$4=3)))</f>
        <v>0</v>
      </c>
      <c r="DE139">
        <v>5</v>
      </c>
      <c r="DF139" s="137">
        <v>1</v>
      </c>
      <c r="DG139" s="137">
        <v>15</v>
      </c>
      <c r="DH139">
        <f>IF(NOT(ISNUMBER(AJ139)),DF139,IF(LEN(AJ139)=0,DF139,IF(AJ139&gt;DG139,DG139,IF(AJ139&lt;DF139,DF139,AJ139))))</f>
        <v>1</v>
      </c>
      <c r="DV139" s="223"/>
      <c r="DW139" s="224"/>
      <c r="DX139" s="224"/>
      <c r="DY139" s="225"/>
      <c r="EA139" t="b">
        <f ca="1">AU140="Ungültiger Sieger"</f>
        <v>0</v>
      </c>
      <c r="EB139" t="b">
        <f ca="1">AND($CS$6&gt;0,EF139&lt;&gt;0,EH139&gt;0)</f>
        <v>0</v>
      </c>
      <c r="EC139" s="62">
        <f>AP139</f>
        <v>0</v>
      </c>
      <c r="ED139" s="56">
        <f ca="1">IF(CC139&lt;37,0,IF(LEN(EC139)=0,0,IF(ISERROR(MATCH(EC139,OFFSET($CR$15:$CR$16,0,CC139-36),0)),0,MATCH(EC139,OFFSET($CR$15:$CR$16,0,CC139-36),0))))</f>
        <v>0</v>
      </c>
      <c r="EE139" s="57">
        <f>IF(COUNT(CE139:CF139)&lt;&gt;2,-1,IF(CE139&gt;CF139,1,IF(CE139&lt;CF139,2,0)))</f>
        <v>-1</v>
      </c>
      <c r="EF139" s="62">
        <f>AM139</f>
        <v>0</v>
      </c>
      <c r="EG139">
        <f ca="1">IF(CC139&lt;37,0,IF(LEN(EF139)=0,0,IF(ISERROR(MATCH(EF139,OFFSET($CR$15:$CR$16,0,CC139-37),0)),0,MATCH(EF139,OFFSET($CR$15:$CR$16,0,CC139-37),0))))</f>
        <v>0</v>
      </c>
      <c r="EH139">
        <f ca="1">IF(AND(EE139&lt;&gt;-1,settings!$C$29,EG139=0),4,IF(OR(CC139&lt;37,NOT($EH$31),$CS$6&lt;2,AND(EF139&lt;&gt;"EW",EG139=0)),0,IF(EE139=-1,1,IF(AND(EE139=0,$EH$28&lt;&gt;0),2,IF(AND(EE139&gt;0,$EH$28=0),2,IF(AND(EE139&gt;0,EG139&lt;&gt;EE139),3,0))))))</f>
        <v>0</v>
      </c>
      <c r="EI139">
        <f ca="1">IF(EH139=0,EG139,CS139)</f>
        <v>0</v>
      </c>
      <c r="EJ139">
        <f ca="1">IF(EE139&gt;0,EE139,IF(AND(EI139&gt;0,settings!$C$29=0),EI139,IF(ED139&gt;0,ED139,IF(EI139&gt;0,EI139,EE139))))</f>
        <v>-1</v>
      </c>
      <c r="EK139">
        <f ca="1">IF(AND(ED139&gt;0,ED139&lt;&gt;EJ139),1,0)</f>
        <v>0</v>
      </c>
      <c r="EL139" t="b">
        <f ca="1">AND(EE139&gt;-1,$EL$37,EJ139&lt;=0)</f>
        <v>0</v>
      </c>
      <c r="EM139" s="57">
        <f>IF(EXACT(CE139,CM139),0,1)</f>
        <v>0</v>
      </c>
      <c r="EN139" s="57">
        <f>IF(EXACT(CF139,CN139),0,1)</f>
        <v>0</v>
      </c>
      <c r="EO139" s="57">
        <f>IF($CS$400,0,IF(EXACT(CG139,CO139),0,1))</f>
        <v>0</v>
      </c>
      <c r="EP139" s="57">
        <f>IF($CS$4&lt;&gt;3,0,IF(AND(CH139=INDEX(settings!$I$19:$P$19,1),LEN(CP139)=0),0,IF(EXACT(CH139,CP139),0,1)))</f>
        <v>0</v>
      </c>
      <c r="EQ139" s="57">
        <f>IF(settings!$C$1100,0,IF(CI139=CQ139,0,1))</f>
        <v>0</v>
      </c>
      <c r="ER139" s="57">
        <f>IF($CS$6=0,0,IF(CJ139=CR139,0,1))</f>
        <v>0</v>
      </c>
      <c r="ES139" s="57">
        <f>IF($CS$6&lt;2,0,IF(CK139=CS139,0,1))</f>
        <v>0</v>
      </c>
      <c r="ET139" s="57">
        <f>IF(DR140&lt;37,0,IF(CL139=CT139,0,1))</f>
        <v>0</v>
      </c>
      <c r="EU139" s="57">
        <f>IF(CD139,0,SUM(EM139:ET139))</f>
        <v>0</v>
      </c>
      <c r="FB139">
        <f>IF(DH139&lt;FH128,FH128,DH139)</f>
        <v>1</v>
      </c>
      <c r="FC139">
        <f>FC136+1</f>
        <v>4</v>
      </c>
      <c r="FD139">
        <f>FD136</f>
        <v>1</v>
      </c>
      <c r="FE139">
        <f>IF(CD139,CP139,IF(FB139&gt;FI128,FI128,FB139))</f>
        <v>1</v>
      </c>
      <c r="FG139">
        <f>IF(CD139,FE139,IF(FE139&lt;=FH136,FE139,IF(FH136&lt;0,0,FH136)))</f>
        <v>1</v>
      </c>
      <c r="FH139">
        <f>FG128-SUM(FG129:FG139)-SUM(FD140:FD142)+FH128</f>
        <v>37</v>
      </c>
      <c r="FI139" t="b">
        <f>FG139&lt;&gt;AJ139</f>
        <v>1</v>
      </c>
    </row>
    <row r="140" spans="1:165" ht="12" customHeight="1" x14ac:dyDescent="0.2">
      <c r="F140" s="57"/>
      <c r="G140" s="57"/>
      <c r="H140" s="244"/>
      <c r="I140" s="245"/>
      <c r="J140" s="244"/>
      <c r="K140" s="245"/>
      <c r="L140" s="211"/>
      <c r="M140" s="211"/>
      <c r="N140" s="212"/>
      <c r="O140" s="212"/>
      <c r="Q140" s="57"/>
      <c r="R140" s="57"/>
      <c r="S140" s="70"/>
      <c r="T140" s="516" t="str">
        <f>IF(CZ140,zeichen_gesperrt,"")</f>
        <v/>
      </c>
      <c r="U140" s="473"/>
      <c r="V140" s="474" t="s">
        <v>550</v>
      </c>
      <c r="W140" s="474"/>
      <c r="X140" s="513"/>
      <c r="Y140" s="514"/>
      <c r="Z140" s="515"/>
      <c r="AA140" s="475"/>
      <c r="AB140" s="476"/>
      <c r="AC140" s="226" t="s">
        <v>583</v>
      </c>
      <c r="AD140" s="477"/>
      <c r="AE140" s="478"/>
      <c r="AF140" s="467"/>
      <c r="AG140" s="469"/>
      <c r="AH140" s="471"/>
      <c r="AI140" s="463"/>
      <c r="AJ140" s="463"/>
      <c r="AK140" s="465"/>
      <c r="AL140" s="223"/>
      <c r="AM140" s="628"/>
      <c r="AN140" s="628"/>
      <c r="AO140" s="629"/>
      <c r="AP140" s="420"/>
      <c r="AQ140" s="420"/>
      <c r="AR140" s="421"/>
      <c r="AS140" s="108"/>
      <c r="AT140" s="70"/>
      <c r="AU140" s="220" t="str">
        <f ca="1">IF(AND(ED139&gt;0,EE139&gt;-1,EK139=1),"Ungültiger Sieger",IF(EL139,"Sieger fehlt!",""))</f>
        <v/>
      </c>
      <c r="AV140" s="70"/>
      <c r="AW140" s="70"/>
      <c r="AX140" s="70"/>
      <c r="AY140" s="70"/>
      <c r="AZ140" s="70"/>
      <c r="BA140" s="70"/>
      <c r="BB140" s="221"/>
      <c r="BC140" s="221"/>
      <c r="BD140" s="221"/>
      <c r="BE140" s="221"/>
      <c r="BF140" s="438"/>
      <c r="BG140" s="440"/>
      <c r="BH140" s="433"/>
      <c r="BI140" s="517"/>
      <c r="BJ140" s="518"/>
      <c r="BK140" s="518"/>
      <c r="BL140" s="518"/>
      <c r="BM140" s="518"/>
      <c r="BN140" s="518"/>
      <c r="BO140" s="518"/>
      <c r="BP140" s="518"/>
      <c r="BQ140" s="518"/>
      <c r="BR140" s="70"/>
      <c r="BV140" s="222"/>
      <c r="BW140" s="222"/>
      <c r="BX140" t="b">
        <f>VLOOKUP(BT139,$BU$175:$CA$190,6,FALSE)&lt;&gt;BV139</f>
        <v>0</v>
      </c>
      <c r="BY140" t="b">
        <f>VLOOKUP(BT139,$BU$175:$CA$190,7,FALSE)&lt;&gt;BW139</f>
        <v>0</v>
      </c>
      <c r="BZ140" s="227" t="str">
        <f ca="1">IF(EJ139&lt;=0," ",IF(EJ139=1,AA140,AD140))</f>
        <v xml:space="preserve"> </v>
      </c>
      <c r="CA140" s="227" t="str">
        <f ca="1">IF(EJ139&lt;=0," ",IF(EJ139=1,AD140,AA140))</f>
        <v xml:space="preserve"> </v>
      </c>
      <c r="DF140" s="137"/>
      <c r="DG140" s="137"/>
      <c r="DV140" s="223"/>
      <c r="DW140" s="224"/>
      <c r="DX140" s="224"/>
      <c r="DY140" s="225"/>
      <c r="EC140" s="62"/>
      <c r="EF140" s="62"/>
    </row>
    <row r="141" spans="1:165" ht="3.9" customHeight="1" thickBot="1" x14ac:dyDescent="0.25">
      <c r="F141" s="57"/>
      <c r="G141" s="57"/>
      <c r="H141" s="244"/>
      <c r="I141" s="245"/>
      <c r="J141" s="244"/>
      <c r="K141" s="245"/>
      <c r="L141" s="211"/>
      <c r="M141" s="211"/>
      <c r="N141" s="212"/>
      <c r="O141" s="212"/>
      <c r="S141" s="70"/>
      <c r="T141" s="178"/>
      <c r="U141" s="246"/>
      <c r="V141" s="247"/>
      <c r="W141" s="247"/>
      <c r="X141" s="247"/>
      <c r="Y141" s="247"/>
      <c r="Z141" s="248"/>
      <c r="AA141" s="247"/>
      <c r="AB141" s="247"/>
      <c r="AC141" s="247"/>
      <c r="AD141" s="247"/>
      <c r="AE141" s="247"/>
      <c r="AF141" s="248"/>
      <c r="AG141" s="248"/>
      <c r="AH141" s="248"/>
      <c r="AI141" s="248"/>
      <c r="AJ141" s="248"/>
      <c r="AK141" s="248"/>
      <c r="AL141" s="248"/>
      <c r="AM141" s="248"/>
      <c r="AN141" s="248"/>
      <c r="AO141" s="236"/>
      <c r="AP141" s="248"/>
      <c r="AQ141" s="248"/>
      <c r="AR141" s="234"/>
      <c r="AS141" s="235"/>
      <c r="AT141" s="70"/>
      <c r="AU141" s="70"/>
      <c r="AV141" s="70"/>
      <c r="AW141" s="70"/>
      <c r="AX141" s="70"/>
      <c r="AY141" s="70"/>
      <c r="AZ141" s="70"/>
      <c r="BA141" s="70"/>
      <c r="BB141" s="71"/>
      <c r="BC141" s="71"/>
      <c r="BD141" s="71"/>
      <c r="BE141" s="71"/>
      <c r="BF141" s="70"/>
      <c r="BG141" s="70"/>
      <c r="BH141" s="89"/>
      <c r="BI141" s="232"/>
      <c r="BJ141" s="71"/>
      <c r="BK141" s="70"/>
      <c r="BL141" s="70"/>
      <c r="BM141" s="70"/>
      <c r="BN141" s="70"/>
      <c r="BO141" s="70"/>
      <c r="BP141" s="70"/>
      <c r="BQ141" s="70"/>
      <c r="BR141" s="70"/>
      <c r="BV141" s="222"/>
      <c r="BW141" s="222"/>
      <c r="DF141" s="137"/>
      <c r="DG141" s="137"/>
      <c r="DV141" s="248"/>
      <c r="DW141" s="248"/>
      <c r="DX141" s="248"/>
      <c r="DY141" s="236"/>
      <c r="EC141" s="62"/>
      <c r="EF141" s="62"/>
    </row>
    <row r="142" spans="1:165" ht="8.1" customHeight="1" thickBot="1" x14ac:dyDescent="0.25">
      <c r="D142" s="57"/>
      <c r="E142" s="57"/>
      <c r="F142" s="57"/>
      <c r="G142" s="57"/>
      <c r="H142" s="66"/>
      <c r="I142" s="67"/>
      <c r="J142" s="66"/>
      <c r="K142" s="67"/>
      <c r="L142" s="211"/>
      <c r="M142" s="211"/>
      <c r="N142" s="212"/>
      <c r="O142" s="212"/>
      <c r="Q142" s="57"/>
      <c r="R142" s="57"/>
      <c r="S142" s="70"/>
      <c r="T142" s="70"/>
      <c r="U142" s="71"/>
      <c r="V142" s="152"/>
      <c r="W142" s="152"/>
      <c r="X142" s="152"/>
      <c r="Y142" s="152"/>
      <c r="Z142" s="70"/>
      <c r="AA142" s="152"/>
      <c r="AB142" s="152"/>
      <c r="AC142" s="152"/>
      <c r="AD142" s="152"/>
      <c r="AE142" s="152"/>
      <c r="AF142" s="70"/>
      <c r="AG142" s="70"/>
      <c r="AH142" s="70"/>
      <c r="AI142" s="70"/>
      <c r="AJ142" s="70"/>
      <c r="AK142" s="70"/>
      <c r="AL142" s="237"/>
      <c r="AM142" s="237"/>
      <c r="AN142" s="237"/>
      <c r="AO142" s="237"/>
      <c r="AP142" s="70"/>
      <c r="AQ142" s="70"/>
      <c r="AR142" s="70"/>
      <c r="AS142" s="70"/>
      <c r="AT142" s="70"/>
      <c r="AU142" s="70"/>
      <c r="AV142" s="70"/>
      <c r="AW142" s="70"/>
      <c r="AX142" s="70"/>
      <c r="AY142" s="70"/>
      <c r="AZ142" s="70"/>
      <c r="BA142" s="70"/>
      <c r="BB142" s="71"/>
      <c r="BC142" s="71"/>
      <c r="BD142" s="71"/>
      <c r="BE142" s="71"/>
      <c r="BF142" s="70"/>
      <c r="BG142" s="70"/>
      <c r="BH142" s="89"/>
      <c r="BI142" s="232"/>
      <c r="BJ142" s="71"/>
      <c r="BK142" s="70"/>
      <c r="BL142" s="70"/>
      <c r="BM142" s="70"/>
      <c r="BN142" s="70"/>
      <c r="BO142" s="70"/>
      <c r="BP142" s="70"/>
      <c r="BQ142" s="70"/>
      <c r="BR142" s="70"/>
      <c r="BV142" s="222"/>
      <c r="BW142" s="222"/>
      <c r="DF142" s="137"/>
      <c r="DG142" s="137"/>
      <c r="DV142" s="237"/>
      <c r="DW142" s="237"/>
      <c r="DX142" s="237"/>
      <c r="DY142" s="237"/>
      <c r="EC142" s="62"/>
      <c r="EF142" s="62"/>
    </row>
    <row r="143" spans="1:165" ht="3.9" customHeight="1" x14ac:dyDescent="0.2">
      <c r="D143" s="57"/>
      <c r="E143" s="57"/>
      <c r="F143" s="57"/>
      <c r="G143" s="57"/>
      <c r="H143" s="66"/>
      <c r="I143" s="67"/>
      <c r="J143" s="66"/>
      <c r="K143" s="67"/>
      <c r="L143" s="211"/>
      <c r="M143" s="211"/>
      <c r="N143" s="212"/>
      <c r="O143" s="212"/>
      <c r="S143" s="70"/>
      <c r="T143" s="95"/>
      <c r="U143" s="96"/>
      <c r="V143" s="96"/>
      <c r="W143" s="96"/>
      <c r="X143" s="96"/>
      <c r="Y143" s="96"/>
      <c r="Z143" s="96"/>
      <c r="AA143" s="96"/>
      <c r="AB143" s="96"/>
      <c r="AC143" s="96"/>
      <c r="AD143" s="96"/>
      <c r="AE143" s="96"/>
      <c r="AF143" s="96"/>
      <c r="AG143" s="96"/>
      <c r="AH143" s="96"/>
      <c r="AI143" s="96"/>
      <c r="AJ143" s="96"/>
      <c r="AK143" s="96"/>
      <c r="AL143" s="238"/>
      <c r="AM143" s="238"/>
      <c r="AN143" s="238"/>
      <c r="AO143" s="238"/>
      <c r="AP143" s="96"/>
      <c r="AQ143" s="96"/>
      <c r="AR143" s="96"/>
      <c r="AS143" s="97"/>
      <c r="AT143" s="70"/>
      <c r="AU143" s="70"/>
      <c r="AV143" s="70"/>
      <c r="AW143" s="70"/>
      <c r="AX143" s="70"/>
      <c r="AY143" s="70"/>
      <c r="AZ143" s="70"/>
      <c r="BA143" s="70"/>
      <c r="BB143" s="71"/>
      <c r="BC143" s="71"/>
      <c r="BD143" s="71"/>
      <c r="BE143" s="71"/>
      <c r="BF143" s="70"/>
      <c r="BG143" s="70"/>
      <c r="BH143" s="89"/>
      <c r="BI143" s="232"/>
      <c r="BJ143" s="71"/>
      <c r="BK143" s="70"/>
      <c r="BL143" s="70"/>
      <c r="BM143" s="70"/>
      <c r="BN143" s="70"/>
      <c r="BO143" s="70"/>
      <c r="BP143" s="70"/>
      <c r="BQ143" s="70"/>
      <c r="BR143" s="70"/>
      <c r="BV143" s="222"/>
      <c r="BW143" s="222"/>
      <c r="DF143" s="137"/>
      <c r="DG143" s="137"/>
      <c r="DV143" s="238"/>
      <c r="DW143" s="238"/>
      <c r="DX143" s="238"/>
      <c r="DY143" s="238"/>
      <c r="EC143" s="62"/>
      <c r="EF143" s="62"/>
    </row>
    <row r="144" spans="1:165" ht="15" customHeight="1" x14ac:dyDescent="0.2">
      <c r="D144" s="57"/>
      <c r="E144" s="57"/>
      <c r="F144" s="57"/>
      <c r="G144" s="57"/>
      <c r="H144" s="66"/>
      <c r="I144" s="67"/>
      <c r="J144" s="66"/>
      <c r="K144" s="67"/>
      <c r="L144" s="211"/>
      <c r="M144" s="211"/>
      <c r="N144" s="212"/>
      <c r="O144" s="212"/>
      <c r="S144" s="70"/>
      <c r="T144" s="99"/>
      <c r="U144" s="100" t="s">
        <v>733</v>
      </c>
      <c r="V144" s="207"/>
      <c r="W144" s="208" t="str">
        <f xml:space="preserve"> IF($CA$11," Die angezeigten Paarungen sind evtl.  NICHT  die tatsächlich zu tippenden realen Spiele sondern ihre VORHERSAGEN.","")</f>
        <v/>
      </c>
      <c r="X144" s="209"/>
      <c r="Y144" s="209"/>
      <c r="Z144" s="209"/>
      <c r="AA144" s="209"/>
      <c r="AB144" s="209"/>
      <c r="AC144" s="209"/>
      <c r="AD144" s="209"/>
      <c r="AE144" s="209"/>
      <c r="AF144" s="102"/>
      <c r="AG144" s="102"/>
      <c r="AH144" s="102"/>
      <c r="AI144" s="102"/>
      <c r="AJ144" s="102"/>
      <c r="AK144" s="102"/>
      <c r="AL144" s="210"/>
      <c r="AM144" s="210"/>
      <c r="AN144" s="210"/>
      <c r="AO144" s="210"/>
      <c r="AP144" s="210"/>
      <c r="AQ144" s="210"/>
      <c r="AR144" s="210"/>
      <c r="AS144" s="108"/>
      <c r="AT144" s="70"/>
      <c r="AU144" s="70"/>
      <c r="AV144" s="70"/>
      <c r="AW144" s="70"/>
      <c r="AX144" s="70"/>
      <c r="AY144" s="70"/>
      <c r="AZ144" s="70"/>
      <c r="BA144" s="70"/>
      <c r="BB144" s="71"/>
      <c r="BC144" s="71"/>
      <c r="BD144" s="71"/>
      <c r="BE144" s="71"/>
      <c r="BF144" s="70"/>
      <c r="BG144" s="70"/>
      <c r="BH144" s="89"/>
      <c r="BI144" s="232"/>
      <c r="BJ144" s="71"/>
      <c r="BK144" s="70"/>
      <c r="BL144" s="70"/>
      <c r="BM144" s="70"/>
      <c r="BN144" s="70"/>
      <c r="BO144" s="70"/>
      <c r="BP144" s="70"/>
      <c r="BQ144" s="70"/>
      <c r="BR144" s="70"/>
      <c r="BV144" s="222"/>
      <c r="BW144" s="222"/>
      <c r="DF144" s="137"/>
      <c r="DG144" s="137"/>
      <c r="DV144" s="210"/>
      <c r="DW144" s="210"/>
      <c r="DX144" s="210"/>
      <c r="DY144" s="210"/>
      <c r="EC144" s="62"/>
      <c r="EF144" s="62"/>
      <c r="FG144" s="57"/>
      <c r="FH144" s="57"/>
      <c r="FI144" s="57"/>
    </row>
    <row r="145" spans="1:165" ht="11.25" hidden="1" customHeight="1" thickBot="1" x14ac:dyDescent="0.25">
      <c r="D145" s="57"/>
      <c r="E145" s="57"/>
      <c r="F145" s="57"/>
      <c r="G145" s="57"/>
      <c r="H145" s="66"/>
      <c r="I145" s="67"/>
      <c r="J145" s="66"/>
      <c r="K145" s="67"/>
      <c r="L145" s="211"/>
      <c r="M145" s="211"/>
      <c r="N145" s="212"/>
      <c r="O145" s="212"/>
      <c r="S145" s="70"/>
      <c r="T145" s="99"/>
      <c r="U145" s="481" t="s">
        <v>469</v>
      </c>
      <c r="V145" s="481"/>
      <c r="W145" s="482"/>
      <c r="X145" s="104">
        <f>INDEX(settings!$I$18:$P$18,DE149)</f>
        <v>30</v>
      </c>
      <c r="Y145" s="481" t="s">
        <v>470</v>
      </c>
      <c r="Z145" s="482"/>
      <c r="AA145" s="105">
        <f>DF149</f>
        <v>5</v>
      </c>
      <c r="AB145" s="104">
        <f>DG149</f>
        <v>15</v>
      </c>
      <c r="AC145" s="481" t="s">
        <v>471</v>
      </c>
      <c r="AD145" s="482"/>
      <c r="AE145" s="104">
        <f>X145-AJ145</f>
        <v>15</v>
      </c>
      <c r="AF145" s="483"/>
      <c r="AG145" s="484"/>
      <c r="AH145" s="484"/>
      <c r="AI145" s="102"/>
      <c r="AJ145" s="107">
        <f>SUM(FG149:FG155)</f>
        <v>15</v>
      </c>
      <c r="AK145" s="101"/>
      <c r="AL145" s="102"/>
      <c r="AM145" s="102"/>
      <c r="AN145" s="102"/>
      <c r="AO145" s="217"/>
      <c r="AP145" s="102"/>
      <c r="AQ145" s="102"/>
      <c r="AR145" s="101"/>
      <c r="AS145" s="108"/>
      <c r="AT145" s="70"/>
      <c r="AU145" s="70"/>
      <c r="AV145" s="70"/>
      <c r="AW145" s="70"/>
      <c r="AX145" s="70"/>
      <c r="AY145" s="70"/>
      <c r="AZ145" s="70"/>
      <c r="BA145" s="70"/>
      <c r="BB145" s="71"/>
      <c r="BC145" s="71"/>
      <c r="BD145" s="71"/>
      <c r="BE145" s="71"/>
      <c r="BF145" s="70"/>
      <c r="BG145" s="70"/>
      <c r="BH145" s="89"/>
      <c r="BI145" s="232"/>
      <c r="BJ145" s="71"/>
      <c r="BK145" s="70"/>
      <c r="BL145" s="70"/>
      <c r="BM145" s="70"/>
      <c r="BN145" s="70"/>
      <c r="BO145" s="70"/>
      <c r="BP145" s="70"/>
      <c r="BQ145" s="70"/>
      <c r="BR145" s="70"/>
      <c r="BV145" s="222"/>
      <c r="BW145" s="222"/>
      <c r="DF145" s="137"/>
      <c r="DG145" s="137"/>
      <c r="DV145" s="102"/>
      <c r="DW145" s="102"/>
      <c r="DX145" s="102"/>
      <c r="DY145" s="217"/>
      <c r="EC145" s="62"/>
      <c r="EF145" s="62"/>
      <c r="FG145" s="57"/>
      <c r="FH145" s="57"/>
      <c r="FI145" s="57"/>
    </row>
    <row r="146" spans="1:165" ht="14.1" customHeight="1" x14ac:dyDescent="0.2">
      <c r="D146" s="57"/>
      <c r="E146" s="57"/>
      <c r="F146" s="57"/>
      <c r="G146" s="57"/>
      <c r="H146" s="66"/>
      <c r="I146" s="67"/>
      <c r="J146" s="66"/>
      <c r="K146" s="67"/>
      <c r="L146" s="211"/>
      <c r="M146" s="211"/>
      <c r="N146" s="212"/>
      <c r="O146" s="212"/>
      <c r="S146" s="70"/>
      <c r="T146" s="99"/>
      <c r="U146" s="111" t="str">
        <f>IF($CS$4&lt;&gt;3,"","Für Spiele OHNE Einsatz gilt automatisch der Mindesteinsatz. ROT: Eintrag wird auf min. bzw. max. erlaubte Werte korrigiert.")</f>
        <v/>
      </c>
      <c r="V146" s="106"/>
      <c r="W146" s="106"/>
      <c r="X146" s="110"/>
      <c r="Y146" s="106"/>
      <c r="Z146" s="106"/>
      <c r="AA146" s="110"/>
      <c r="AB146" s="110"/>
      <c r="AC146" s="106"/>
      <c r="AD146" s="106"/>
      <c r="AE146" s="110"/>
      <c r="AF146" s="101"/>
      <c r="AG146" s="101"/>
      <c r="AH146" s="101"/>
      <c r="AI146" s="101"/>
      <c r="AJ146" s="101"/>
      <c r="AK146" s="101"/>
      <c r="AL146" s="102"/>
      <c r="AM146" s="102"/>
      <c r="AN146" s="102"/>
      <c r="AO146" s="217"/>
      <c r="AP146" s="102"/>
      <c r="AQ146" s="102"/>
      <c r="AR146" s="101"/>
      <c r="AS146" s="108"/>
      <c r="AT146" s="70"/>
      <c r="AU146" s="70"/>
      <c r="AV146" s="70"/>
      <c r="AW146" s="70"/>
      <c r="AX146" s="70"/>
      <c r="AY146" s="70"/>
      <c r="AZ146" s="70"/>
      <c r="BA146" s="70"/>
      <c r="BB146" s="71"/>
      <c r="BC146" s="71"/>
      <c r="BD146" s="71"/>
      <c r="BE146" s="71"/>
      <c r="BF146" s="70"/>
      <c r="BG146" s="70"/>
      <c r="BH146" s="89"/>
      <c r="BI146" s="232"/>
      <c r="BJ146" s="71"/>
      <c r="BK146" s="70"/>
      <c r="BL146" s="70"/>
      <c r="BM146" s="70"/>
      <c r="BN146" s="70"/>
      <c r="BO146" s="70"/>
      <c r="BP146" s="70"/>
      <c r="BQ146" s="70"/>
      <c r="BR146" s="70"/>
      <c r="BV146" s="222"/>
      <c r="BW146" s="222"/>
      <c r="DF146" s="137"/>
      <c r="DG146" s="137"/>
      <c r="DV146" s="102"/>
      <c r="DW146" s="102"/>
      <c r="DX146" s="102"/>
      <c r="DY146" s="217"/>
      <c r="EC146" s="62"/>
      <c r="EF146" s="62"/>
      <c r="FG146" s="57" t="s">
        <v>482</v>
      </c>
      <c r="FH146" s="57" t="s">
        <v>483</v>
      </c>
      <c r="FI146" s="57" t="s">
        <v>484</v>
      </c>
    </row>
    <row r="147" spans="1:165" x14ac:dyDescent="0.2">
      <c r="A147" t="s">
        <v>734</v>
      </c>
      <c r="D147" s="57"/>
      <c r="E147" s="57"/>
      <c r="F147" s="57" t="s">
        <v>387</v>
      </c>
      <c r="G147" s="57"/>
      <c r="H147" s="66" t="s">
        <v>702</v>
      </c>
      <c r="I147" s="67"/>
      <c r="J147" s="66" t="s">
        <v>703</v>
      </c>
      <c r="K147" s="67"/>
      <c r="L147" s="211" t="s">
        <v>704</v>
      </c>
      <c r="M147" s="211" t="s">
        <v>705</v>
      </c>
      <c r="N147" s="211" t="s">
        <v>706</v>
      </c>
      <c r="O147" s="211" t="s">
        <v>707</v>
      </c>
      <c r="S147" s="70"/>
      <c r="T147" s="99"/>
      <c r="U147" s="182" t="s">
        <v>596</v>
      </c>
      <c r="V147" s="106"/>
      <c r="W147" s="106"/>
      <c r="X147" s="422" t="s">
        <v>722</v>
      </c>
      <c r="Y147" s="422"/>
      <c r="Z147" s="422"/>
      <c r="AA147" s="422" t="str">
        <f>"Paarung " &amp; IF($CA$11," (Vorhersagen)","")</f>
        <v xml:space="preserve">Paarung </v>
      </c>
      <c r="AB147" s="485"/>
      <c r="AC147" s="485"/>
      <c r="AD147" s="485"/>
      <c r="AE147" s="485"/>
      <c r="AF147" s="422" t="s">
        <v>486</v>
      </c>
      <c r="AG147" s="422"/>
      <c r="AH147" s="422"/>
      <c r="AI147" s="102" t="str">
        <f>IF($CS$4=2,"TS","J")</f>
        <v>J</v>
      </c>
      <c r="AJ147" s="102" t="s">
        <v>487</v>
      </c>
      <c r="AK147" s="102" t="s">
        <v>488</v>
      </c>
      <c r="AL147" s="102"/>
      <c r="AM147" s="102"/>
      <c r="AN147" s="102"/>
      <c r="AO147" s="102"/>
      <c r="AP147" s="422" t="s">
        <v>467</v>
      </c>
      <c r="AQ147" s="422"/>
      <c r="AR147" s="422"/>
      <c r="AS147" s="108"/>
      <c r="AT147" s="70"/>
      <c r="AU147" s="70"/>
      <c r="AV147" s="70"/>
      <c r="AW147" s="70"/>
      <c r="AX147" s="70"/>
      <c r="AY147" s="70"/>
      <c r="AZ147" s="70"/>
      <c r="BA147" s="70"/>
      <c r="BB147" s="71"/>
      <c r="BC147" s="71"/>
      <c r="BD147" s="71"/>
      <c r="BE147" s="71"/>
      <c r="BF147" s="521" t="s">
        <v>1106</v>
      </c>
      <c r="BG147" s="521"/>
      <c r="BH147" s="521"/>
      <c r="BI147" s="521"/>
      <c r="BJ147" s="521"/>
      <c r="BK147" s="521"/>
      <c r="BL147" s="521"/>
      <c r="BM147" s="521"/>
      <c r="BN147" s="521"/>
      <c r="BO147" s="521"/>
      <c r="BP147" s="521"/>
      <c r="BQ147" s="521"/>
      <c r="BR147" s="70"/>
      <c r="BV147" s="222"/>
      <c r="BW147" s="222"/>
      <c r="BZ147" t="s">
        <v>467</v>
      </c>
      <c r="CA147" t="s">
        <v>712</v>
      </c>
      <c r="CJ147" s="216" t="s">
        <v>409</v>
      </c>
      <c r="CK147" s="216" t="s">
        <v>497</v>
      </c>
      <c r="CL147" s="216" t="s">
        <v>498</v>
      </c>
      <c r="DF147" s="137"/>
      <c r="DG147" s="137"/>
      <c r="DV147" s="102"/>
      <c r="DW147" s="102"/>
      <c r="DX147" s="102"/>
      <c r="DY147" s="102"/>
      <c r="EC147" s="62"/>
      <c r="EF147" s="62"/>
      <c r="FD147">
        <v>6</v>
      </c>
      <c r="FE147" t="s">
        <v>578</v>
      </c>
      <c r="FG147" s="57">
        <f>INDEX(settings!$I$18:$P$20,1,FD147)</f>
        <v>30</v>
      </c>
      <c r="FH147" s="57">
        <f>INDEX(settings!$I$18:$P$20,2,FD147)</f>
        <v>5</v>
      </c>
      <c r="FI147" s="57">
        <f>INDEX(settings!$I$18:$P$20,3,FD147)</f>
        <v>15</v>
      </c>
    </row>
    <row r="148" spans="1:165" ht="3.9" customHeight="1" x14ac:dyDescent="0.2">
      <c r="D148" s="57"/>
      <c r="E148" s="57"/>
      <c r="F148" s="57"/>
      <c r="G148" s="57"/>
      <c r="H148" s="66"/>
      <c r="I148" s="67"/>
      <c r="J148" s="66"/>
      <c r="K148" s="67"/>
      <c r="L148" s="211"/>
      <c r="M148" s="211"/>
      <c r="N148" s="212"/>
      <c r="O148" s="212"/>
      <c r="S148" s="70"/>
      <c r="T148" s="99"/>
      <c r="U148" s="110"/>
      <c r="V148" s="101"/>
      <c r="W148" s="101"/>
      <c r="X148" s="101"/>
      <c r="Y148" s="101"/>
      <c r="Z148" s="101"/>
      <c r="AA148" s="101"/>
      <c r="AB148" s="101"/>
      <c r="AC148" s="101"/>
      <c r="AD148" s="101"/>
      <c r="AE148" s="101"/>
      <c r="AF148" s="101"/>
      <c r="AG148" s="101"/>
      <c r="AH148" s="101"/>
      <c r="AI148" s="101"/>
      <c r="AJ148" s="101"/>
      <c r="AK148" s="101"/>
      <c r="AL148" s="217"/>
      <c r="AM148" s="217"/>
      <c r="AN148" s="217"/>
      <c r="AO148" s="217"/>
      <c r="AP148" s="101"/>
      <c r="AQ148" s="101"/>
      <c r="AR148" s="101"/>
      <c r="AS148" s="108"/>
      <c r="AT148" s="70"/>
      <c r="AU148" s="70"/>
      <c r="AV148" s="70"/>
      <c r="AW148" s="70"/>
      <c r="AX148" s="70"/>
      <c r="AY148" s="70"/>
      <c r="AZ148" s="70"/>
      <c r="BA148" s="70"/>
      <c r="BB148" s="71"/>
      <c r="BC148" s="71"/>
      <c r="BD148" s="71"/>
      <c r="BE148" s="71"/>
      <c r="BF148" s="70"/>
      <c r="BG148" s="70"/>
      <c r="BH148" s="89"/>
      <c r="BI148" s="232"/>
      <c r="BJ148" s="71"/>
      <c r="BK148" s="70"/>
      <c r="BL148" s="70"/>
      <c r="BM148" s="70"/>
      <c r="BN148" s="70"/>
      <c r="BO148" s="70"/>
      <c r="BP148" s="70"/>
      <c r="BQ148" s="70"/>
      <c r="BR148" s="70"/>
      <c r="BV148" s="222"/>
      <c r="BW148" s="222"/>
      <c r="DF148" s="137"/>
      <c r="DG148" s="137"/>
      <c r="DV148" s="217"/>
      <c r="DW148" s="217"/>
      <c r="DX148" s="217"/>
      <c r="DY148" s="217"/>
      <c r="EC148" s="62"/>
      <c r="EF148" s="62"/>
      <c r="FB148" t="s">
        <v>580</v>
      </c>
    </row>
    <row r="149" spans="1:165" ht="10.199999999999999" customHeight="1" x14ac:dyDescent="0.2">
      <c r="A149" s="240">
        <v>1</v>
      </c>
      <c r="B149" s="240">
        <v>2</v>
      </c>
      <c r="C149">
        <v>49</v>
      </c>
      <c r="D149" s="57"/>
      <c r="E149" s="153" t="s">
        <v>429</v>
      </c>
      <c r="F149" s="57">
        <f>INDEX(tabber!$L$407:$L$422,C149-36)</f>
        <v>-1</v>
      </c>
      <c r="G149" s="57">
        <f>INDEX(tabber!$M$407:$M$422,C149-36)</f>
        <v>-1</v>
      </c>
      <c r="H149" s="66">
        <f ca="1">INDEX($L$130:$L$139,(A149-1)*3+1)</f>
        <v>0</v>
      </c>
      <c r="I149" s="67">
        <f ca="1">INDEX($L$130:$L$139,(B149-1)*3+1)</f>
        <v>0</v>
      </c>
      <c r="J149" s="66">
        <f>INDEX($M$129:$M$139,(A149-1)*3+1)</f>
        <v>0</v>
      </c>
      <c r="K149" s="67">
        <f>INDEX($M$129:$M$139,(B149-1)*3+1)</f>
        <v>0</v>
      </c>
      <c r="L149" s="211">
        <f ca="1">IF(EJ149&lt;=0,0,INDEX(H149:I149,EJ149))</f>
        <v>0</v>
      </c>
      <c r="M149" s="211">
        <f ca="1">IF(EJ149&lt;=0,0,INDEX(F149:G149,EJ149))</f>
        <v>0</v>
      </c>
      <c r="N149" s="212">
        <f ca="1">IF(L149=0,0,IF(L149=H149,I149,IF(L149=I149,H149,0)))</f>
        <v>0</v>
      </c>
      <c r="O149" s="212">
        <f ca="1">IF(M149=0,0,IF(M149=F149,G149,IF(M149=G149,F149,0)))</f>
        <v>0</v>
      </c>
      <c r="Q149" s="57">
        <v>1</v>
      </c>
      <c r="R149" s="57">
        <v>13</v>
      </c>
      <c r="S149" s="70"/>
      <c r="T149" s="516" t="str">
        <f>IF(CZ149,zeichen_gesperrt,"")</f>
        <v/>
      </c>
      <c r="U149" s="472" t="s">
        <v>429</v>
      </c>
      <c r="V149" s="357" t="s">
        <v>563</v>
      </c>
      <c r="W149" s="358">
        <v>0.875</v>
      </c>
      <c r="X149" s="510" t="str">
        <f ca="1">"Real: "&amp;VLOOKUP(BT149,$A$6:$F$20,3,FALSE)&amp;"  :  "&amp;VLOOKUP(BT149,$A$6:$F$20,4,FALSE)&amp;CHAR(10)&amp;"Tipp: "&amp;VLOOKUP(BT149,$A$6:$F$20,5,FALSE)&amp;"  :  "&amp;VLOOKUP(BT149,$A$6:$F$20,6,FALSE)</f>
        <v xml:space="preserve">Real:  -   :   - 
Tipp:  -   :   - </v>
      </c>
      <c r="Y149" s="511"/>
      <c r="Z149" s="512"/>
      <c r="AA149" s="492" t="str">
        <f>"SIEGER VF "&amp;A149</f>
        <v>SIEGER VF 1</v>
      </c>
      <c r="AB149" s="480"/>
      <c r="AC149" s="241" t="s">
        <v>583</v>
      </c>
      <c r="AD149" s="479" t="str">
        <f>"SIEGER VF "&amp;B149</f>
        <v>SIEGER VF 2</v>
      </c>
      <c r="AE149" s="480"/>
      <c r="AF149" s="466"/>
      <c r="AG149" s="468" t="s">
        <v>583</v>
      </c>
      <c r="AH149" s="470"/>
      <c r="AI149" s="462"/>
      <c r="AJ149" s="462"/>
      <c r="AK149" s="464" t="s">
        <v>411</v>
      </c>
      <c r="AL149" s="223"/>
      <c r="AM149" s="628"/>
      <c r="AN149" s="628"/>
      <c r="AO149" s="629"/>
      <c r="AP149" s="418"/>
      <c r="AQ149" s="418"/>
      <c r="AR149" s="419"/>
      <c r="AS149" s="108"/>
      <c r="AT149" s="70"/>
      <c r="AU149" s="220" t="str">
        <f ca="1">IF(EH149=0,"",INDEX($DL$21:$DL$24,EH149))</f>
        <v/>
      </c>
      <c r="AV149" s="70"/>
      <c r="AW149" s="70"/>
      <c r="AX149" s="70"/>
      <c r="AY149" s="70"/>
      <c r="AZ149" s="70"/>
      <c r="BA149" s="70"/>
      <c r="BB149" s="221"/>
      <c r="BC149" s="221"/>
      <c r="BD149" s="221"/>
      <c r="BE149" s="221"/>
      <c r="BF149" s="437"/>
      <c r="BG149" s="439" t="s">
        <v>583</v>
      </c>
      <c r="BH149" s="432"/>
      <c r="BI149" s="517"/>
      <c r="BJ149" s="518"/>
      <c r="BK149" s="518"/>
      <c r="BL149" s="518"/>
      <c r="BM149" s="518"/>
      <c r="BN149" s="518"/>
      <c r="BO149" s="518"/>
      <c r="BP149" s="518"/>
      <c r="BQ149" s="518"/>
      <c r="BR149" s="70"/>
      <c r="BT149" t="s">
        <v>429</v>
      </c>
      <c r="BU149">
        <f>IF(COUNT(BF149,BH149)&lt;&gt;2,-1,IF(BF149&gt;BH149,1,IF(BF149&lt;BH149,2,0)))</f>
        <v>-1</v>
      </c>
      <c r="BV149" s="222">
        <f>IF(LEN(AA150)=0,0,IF(ISERROR(MATCH(AA150,teamsmitk,0)),0,MATCH(AA150,teamsmitk,0)))</f>
        <v>0</v>
      </c>
      <c r="BW149" s="222">
        <f>IF(LEN(AD150)=0,0,IF(ISERROR(MATCH(AD150,teamsmitk,0)),0,MATCH(AD150,teamsmitk,0)))</f>
        <v>0</v>
      </c>
      <c r="CC149">
        <v>49</v>
      </c>
      <c r="CD149" t="b">
        <v>0</v>
      </c>
      <c r="CE149" s="216" t="str">
        <f>IF(CD149,IF(COUNT(CM149:CN149)=2,ABS(CM149),""),IF(COUNT(AF149,AH149)=2,ABS(AF149),""))</f>
        <v/>
      </c>
      <c r="CF149" s="216" t="str">
        <f>IF(CD149,IF(COUNT(CM149:CN149)=2,ABS(CN149),""),IF(COUNT(AF149,AH149)=2,ABS(AH149),""))</f>
        <v/>
      </c>
      <c r="CG149" s="138">
        <f>IF(SUM($CV$149:$CV$156)&gt;0,CO149,IF($CS$4&lt;&gt;1,CO149,IF(AND(LEN(AI149)&gt;0,NOT(DC149),$CS$4=1),1,0)))</f>
        <v>0</v>
      </c>
      <c r="CH149" s="138">
        <f>IF(OR(CD149,$CS$4&lt;&gt;3),CP149,ABS(VALUE(FG149)))</f>
        <v>0</v>
      </c>
      <c r="CI149" s="138">
        <f>IF(OR(CD149,CY149,NOT(CX149)),CQ149,IF(LEN(AK149)=0,0,IF(AK149=$CV$4,1,IF(AK149=$CV$5,2,0))))</f>
        <v>0</v>
      </c>
      <c r="CJ149" s="138">
        <f>IF(OR(CD149,$CS$6=0),CR149,IF(AND($CS$6&gt;1,CK149&gt;0),1,IF($CS$6=2,CR149,IF(EF149="EW",1,0))))</f>
        <v>0</v>
      </c>
      <c r="CK149" s="138">
        <f>IF(OR(CD149,$CS$6&lt;2),CS149,EI149)</f>
        <v>0</v>
      </c>
      <c r="CL149" s="138">
        <f ca="1">IF(OR(CD149,EK149=1),CT149,ED149)</f>
        <v>0</v>
      </c>
      <c r="CO149">
        <v>0</v>
      </c>
      <c r="CP149">
        <v>0</v>
      </c>
      <c r="CQ149">
        <v>0</v>
      </c>
      <c r="CR149">
        <v>0</v>
      </c>
      <c r="CS149">
        <v>0</v>
      </c>
      <c r="CT149">
        <v>0</v>
      </c>
      <c r="CV149">
        <f>IF(AND(CO149=1,CD149),1,0)</f>
        <v>0</v>
      </c>
      <c r="CX149" t="b">
        <f>AND($CS$5=1,COUNT(CE149:CF149)=2,CE149&lt;&gt;CF149)</f>
        <v>0</v>
      </c>
      <c r="CY149" t="b">
        <f>IF(LEN(AK149)=0,FALSE,IF(COUNT(CE149:CF149)&lt;&gt;2,TRUE,IF(AND(CX149,AK149=$CV$4,ABS(CE149-CF149)&gt;=2),FALSE,IF(AND(CX149,AK149=$CV$5,ABS(CE149-CF149)&gt;=3),FALSE,TRUE))))</f>
        <v>0</v>
      </c>
      <c r="CZ149" t="b">
        <v>0</v>
      </c>
      <c r="DA149">
        <f>IF(SUM($CV$149:$CV$155)&gt;0,CO149,IF(AND(LEN(AI149)&gt;0),1,0))</f>
        <v>0</v>
      </c>
      <c r="DB149">
        <f>SUM($DA$147:$DA149)</f>
        <v>0</v>
      </c>
      <c r="DC149" t="b">
        <f>OR(AND(DA149=1,OR(DB149&gt;1,$CS$4=3)))</f>
        <v>0</v>
      </c>
      <c r="DE149">
        <v>6</v>
      </c>
      <c r="DF149" s="137">
        <v>5</v>
      </c>
      <c r="DG149" s="137">
        <v>15</v>
      </c>
      <c r="DH149">
        <f>IF(NOT(ISNUMBER(AJ149)),DF149,IF(LEN(AJ149)=0,DF149,IF(AJ149&gt;DG149,DG149,IF(AJ149&lt;DF149,DF149,AJ149))))</f>
        <v>5</v>
      </c>
      <c r="DV149" s="223"/>
      <c r="DW149" s="224"/>
      <c r="DX149" s="224"/>
      <c r="DY149" s="225"/>
      <c r="EA149" t="b">
        <f ca="1">AU150="Ungültiger Sieger"</f>
        <v>0</v>
      </c>
      <c r="EB149" t="b">
        <f ca="1">AND($CS$6&gt;0,EF149&lt;&gt;0,EH149&gt;0)</f>
        <v>0</v>
      </c>
      <c r="EC149" s="62">
        <f>AP149</f>
        <v>0</v>
      </c>
      <c r="ED149" s="56">
        <f ca="1">IF(CC149&lt;37,0,IF(LEN(EC149)=0,0,IF(ISERROR(MATCH(EC149,OFFSET($CR$15:$CR$16,0,CC149-36),0)),0,MATCH(EC149,OFFSET($CR$15:$CR$16,0,CC149-36),0))))</f>
        <v>0</v>
      </c>
      <c r="EE149" s="57">
        <f>IF(COUNT(CE149:CF149)&lt;&gt;2,-1,IF(CE149&gt;CF149,1,IF(CE149&lt;CF149,2,0)))</f>
        <v>-1</v>
      </c>
      <c r="EF149" s="62">
        <f>AM149</f>
        <v>0</v>
      </c>
      <c r="EG149">
        <f ca="1">IF(CC149&lt;37,0,IF(LEN(EF149)=0,0,IF(ISERROR(MATCH(EF149,OFFSET($CR$15:$CR$16,0,CC149-37),0)),0,MATCH(EF149,OFFSET($CR$15:$CR$16,0,CC149-37),0))))</f>
        <v>0</v>
      </c>
      <c r="EH149">
        <f ca="1">IF(AND(EE149&lt;&gt;-1,settings!$C$29,EG149=0),4,IF(OR(CC149&lt;37,NOT($EH$31),$CS$6&lt;2,AND(EF149&lt;&gt;"EW",EG149=0)),0,IF(EE149=-1,1,IF(AND(EE149=0,$EH$28&lt;&gt;0),2,IF(AND(EE149&gt;0,$EH$28=0),2,IF(AND(EE149&gt;0,EG149&lt;&gt;EE149),3,0))))))</f>
        <v>0</v>
      </c>
      <c r="EI149">
        <f ca="1">IF(EH149=0,EG149,CS149)</f>
        <v>0</v>
      </c>
      <c r="EJ149">
        <f ca="1">IF(EE149&gt;0,EE149,IF(AND(EI149&gt;0,settings!$C$29=0),EI149,IF(ED149&gt;0,ED149,IF(EI149&gt;0,EI149,EE149))))</f>
        <v>-1</v>
      </c>
      <c r="EK149">
        <f ca="1">IF(AND(ED149&gt;0,ED149&lt;&gt;EJ149),1,0)</f>
        <v>0</v>
      </c>
      <c r="EL149" t="b">
        <f ca="1">AND(EE149&gt;-1,$EL$37,EJ149&lt;=0)</f>
        <v>0</v>
      </c>
      <c r="EM149" s="57">
        <f>IF(EXACT(CE149,CM149),0,1)</f>
        <v>0</v>
      </c>
      <c r="EN149" s="57">
        <f>IF(EXACT(CF149,CN149),0,1)</f>
        <v>0</v>
      </c>
      <c r="EO149" s="57">
        <f>IF($CS$400,0,IF(EXACT(CG149,CO149),0,1))</f>
        <v>0</v>
      </c>
      <c r="EP149" s="57">
        <f>IF($CS$4&lt;&gt;3,0,IF(AND(CH149=INDEX(settings!$I$19:$P$19,1),LEN(CP149)=0),0,IF(EXACT(CH149,CP149),0,1)))</f>
        <v>0</v>
      </c>
      <c r="EQ149" s="57">
        <f>IF(settings!$C$1100,0,IF(CI149=CQ149,0,1))</f>
        <v>0</v>
      </c>
      <c r="ER149" s="57">
        <f>IF($CS$6=0,0,IF(CJ149=CR149,0,1))</f>
        <v>0</v>
      </c>
      <c r="ES149" s="57">
        <f>IF($CS$6&lt;2,0,IF(CK149=CS149,0,1))</f>
        <v>0</v>
      </c>
      <c r="ET149" s="57">
        <f>IF(DR150&lt;37,0,IF(CL149=CT149,0,1))</f>
        <v>0</v>
      </c>
      <c r="EU149" s="57">
        <f>IF(CD149,0,SUM(EM149:ET149))</f>
        <v>0</v>
      </c>
      <c r="FB149">
        <f>IF(DH149&lt;FH147,FH147,DH149)</f>
        <v>5</v>
      </c>
      <c r="FC149">
        <v>1</v>
      </c>
      <c r="FD149">
        <f>FH147</f>
        <v>5</v>
      </c>
      <c r="FE149">
        <f>IF(CD149,CP149,IF(FB149&gt;FI147,FI147,FB149))</f>
        <v>5</v>
      </c>
      <c r="FG149">
        <f>FE149</f>
        <v>5</v>
      </c>
      <c r="FH149">
        <f>FG147-SUM(FG148:FG149)-SUM(FD150:FD157)+FH147</f>
        <v>20</v>
      </c>
      <c r="FI149" t="b">
        <f>FG149&lt;&gt;AJ149</f>
        <v>1</v>
      </c>
    </row>
    <row r="150" spans="1:165" ht="12" customHeight="1" x14ac:dyDescent="0.2">
      <c r="A150" s="249"/>
      <c r="B150" s="249"/>
      <c r="D150" s="57"/>
      <c r="E150" s="153"/>
      <c r="F150" s="57"/>
      <c r="G150" s="57"/>
      <c r="H150" s="66"/>
      <c r="I150" s="67"/>
      <c r="J150" s="66"/>
      <c r="K150" s="67"/>
      <c r="L150" s="211"/>
      <c r="M150" s="211"/>
      <c r="N150" s="212"/>
      <c r="O150" s="212"/>
      <c r="Q150" s="57"/>
      <c r="R150" s="57"/>
      <c r="S150" s="70"/>
      <c r="T150" s="516" t="str">
        <f>IF(CZ150,zeichen_gesperrt,"")</f>
        <v/>
      </c>
      <c r="U150" s="473"/>
      <c r="V150" s="474" t="s">
        <v>636</v>
      </c>
      <c r="W150" s="474"/>
      <c r="X150" s="513"/>
      <c r="Y150" s="514"/>
      <c r="Z150" s="515"/>
      <c r="AA150" s="475"/>
      <c r="AB150" s="476"/>
      <c r="AC150" s="226" t="s">
        <v>583</v>
      </c>
      <c r="AD150" s="477"/>
      <c r="AE150" s="478"/>
      <c r="AF150" s="467"/>
      <c r="AG150" s="469"/>
      <c r="AH150" s="471"/>
      <c r="AI150" s="463"/>
      <c r="AJ150" s="463"/>
      <c r="AK150" s="465"/>
      <c r="AL150" s="223"/>
      <c r="AM150" s="628"/>
      <c r="AN150" s="628"/>
      <c r="AO150" s="629"/>
      <c r="AP150" s="420"/>
      <c r="AQ150" s="420"/>
      <c r="AR150" s="421"/>
      <c r="AS150" s="108"/>
      <c r="AT150" s="70"/>
      <c r="AU150" s="220" t="str">
        <f ca="1">IF(AND(ED149&gt;0,EE149&gt;-1,EK149=1),"Ungültiger Sieger",IF(EL149,"Sieger fehlt!",""))</f>
        <v/>
      </c>
      <c r="AV150" s="70"/>
      <c r="AW150" s="70"/>
      <c r="AX150" s="70"/>
      <c r="AY150" s="70"/>
      <c r="AZ150" s="70"/>
      <c r="BA150" s="70"/>
      <c r="BB150" s="221"/>
      <c r="BC150" s="221"/>
      <c r="BD150" s="221"/>
      <c r="BE150" s="221"/>
      <c r="BF150" s="438"/>
      <c r="BG150" s="440"/>
      <c r="BH150" s="433"/>
      <c r="BI150" s="517"/>
      <c r="BJ150" s="518"/>
      <c r="BK150" s="518"/>
      <c r="BL150" s="518"/>
      <c r="BM150" s="518"/>
      <c r="BN150" s="518"/>
      <c r="BO150" s="518"/>
      <c r="BP150" s="518"/>
      <c r="BQ150" s="518"/>
      <c r="BR150" s="70"/>
      <c r="BV150" s="222"/>
      <c r="BW150" s="222"/>
      <c r="BX150" t="b">
        <f>VLOOKUP(BT149,$BU$175:$CA$190,6,FALSE)&lt;&gt;BV149</f>
        <v>0</v>
      </c>
      <c r="BY150" t="b">
        <f>VLOOKUP(BT149,$BU$175:$CA$190,7,FALSE)&lt;&gt;BW149</f>
        <v>0</v>
      </c>
      <c r="BZ150" s="227" t="str">
        <f ca="1">IF(EJ149&lt;=0," ",IF(EJ149=1,AA150,AD150))</f>
        <v xml:space="preserve"> </v>
      </c>
      <c r="CA150" s="227" t="str">
        <f ca="1">IF(EJ149&lt;=0," ",IF(EJ149=1,AD150,AA150))</f>
        <v xml:space="preserve"> </v>
      </c>
      <c r="DF150" s="137"/>
      <c r="DG150" s="137"/>
      <c r="DV150" s="223"/>
      <c r="DW150" s="224"/>
      <c r="DX150" s="224"/>
      <c r="DY150" s="225"/>
      <c r="EC150" s="62"/>
      <c r="EF150" s="62"/>
    </row>
    <row r="151" spans="1:165" ht="3.9" customHeight="1" x14ac:dyDescent="0.2">
      <c r="A151" s="249"/>
      <c r="B151" s="249"/>
      <c r="D151" s="57"/>
      <c r="E151" s="153"/>
      <c r="F151" s="57"/>
      <c r="G151" s="57"/>
      <c r="H151" s="66"/>
      <c r="I151" s="67"/>
      <c r="J151" s="66"/>
      <c r="K151" s="67"/>
      <c r="L151" s="211"/>
      <c r="M151" s="211"/>
      <c r="N151" s="212"/>
      <c r="O151" s="212"/>
      <c r="Q151" s="57"/>
      <c r="R151" s="57"/>
      <c r="S151" s="70"/>
      <c r="T151" s="228"/>
      <c r="U151" s="359"/>
      <c r="V151" s="360"/>
      <c r="W151" s="360"/>
      <c r="X151" s="360"/>
      <c r="Y151" s="360"/>
      <c r="Z151" s="359"/>
      <c r="AA151" s="229"/>
      <c r="AB151" s="229"/>
      <c r="AC151" s="229"/>
      <c r="AD151" s="229"/>
      <c r="AE151" s="229"/>
      <c r="AF151" s="242"/>
      <c r="AG151" s="111"/>
      <c r="AH151" s="242"/>
      <c r="AI151" s="243"/>
      <c r="AJ151" s="243"/>
      <c r="AK151" s="224"/>
      <c r="AL151" s="231"/>
      <c r="AM151" s="231"/>
      <c r="AN151" s="231"/>
      <c r="AO151" s="217"/>
      <c r="AP151" s="231"/>
      <c r="AQ151" s="231"/>
      <c r="AR151" s="101"/>
      <c r="AS151" s="108"/>
      <c r="AT151" s="70"/>
      <c r="AU151" s="70"/>
      <c r="AV151" s="70"/>
      <c r="AW151" s="70"/>
      <c r="AX151" s="70"/>
      <c r="AY151" s="70"/>
      <c r="AZ151" s="70"/>
      <c r="BA151" s="70"/>
      <c r="BB151" s="71"/>
      <c r="BC151" s="71"/>
      <c r="BD151" s="71"/>
      <c r="BE151" s="71"/>
      <c r="BF151" s="70"/>
      <c r="BG151" s="70"/>
      <c r="BH151" s="89"/>
      <c r="BI151" s="232"/>
      <c r="BJ151" s="71"/>
      <c r="BK151" s="70"/>
      <c r="BL151" s="70"/>
      <c r="BM151" s="70"/>
      <c r="BN151" s="70"/>
      <c r="BO151" s="70"/>
      <c r="BP151" s="70"/>
      <c r="BQ151" s="70"/>
      <c r="BR151" s="70"/>
      <c r="BV151" s="222"/>
      <c r="BW151" s="222"/>
      <c r="DF151" s="137"/>
      <c r="DG151" s="137"/>
      <c r="DV151" s="231"/>
      <c r="DW151" s="231"/>
      <c r="DX151" s="231"/>
      <c r="DY151" s="217"/>
      <c r="EC151" s="62"/>
      <c r="EF151" s="62"/>
    </row>
    <row r="152" spans="1:165" ht="10.199999999999999" customHeight="1" x14ac:dyDescent="0.2">
      <c r="A152" s="240">
        <v>4</v>
      </c>
      <c r="B152" s="240">
        <v>3</v>
      </c>
      <c r="C152">
        <v>50</v>
      </c>
      <c r="D152" s="57"/>
      <c r="E152" s="153" t="s">
        <v>432</v>
      </c>
      <c r="F152" s="57">
        <f>INDEX(tabber!$L$407:$L$422,C152-36)</f>
        <v>-1</v>
      </c>
      <c r="G152" s="57">
        <f>INDEX(tabber!$M$407:$M$422,C152-36)</f>
        <v>-1</v>
      </c>
      <c r="H152" s="66">
        <f ca="1">INDEX($L$130:$L$139,(A152-1)*3+1)</f>
        <v>0</v>
      </c>
      <c r="I152" s="67">
        <f ca="1">INDEX($L$130:$L$139,(B152-1)*3+1)</f>
        <v>0</v>
      </c>
      <c r="J152" s="66">
        <f>INDEX($M$129:$M$139,(A152-1)*3+1)</f>
        <v>0</v>
      </c>
      <c r="K152" s="67">
        <f>INDEX($M$129:$M$139,(B152-1)*3+1)</f>
        <v>0</v>
      </c>
      <c r="L152" s="211">
        <f ca="1">IF(EJ152&lt;=0,0,INDEX(H152:I152,EJ152))</f>
        <v>0</v>
      </c>
      <c r="M152" s="211">
        <f ca="1">IF(EJ152&lt;=0,0,INDEX(F152:G152,EJ152))</f>
        <v>0</v>
      </c>
      <c r="N152" s="212">
        <f ca="1">IF(L152=0,0,IF(L152=H152,I152,IF(L152=I152,H152,0)))</f>
        <v>0</v>
      </c>
      <c r="O152" s="212">
        <f ca="1">IF(M152=0,0,IF(M152=F152,G152,IF(M152=G152,F152,0)))</f>
        <v>0</v>
      </c>
      <c r="Q152" s="57">
        <v>2</v>
      </c>
      <c r="R152" s="57">
        <v>14</v>
      </c>
      <c r="S152" s="70"/>
      <c r="T152" s="516" t="str">
        <f>IF(CZ152,zeichen_gesperrt,"")</f>
        <v/>
      </c>
      <c r="U152" s="472" t="s">
        <v>432</v>
      </c>
      <c r="V152" s="357" t="s">
        <v>564</v>
      </c>
      <c r="W152" s="358">
        <v>0.875</v>
      </c>
      <c r="X152" s="510" t="str">
        <f ca="1">"Real: "&amp;VLOOKUP(BT152,$A$6:$F$20,3,FALSE)&amp;"  :  "&amp;VLOOKUP(BT152,$A$6:$F$20,4,FALSE)&amp;CHAR(10)&amp;"Tipp: "&amp;VLOOKUP(BT152,$A$6:$F$20,5,FALSE)&amp;"  :  "&amp;VLOOKUP(BT152,$A$6:$F$20,6,FALSE)</f>
        <v xml:space="preserve">Real:  -   :   - 
Tipp:  -   :   - </v>
      </c>
      <c r="Y152" s="511"/>
      <c r="Z152" s="512"/>
      <c r="AA152" s="492" t="str">
        <f>"SIEGER VF "&amp;A152</f>
        <v>SIEGER VF 4</v>
      </c>
      <c r="AB152" s="480"/>
      <c r="AC152" s="241" t="s">
        <v>583</v>
      </c>
      <c r="AD152" s="479" t="str">
        <f>"SIEGER VF "&amp;B152</f>
        <v>SIEGER VF 3</v>
      </c>
      <c r="AE152" s="480"/>
      <c r="AF152" s="466"/>
      <c r="AG152" s="468" t="s">
        <v>583</v>
      </c>
      <c r="AH152" s="470"/>
      <c r="AI152" s="462"/>
      <c r="AJ152" s="462"/>
      <c r="AK152" s="464" t="s">
        <v>411</v>
      </c>
      <c r="AL152" s="223"/>
      <c r="AM152" s="628"/>
      <c r="AN152" s="628"/>
      <c r="AO152" s="629"/>
      <c r="AP152" s="418"/>
      <c r="AQ152" s="418"/>
      <c r="AR152" s="419"/>
      <c r="AS152" s="108"/>
      <c r="AT152" s="70"/>
      <c r="AU152" s="220" t="str">
        <f ca="1">IF(EH152=0,"",INDEX($DL$21:$DL$24,EH152))</f>
        <v/>
      </c>
      <c r="AV152" s="70"/>
      <c r="AW152" s="70"/>
      <c r="AX152" s="70"/>
      <c r="AY152" s="70"/>
      <c r="AZ152" s="70"/>
      <c r="BA152" s="70"/>
      <c r="BB152" s="221"/>
      <c r="BC152" s="221"/>
      <c r="BD152" s="221"/>
      <c r="BE152" s="221"/>
      <c r="BF152" s="437"/>
      <c r="BG152" s="439" t="s">
        <v>583</v>
      </c>
      <c r="BH152" s="432"/>
      <c r="BI152" s="517"/>
      <c r="BJ152" s="518"/>
      <c r="BK152" s="518"/>
      <c r="BL152" s="518"/>
      <c r="BM152" s="518"/>
      <c r="BN152" s="518"/>
      <c r="BO152" s="518"/>
      <c r="BP152" s="518"/>
      <c r="BQ152" s="518"/>
      <c r="BR152" s="70"/>
      <c r="BT152" t="s">
        <v>432</v>
      </c>
      <c r="BU152">
        <f>IF(COUNT(BF152,BH152)&lt;&gt;2,-1,IF(BF152&gt;BH152,1,IF(BF152&lt;BH152,2,0)))</f>
        <v>-1</v>
      </c>
      <c r="BV152" s="222">
        <f>IF(LEN(AA153)=0,0,IF(ISERROR(MATCH(AA153,teamsmitk,0)),0,MATCH(AA153,teamsmitk,0)))</f>
        <v>0</v>
      </c>
      <c r="BW152" s="222">
        <f>IF(LEN(AD153)=0,0,IF(ISERROR(MATCH(AD153,teamsmitk,0)),0,MATCH(AD153,teamsmitk,0)))</f>
        <v>0</v>
      </c>
      <c r="CC152">
        <v>50</v>
      </c>
      <c r="CD152" t="b">
        <v>0</v>
      </c>
      <c r="CE152" s="216" t="str">
        <f>IF(CD152,IF(COUNT(CM152:CN152)=2,ABS(CM152),""),IF(COUNT(AF152,AH152)=2,ABS(AF152),""))</f>
        <v/>
      </c>
      <c r="CF152" s="216" t="str">
        <f>IF(CD152,IF(COUNT(CM152:CN152)=2,ABS(CN152),""),IF(COUNT(AF152,AH152)=2,ABS(AH152),""))</f>
        <v/>
      </c>
      <c r="CG152" s="138">
        <f>IF(SUM($CV$149:$CV$156)&gt;0,CO152,IF($CS$4&lt;&gt;1,CO152,IF(AND(LEN(AI152)&gt;0,NOT(DC152),$CS$4=1),1,0)))</f>
        <v>0</v>
      </c>
      <c r="CH152" s="138">
        <f>IF(OR(CD152,$CS$4&lt;&gt;3),CP152,ABS(VALUE(FG152)))</f>
        <v>0</v>
      </c>
      <c r="CI152" s="138">
        <f>IF(OR(CD152,CY152,NOT(CX152)),CQ152,IF(LEN(AK152)=0,0,IF(AK152=$CV$4,1,IF(AK152=$CV$5,2,0))))</f>
        <v>0</v>
      </c>
      <c r="CJ152" s="138">
        <f>IF(OR(CD152,$CS$6=0),CR152,IF(AND($CS$6&gt;1,CK152&gt;0),1,IF($CS$6=2,CR152,IF(EF152="EW",1,0))))</f>
        <v>0</v>
      </c>
      <c r="CK152" s="138">
        <f>IF(OR(CD152,$CS$6&lt;2),CS152,EI152)</f>
        <v>0</v>
      </c>
      <c r="CL152" s="138">
        <f ca="1">IF(OR(CD152,EK152=1),CT152,ED152)</f>
        <v>0</v>
      </c>
      <c r="CO152">
        <v>0</v>
      </c>
      <c r="CP152">
        <v>0</v>
      </c>
      <c r="CQ152">
        <v>0</v>
      </c>
      <c r="CR152">
        <v>0</v>
      </c>
      <c r="CS152">
        <v>0</v>
      </c>
      <c r="CT152">
        <v>0</v>
      </c>
      <c r="CV152">
        <f>IF(AND(CO152=1,CD152),1,0)</f>
        <v>0</v>
      </c>
      <c r="CX152" t="b">
        <f>AND($CS$5=1,COUNT(CE152:CF152)=2,CE152&lt;&gt;CF152)</f>
        <v>0</v>
      </c>
      <c r="CY152" t="b">
        <f>IF(LEN(AK152)=0,FALSE,IF(COUNT(CE152:CF152)&lt;&gt;2,TRUE,IF(AND(CX152,AK152=$CV$4,ABS(CE152-CF152)&gt;=2),FALSE,IF(AND(CX152,AK152=$CV$5,ABS(CE152-CF152)&gt;=3),FALSE,TRUE))))</f>
        <v>0</v>
      </c>
      <c r="CZ152" t="b">
        <v>0</v>
      </c>
      <c r="DA152">
        <f>IF(SUM($CV$149:$CV$155)&gt;0,CO152,IF(AND(LEN(AI152)&gt;0),1,0))</f>
        <v>0</v>
      </c>
      <c r="DB152">
        <f>SUM($DA$147:$DA152)</f>
        <v>0</v>
      </c>
      <c r="DC152" t="b">
        <f>OR(AND(DA152=1,OR(DB152&gt;1,$CS$4=3)))</f>
        <v>0</v>
      </c>
      <c r="DE152">
        <v>6</v>
      </c>
      <c r="DF152" s="137">
        <v>5</v>
      </c>
      <c r="DG152" s="137">
        <v>15</v>
      </c>
      <c r="DH152">
        <f>IF(NOT(ISNUMBER(AJ152)),DF152,IF(LEN(AJ152)=0,DF152,IF(AJ152&gt;DG152,DG152,IF(AJ152&lt;DF152,DF152,AJ152))))</f>
        <v>5</v>
      </c>
      <c r="DV152" s="223"/>
      <c r="DW152" s="224"/>
      <c r="DX152" s="224"/>
      <c r="DY152" s="225"/>
      <c r="EA152" t="b">
        <f ca="1">AU153="Ungültiger Sieger"</f>
        <v>0</v>
      </c>
      <c r="EB152" t="b">
        <f ca="1">AND($CS$6&gt;0,EF152&lt;&gt;0,EH152&gt;0)</f>
        <v>0</v>
      </c>
      <c r="EC152" s="62">
        <f>AP152</f>
        <v>0</v>
      </c>
      <c r="ED152" s="56">
        <f ca="1">IF(CC152&lt;37,0,IF(LEN(EC152)=0,0,IF(ISERROR(MATCH(EC152,OFFSET($CR$15:$CR$16,0,CC152-36),0)),0,MATCH(EC152,OFFSET($CR$15:$CR$16,0,CC152-36),0))))</f>
        <v>0</v>
      </c>
      <c r="EE152" s="57">
        <f>IF(COUNT(CE152:CF152)&lt;&gt;2,-1,IF(CE152&gt;CF152,1,IF(CE152&lt;CF152,2,0)))</f>
        <v>-1</v>
      </c>
      <c r="EF152" s="62">
        <f>AM152</f>
        <v>0</v>
      </c>
      <c r="EG152">
        <f ca="1">IF(CC152&lt;37,0,IF(LEN(EF152)=0,0,IF(ISERROR(MATCH(EF152,OFFSET($CR$15:$CR$16,0,CC152-37),0)),0,MATCH(EF152,OFFSET($CR$15:$CR$16,0,CC152-37),0))))</f>
        <v>0</v>
      </c>
      <c r="EH152">
        <f ca="1">IF(AND(EE152&lt;&gt;-1,settings!$C$29,EG152=0),4,IF(OR(CC152&lt;37,NOT($EH$31),$CS$6&lt;2,AND(EF152&lt;&gt;"EW",EG152=0)),0,IF(EE152=-1,1,IF(AND(EE152=0,$EH$28&lt;&gt;0),2,IF(AND(EE152&gt;0,$EH$28=0),2,IF(AND(EE152&gt;0,EG152&lt;&gt;EE152),3,0))))))</f>
        <v>0</v>
      </c>
      <c r="EI152">
        <f ca="1">IF(EH152=0,EG152,CS152)</f>
        <v>0</v>
      </c>
      <c r="EJ152">
        <f ca="1">IF(EE152&gt;0,EE152,IF(AND(EI152&gt;0,settings!$C$29=0),EI152,IF(ED152&gt;0,ED152,IF(EI152&gt;0,EI152,EE152))))</f>
        <v>-1</v>
      </c>
      <c r="EK152">
        <f ca="1">IF(AND(ED152&gt;0,ED152&lt;&gt;EJ152),1,0)</f>
        <v>0</v>
      </c>
      <c r="EL152" t="b">
        <f ca="1">AND(EE152&gt;-1,$EL$37,EJ152&lt;=0)</f>
        <v>0</v>
      </c>
      <c r="EM152" s="57">
        <f>IF(EXACT(CE152,CM152),0,1)</f>
        <v>0</v>
      </c>
      <c r="EN152" s="57">
        <f>IF(EXACT(CF152,CN152),0,1)</f>
        <v>0</v>
      </c>
      <c r="EO152" s="57">
        <f>IF($CS$400,0,IF(EXACT(CG152,CO152),0,1))</f>
        <v>0</v>
      </c>
      <c r="EP152" s="57">
        <f>IF($CS$4&lt;&gt;3,0,IF(AND(CH152=INDEX(settings!$I$19:$P$19,1),LEN(CP152)=0),0,IF(EXACT(CH152,CP152),0,1)))</f>
        <v>0</v>
      </c>
      <c r="EQ152" s="57">
        <f>IF(settings!$C$1100,0,IF(CI152=CQ152,0,1))</f>
        <v>0</v>
      </c>
      <c r="ER152" s="57">
        <f>IF($CS$6=0,0,IF(CJ152=CR152,0,1))</f>
        <v>0</v>
      </c>
      <c r="ES152" s="57">
        <f>IF($CS$6&lt;2,0,IF(CK152=CS152,0,1))</f>
        <v>0</v>
      </c>
      <c r="ET152" s="57">
        <f>IF(DR153&lt;37,0,IF(CL152=CT152,0,1))</f>
        <v>0</v>
      </c>
      <c r="EU152" s="57">
        <f>IF(CD152,0,SUM(EM152:ET152))</f>
        <v>0</v>
      </c>
      <c r="FB152">
        <f>IF(DH152&lt;FH147,FH147,DH152)</f>
        <v>5</v>
      </c>
      <c r="FC152">
        <f>FC149+1</f>
        <v>2</v>
      </c>
      <c r="FD152">
        <f>FD149</f>
        <v>5</v>
      </c>
      <c r="FE152">
        <f>IF(CD152,CP152,IF(FB152&gt;FI147,FI147,FB152))</f>
        <v>5</v>
      </c>
      <c r="FG152">
        <f>IF(CD152,FE152,IF(FE152&lt;=FH149,FE152,IF(FH149&lt;0,0,FH149)))</f>
        <v>5</v>
      </c>
      <c r="FH152">
        <f>FG147-SUM(FG148:FG152)-SUM(FD153:FD157)+FH147</f>
        <v>20</v>
      </c>
      <c r="FI152" t="b">
        <f>FG152&lt;&gt;AJ152</f>
        <v>1</v>
      </c>
    </row>
    <row r="153" spans="1:165" ht="12" customHeight="1" x14ac:dyDescent="0.2">
      <c r="A153" t="s">
        <v>735</v>
      </c>
      <c r="D153" s="57"/>
      <c r="E153" s="57"/>
      <c r="F153" s="57"/>
      <c r="G153" s="57"/>
      <c r="H153" s="66"/>
      <c r="I153" s="67"/>
      <c r="J153" s="66"/>
      <c r="K153" s="67"/>
      <c r="L153" s="211"/>
      <c r="M153" s="211"/>
      <c r="N153" s="212"/>
      <c r="O153" s="212"/>
      <c r="Q153" s="57"/>
      <c r="R153" s="57"/>
      <c r="S153" s="70"/>
      <c r="T153" s="516" t="str">
        <f>IF(CZ153,zeichen_gesperrt,"")</f>
        <v/>
      </c>
      <c r="U153" s="473"/>
      <c r="V153" s="474" t="s">
        <v>551</v>
      </c>
      <c r="W153" s="474"/>
      <c r="X153" s="513"/>
      <c r="Y153" s="514"/>
      <c r="Z153" s="515"/>
      <c r="AA153" s="475"/>
      <c r="AB153" s="476"/>
      <c r="AC153" s="226" t="s">
        <v>583</v>
      </c>
      <c r="AD153" s="477"/>
      <c r="AE153" s="478"/>
      <c r="AF153" s="467"/>
      <c r="AG153" s="469"/>
      <c r="AH153" s="471"/>
      <c r="AI153" s="463"/>
      <c r="AJ153" s="463"/>
      <c r="AK153" s="465"/>
      <c r="AL153" s="223"/>
      <c r="AM153" s="628"/>
      <c r="AN153" s="628"/>
      <c r="AO153" s="629"/>
      <c r="AP153" s="420"/>
      <c r="AQ153" s="420"/>
      <c r="AR153" s="421"/>
      <c r="AS153" s="108"/>
      <c r="AT153" s="70"/>
      <c r="AU153" s="220" t="str">
        <f ca="1">IF(AND(ED152&gt;0,EE152&gt;-1,EK152=1),"Ungültiger Sieger",IF(EL152,"Sieger fehlt!",""))</f>
        <v/>
      </c>
      <c r="AV153" s="70"/>
      <c r="AW153" s="70"/>
      <c r="AX153" s="70"/>
      <c r="AY153" s="70"/>
      <c r="AZ153" s="70"/>
      <c r="BA153" s="70"/>
      <c r="BB153" s="221"/>
      <c r="BC153" s="221"/>
      <c r="BD153" s="221"/>
      <c r="BE153" s="221"/>
      <c r="BF153" s="438"/>
      <c r="BG153" s="440"/>
      <c r="BH153" s="433"/>
      <c r="BI153" s="517"/>
      <c r="BJ153" s="518"/>
      <c r="BK153" s="518"/>
      <c r="BL153" s="518"/>
      <c r="BM153" s="518"/>
      <c r="BN153" s="518"/>
      <c r="BO153" s="518"/>
      <c r="BP153" s="518"/>
      <c r="BQ153" s="518"/>
      <c r="BR153" s="70"/>
      <c r="BV153" s="222"/>
      <c r="BW153" s="222"/>
      <c r="BX153" t="b">
        <f>VLOOKUP(BT152,$BU$175:$CA$190,6,FALSE)&lt;&gt;BV152</f>
        <v>0</v>
      </c>
      <c r="BY153" t="b">
        <f>VLOOKUP(BT152,$BU$175:$CA$190,7,FALSE)&lt;&gt;BW152</f>
        <v>0</v>
      </c>
      <c r="BZ153" s="227" t="str">
        <f ca="1">IF(EJ152&lt;=0," ",IF(EJ152=1,AA153,AD153))</f>
        <v xml:space="preserve"> </v>
      </c>
      <c r="CA153" s="227" t="str">
        <f ca="1">IF(EJ152&lt;=0," ",IF(EJ152=1,AD153,AA153))</f>
        <v xml:space="preserve"> </v>
      </c>
      <c r="DF153" s="137"/>
      <c r="DG153" s="137"/>
      <c r="DV153" s="223"/>
      <c r="DW153" s="224"/>
      <c r="DX153" s="224"/>
      <c r="DY153" s="225"/>
      <c r="EC153" s="62"/>
      <c r="EF153" s="62"/>
    </row>
    <row r="154" spans="1:165" ht="3.9" customHeight="1" x14ac:dyDescent="0.2">
      <c r="F154" s="57"/>
      <c r="G154" s="57"/>
      <c r="H154" s="244"/>
      <c r="I154" s="245"/>
      <c r="J154" s="244"/>
      <c r="K154" s="245"/>
      <c r="L154" s="211"/>
      <c r="M154" s="211"/>
      <c r="N154" s="212"/>
      <c r="O154" s="212"/>
      <c r="S154" s="70"/>
      <c r="T154" s="228"/>
      <c r="U154" s="359"/>
      <c r="V154" s="360"/>
      <c r="W154" s="360"/>
      <c r="X154" s="360"/>
      <c r="Y154" s="360"/>
      <c r="Z154" s="359"/>
      <c r="AA154" s="229"/>
      <c r="AB154" s="229"/>
      <c r="AC154" s="229"/>
      <c r="AD154" s="229"/>
      <c r="AE154" s="229"/>
      <c r="AF154" s="242"/>
      <c r="AG154" s="111"/>
      <c r="AH154" s="242"/>
      <c r="AI154" s="243"/>
      <c r="AJ154" s="243"/>
      <c r="AK154" s="224"/>
      <c r="AL154" s="231"/>
      <c r="AM154" s="231"/>
      <c r="AN154" s="231"/>
      <c r="AO154" s="217"/>
      <c r="AP154" s="231"/>
      <c r="AQ154" s="231"/>
      <c r="AR154" s="101"/>
      <c r="AS154" s="108"/>
      <c r="AT154" s="70"/>
      <c r="AU154" s="70"/>
      <c r="AV154" s="70"/>
      <c r="AW154" s="70"/>
      <c r="AX154" s="70"/>
      <c r="AY154" s="70"/>
      <c r="AZ154" s="70"/>
      <c r="BA154" s="70"/>
      <c r="BB154" s="71"/>
      <c r="BC154" s="71"/>
      <c r="BD154" s="71"/>
      <c r="BE154" s="71"/>
      <c r="BF154" s="70"/>
      <c r="BG154" s="70"/>
      <c r="BH154" s="89"/>
      <c r="BI154" s="232"/>
      <c r="BJ154" s="71"/>
      <c r="BK154" s="70"/>
      <c r="BL154" s="70"/>
      <c r="BM154" s="70"/>
      <c r="BN154" s="70"/>
      <c r="BO154" s="70"/>
      <c r="BP154" s="70"/>
      <c r="BQ154" s="70"/>
      <c r="BR154" s="70"/>
      <c r="BV154" s="222"/>
      <c r="BW154" s="222"/>
      <c r="DF154" s="137"/>
      <c r="DG154" s="137"/>
      <c r="DV154" s="231"/>
      <c r="DW154" s="231"/>
      <c r="DX154" s="231"/>
      <c r="DY154" s="217"/>
      <c r="EC154" s="62"/>
      <c r="EF154" s="62"/>
    </row>
    <row r="155" spans="1:165" ht="10.199999999999999" customHeight="1" x14ac:dyDescent="0.2">
      <c r="A155" s="240">
        <v>1</v>
      </c>
      <c r="B155" s="240">
        <v>2</v>
      </c>
      <c r="C155">
        <v>51</v>
      </c>
      <c r="D155" s="57"/>
      <c r="E155" s="153" t="s">
        <v>437</v>
      </c>
      <c r="F155" s="57">
        <f>tabber!L422</f>
        <v>-1</v>
      </c>
      <c r="G155" s="57">
        <f>tabber!M422</f>
        <v>-1</v>
      </c>
      <c r="H155" s="66">
        <f ca="1">INDEX($L$149:$L$152,(A155-1)*3+1)</f>
        <v>0</v>
      </c>
      <c r="I155" s="67">
        <f ca="1">INDEX($L$149:$L$152,(B155-1)*3+1)</f>
        <v>0</v>
      </c>
      <c r="J155" s="66">
        <f ca="1">INDEX($M$149:$M$152,(A155-1)*3+1)</f>
        <v>0</v>
      </c>
      <c r="K155" s="67">
        <f ca="1">INDEX($M$149:$M$152,(B155-1)*3+1)</f>
        <v>0</v>
      </c>
      <c r="L155" s="211">
        <f ca="1">IF(EJ155&lt;=0,0,INDEX(H155:I155,EJ155))</f>
        <v>0</v>
      </c>
      <c r="M155" s="211">
        <f ca="1">IF(EJ155&lt;=0,0,INDEX(F155:G155,EJ155))</f>
        <v>0</v>
      </c>
      <c r="N155" s="212">
        <f ca="1">IF(L155=0,0,IF(L155=H155,I155,IF(L155=I155,H155,0)))</f>
        <v>0</v>
      </c>
      <c r="O155" s="212">
        <f ca="1">IF(M155=0,0,IF(M155=F155,G155,IF(M155=G155,F155,0)))</f>
        <v>0</v>
      </c>
      <c r="Q155" s="57">
        <v>3</v>
      </c>
      <c r="R155" s="57">
        <v>15</v>
      </c>
      <c r="S155" s="70"/>
      <c r="T155" s="516" t="str">
        <f>IF(CZ155,zeichen_gesperrt,"")</f>
        <v/>
      </c>
      <c r="U155" s="472" t="s">
        <v>736</v>
      </c>
      <c r="V155" s="357" t="s">
        <v>565</v>
      </c>
      <c r="W155" s="358">
        <v>0.875</v>
      </c>
      <c r="X155" s="510" t="str">
        <f ca="1">"Real: "&amp;VLOOKUP(BT155,$A$6:$F$20,3,FALSE)&amp;"  :  "&amp;VLOOKUP(BT155,$A$6:$F$20,4,FALSE)&amp;CHAR(10)&amp;"Tipp: "&amp;VLOOKUP(BT155,$A$6:$F$20,5,FALSE)&amp;"  :  "&amp;VLOOKUP(BT155,$A$6:$F$20,6,FALSE)</f>
        <v xml:space="preserve">Real:  -   :   - 
Tipp:  -   :   - </v>
      </c>
      <c r="Y155" s="511"/>
      <c r="Z155" s="512"/>
      <c r="AA155" s="492" t="s">
        <v>737</v>
      </c>
      <c r="AB155" s="480"/>
      <c r="AC155" s="241" t="s">
        <v>583</v>
      </c>
      <c r="AD155" s="479" t="s">
        <v>738</v>
      </c>
      <c r="AE155" s="480"/>
      <c r="AF155" s="466"/>
      <c r="AG155" s="468" t="s">
        <v>583</v>
      </c>
      <c r="AH155" s="470"/>
      <c r="AI155" s="462"/>
      <c r="AJ155" s="462"/>
      <c r="AK155" s="464" t="s">
        <v>411</v>
      </c>
      <c r="AL155" s="223"/>
      <c r="AM155" s="224"/>
      <c r="AN155" s="224"/>
      <c r="AO155" s="225"/>
      <c r="AP155" s="418"/>
      <c r="AQ155" s="418"/>
      <c r="AR155" s="419"/>
      <c r="AS155" s="108"/>
      <c r="AT155" s="70"/>
      <c r="AU155" s="220" t="str">
        <f ca="1">IF(EH155=0,"",INDEX($DL$21:$DL$24,EH155))</f>
        <v/>
      </c>
      <c r="AV155" s="70"/>
      <c r="AW155" s="70"/>
      <c r="AX155" s="70"/>
      <c r="AY155" s="70"/>
      <c r="AZ155" s="70"/>
      <c r="BA155" s="70"/>
      <c r="BB155" s="221"/>
      <c r="BC155" s="221"/>
      <c r="BD155" s="221"/>
      <c r="BE155" s="221"/>
      <c r="BF155" s="437"/>
      <c r="BG155" s="439" t="s">
        <v>583</v>
      </c>
      <c r="BH155" s="432"/>
      <c r="BI155" s="517"/>
      <c r="BJ155" s="518"/>
      <c r="BK155" s="518"/>
      <c r="BL155" s="518"/>
      <c r="BM155" s="518"/>
      <c r="BN155" s="518"/>
      <c r="BO155" s="518"/>
      <c r="BP155" s="518"/>
      <c r="BQ155" s="518"/>
      <c r="BR155" s="70"/>
      <c r="BT155" t="s">
        <v>437</v>
      </c>
      <c r="BU155">
        <f>IF(COUNT(BF155,BH155)&lt;&gt;2,-1,IF(BF155&gt;BH155,1,IF(BF155&lt;BH155,2,0)))</f>
        <v>-1</v>
      </c>
      <c r="BV155" s="222">
        <f>IF(LEN(AA156)=0,0,IF(ISERROR(MATCH(AA156,teamsmitk,0)),0,MATCH(AA156,teamsmitk,0)))</f>
        <v>0</v>
      </c>
      <c r="BW155" s="222">
        <f>IF(LEN(AD156)=0,0,IF(ISERROR(MATCH(AD156,teamsmitk,0)),0,MATCH(AD156,teamsmitk,0)))</f>
        <v>0</v>
      </c>
      <c r="BZ155" t="s">
        <v>739</v>
      </c>
      <c r="CA155" t="s">
        <v>740</v>
      </c>
      <c r="CC155">
        <v>51</v>
      </c>
      <c r="CD155" t="b">
        <v>0</v>
      </c>
      <c r="CE155" s="216" t="str">
        <f>IF(CD155,IF(COUNT(CM155:CN155)=2,ABS(CM155),""),IF(COUNT(AF155,AH155)=2,ABS(AF155),""))</f>
        <v/>
      </c>
      <c r="CF155" s="216" t="str">
        <f>IF(CD155,IF(COUNT(CM155:CN155)=2,ABS(CN155),""),IF(COUNT(AF155,AH155)=2,ABS(AH155),""))</f>
        <v/>
      </c>
      <c r="CG155" s="138">
        <f>IF(SUM($CV$149:$CV$156)&gt;0,CO155,IF($CS$4&lt;&gt;1,CO155,IF(AND(LEN(AI155)&gt;0,NOT(DC155),$CS$4=1),1,0)))</f>
        <v>0</v>
      </c>
      <c r="CH155" s="138">
        <f>IF(OR(CD155,$CS$4&lt;&gt;3),CP155,ABS(VALUE(FG155)))</f>
        <v>0</v>
      </c>
      <c r="CI155" s="138">
        <f>IF(OR(CD155,CY155,NOT(CX155)),CQ155,IF(LEN(AK155)=0,0,IF(AK155=$CV$4,1,IF(AK155=$CV$5,2,0))))</f>
        <v>0</v>
      </c>
      <c r="CJ155" s="138">
        <f>IF(OR(CD155,$CS$6=0),CR155,IF(AND($CS$6&gt;1,CK155&gt;0),1,IF($CS$6=2,CR155,IF(EF155="EW",1,0))))</f>
        <v>0</v>
      </c>
      <c r="CK155" s="138">
        <f>IF(OR(CD155,$CS$6&lt;2),CS155,EI155)</f>
        <v>0</v>
      </c>
      <c r="CL155" s="138">
        <f ca="1">IF(OR(CD155,EK155=1),CT155,ED155)</f>
        <v>0</v>
      </c>
      <c r="CO155">
        <v>0</v>
      </c>
      <c r="CP155">
        <v>0</v>
      </c>
      <c r="CQ155">
        <v>0</v>
      </c>
      <c r="CR155">
        <v>0</v>
      </c>
      <c r="CS155">
        <v>0</v>
      </c>
      <c r="CT155">
        <v>0</v>
      </c>
      <c r="CV155">
        <f>IF(AND(CO155=1,CD155),1,0)</f>
        <v>0</v>
      </c>
      <c r="CX155" t="b">
        <f>AND($CS$5=1,COUNT(CE155:CF155)=2,CE155&lt;&gt;CF155)</f>
        <v>0</v>
      </c>
      <c r="CY155" t="b">
        <f>IF(LEN(AK155)=0,FALSE,IF(COUNT(CE155:CF155)&lt;&gt;2,TRUE,IF(AND(CX155,AK155=$CV$4,ABS(CE155-CF155)&gt;=2),FALSE,IF(AND(CX155,AK155=$CV$5,ABS(CE155-CF155)&gt;=3),FALSE,TRUE))))</f>
        <v>0</v>
      </c>
      <c r="DA155">
        <f>IF(SUM($CV$149:$CV$155)&gt;0,CO155,IF(AND(LEN(AI155)&gt;0),1,0))</f>
        <v>0</v>
      </c>
      <c r="DB155">
        <f>SUM($DA$147:$DA155)</f>
        <v>0</v>
      </c>
      <c r="DC155" t="b">
        <f>OR(AND(DA155=1,OR(DB155&gt;1,$CS$4=3)))</f>
        <v>0</v>
      </c>
      <c r="DE155">
        <v>7</v>
      </c>
      <c r="DF155" s="137"/>
      <c r="DG155" s="137"/>
      <c r="DH155">
        <f>IF(NOT(ISNUMBER(AJ155)),DF155,IF(LEN(AJ155)=0,DF155,IF(AJ155&gt;DG155,DG155,IF(AJ155&lt;DF155,DF155,AJ155))))</f>
        <v>0</v>
      </c>
      <c r="DV155" s="223"/>
      <c r="DW155" s="224"/>
      <c r="DX155" s="224"/>
      <c r="DY155" s="225"/>
      <c r="EA155" t="b">
        <f ca="1">AU156="Ungültiger Sieger"</f>
        <v>0</v>
      </c>
      <c r="EB155" t="b">
        <f ca="1">AND($CS$6&gt;0,EF155&lt;&gt;0,EH155&gt;0)</f>
        <v>0</v>
      </c>
      <c r="EC155" s="62">
        <f>AP155</f>
        <v>0</v>
      </c>
      <c r="ED155" s="56">
        <f ca="1">IF(CC155&lt;37,0,IF(LEN(EC155)=0,0,IF(ISERROR(MATCH(EC155,OFFSET($CR$15:$CR$16,0,CC155-36),0)),0,MATCH(EC155,OFFSET($CR$15:$CR$16,0,CC155-36),0))))</f>
        <v>0</v>
      </c>
      <c r="EE155" s="57">
        <f>IF(COUNT(CE155:CF155)&lt;&gt;2,-1,IF(CE155&gt;CF155,1,IF(CE155&lt;CF155,2,0)))</f>
        <v>-1</v>
      </c>
      <c r="EF155" s="62">
        <f>AM155</f>
        <v>0</v>
      </c>
      <c r="EG155">
        <f ca="1">IF(CC155&lt;37,0,IF(LEN(EF155)=0,0,IF(ISERROR(MATCH(EF155,OFFSET($CR$15:$CR$16,0,CC155-37),0)),0,MATCH(EF155,OFFSET($CR$15:$CR$16,0,CC155-37),0))))</f>
        <v>0</v>
      </c>
      <c r="EH155">
        <f ca="1">IF(AND(EE155&lt;&gt;-1,settings!$C$29,EG155=0),4,IF(OR(CC155&lt;37,NOT($EH$31),$CS$6&lt;2,AND(EF155&lt;&gt;"EW",EG155=0)),0,IF(EE155=-1,1,IF(AND(EE155=0,$EH$28&lt;&gt;0),2,IF(AND(EE155&gt;0,$EH$28=0),2,IF(AND(EE155&gt;0,EG155&lt;&gt;EE155),3,0))))))</f>
        <v>0</v>
      </c>
      <c r="EI155">
        <f ca="1">IF(EH155=0,EG155,CS155)</f>
        <v>0</v>
      </c>
      <c r="EJ155">
        <f ca="1">IF(EE155&gt;0,EE155,IF(AND(EI155&gt;0,settings!$C$29=0),EI155,IF(ED155&gt;0,ED155,IF(EI155&gt;0,EI155,EE155))))</f>
        <v>-1</v>
      </c>
      <c r="EK155">
        <f ca="1">IF(AND(ED155&gt;0,ED155&lt;&gt;EJ155),1,0)</f>
        <v>0</v>
      </c>
      <c r="EL155" t="b">
        <f ca="1">AND(EE155&gt;-1,$EL$37,EJ155&lt;=0)</f>
        <v>0</v>
      </c>
      <c r="EM155" s="57">
        <f>IF(EXACT(CE155,CM155),0,1)</f>
        <v>0</v>
      </c>
      <c r="EN155" s="57">
        <f>IF(EXACT(CF155,CN155),0,1)</f>
        <v>0</v>
      </c>
      <c r="EO155" s="57">
        <f>IF($CS$400,0,IF(EXACT(CG155,CO155),0,1))</f>
        <v>0</v>
      </c>
      <c r="EP155" s="57">
        <f>IF($CS$4&lt;&gt;3,0,IF(AND(CH155=INDEX(settings!$I$19:$P$19,1),LEN(CP155)=0),0,IF(EXACT(CH155,CP155),0,1)))</f>
        <v>0</v>
      </c>
      <c r="EQ155" s="57">
        <f>IF(settings!$C$1100,0,IF(CI155=CQ155,0,1))</f>
        <v>0</v>
      </c>
      <c r="ER155" s="57">
        <f>IF($CS$6=0,0,IF(CJ155=CR155,0,1))</f>
        <v>0</v>
      </c>
      <c r="ES155" s="57">
        <f>IF($CS$6&lt;2,0,IF(CK155=CS155,0,1))</f>
        <v>0</v>
      </c>
      <c r="ET155" s="57">
        <f>IF(DR156&lt;37,0,IF(CL155=CT155,0,1))</f>
        <v>0</v>
      </c>
      <c r="EU155" s="57">
        <f>IF(CD155,0,SUM(EM155:ET155))</f>
        <v>0</v>
      </c>
      <c r="FB155">
        <f>IF(DH155&lt;FH147,FH147,DH155)</f>
        <v>5</v>
      </c>
      <c r="FC155">
        <f>FC152+1</f>
        <v>3</v>
      </c>
      <c r="FD155">
        <f>FD152</f>
        <v>5</v>
      </c>
      <c r="FE155">
        <f>IF(CD155,CP155,IF(FB155&gt;FI147,FI147,FB155))</f>
        <v>5</v>
      </c>
      <c r="FG155">
        <f>IF(CD155,FE155,IF(FE155&lt;=FH152,FE155,IF(FH152&lt;0,0,FH152)))</f>
        <v>5</v>
      </c>
      <c r="FH155">
        <f>FG147-SUM(FG148:FG155)-SUM(FD156:FD161)+FH147</f>
        <v>20</v>
      </c>
      <c r="FI155" t="b">
        <f>FG155&lt;&gt;AJ155</f>
        <v>1</v>
      </c>
    </row>
    <row r="156" spans="1:165" ht="12" customHeight="1" x14ac:dyDescent="0.2">
      <c r="D156" s="57"/>
      <c r="E156" s="57"/>
      <c r="F156" s="57"/>
      <c r="G156" s="57"/>
      <c r="H156" s="66"/>
      <c r="I156" s="67"/>
      <c r="J156" s="66"/>
      <c r="K156" s="67"/>
      <c r="L156" s="211"/>
      <c r="M156" s="211"/>
      <c r="N156" s="212"/>
      <c r="O156" s="212"/>
      <c r="Q156" s="57"/>
      <c r="R156" s="57"/>
      <c r="S156" s="70"/>
      <c r="T156" s="516" t="str">
        <f>IF(CZ156,zeichen_gesperrt,"")</f>
        <v/>
      </c>
      <c r="U156" s="473"/>
      <c r="V156" s="474" t="s">
        <v>550</v>
      </c>
      <c r="W156" s="474"/>
      <c r="X156" s="513"/>
      <c r="Y156" s="514"/>
      <c r="Z156" s="515"/>
      <c r="AA156" s="475"/>
      <c r="AB156" s="476"/>
      <c r="AC156" s="226" t="s">
        <v>583</v>
      </c>
      <c r="AD156" s="477"/>
      <c r="AE156" s="478"/>
      <c r="AF156" s="467"/>
      <c r="AG156" s="469"/>
      <c r="AH156" s="471"/>
      <c r="AI156" s="463"/>
      <c r="AJ156" s="463"/>
      <c r="AK156" s="465"/>
      <c r="AL156" s="223"/>
      <c r="AM156" s="224"/>
      <c r="AN156" s="224"/>
      <c r="AO156" s="225"/>
      <c r="AP156" s="420"/>
      <c r="AQ156" s="420"/>
      <c r="AR156" s="421"/>
      <c r="AS156" s="108"/>
      <c r="AT156" s="70"/>
      <c r="AU156" s="220" t="str">
        <f ca="1">IF(AND(ED155&gt;0,EE155&gt;-1,EK155=1),"Ungültiger Sieger",IF(EL155,"Sieger fehlt!",""))</f>
        <v/>
      </c>
      <c r="AV156" s="70"/>
      <c r="AW156" s="70"/>
      <c r="AX156" s="70"/>
      <c r="AY156" s="70"/>
      <c r="AZ156" s="70"/>
      <c r="BA156" s="70"/>
      <c r="BB156" s="221"/>
      <c r="BC156" s="221"/>
      <c r="BD156" s="221"/>
      <c r="BE156" s="221"/>
      <c r="BF156" s="438"/>
      <c r="BG156" s="440"/>
      <c r="BH156" s="433"/>
      <c r="BI156" s="517"/>
      <c r="BJ156" s="518"/>
      <c r="BK156" s="518"/>
      <c r="BL156" s="518"/>
      <c r="BM156" s="518"/>
      <c r="BN156" s="518"/>
      <c r="BO156" s="518"/>
      <c r="BP156" s="518"/>
      <c r="BQ156" s="518"/>
      <c r="BR156" s="70"/>
      <c r="BW156" s="222"/>
      <c r="BX156" t="b">
        <f>VLOOKUP(BT155,$BU$175:$CA$190,6,FALSE)&lt;&gt;BV155</f>
        <v>0</v>
      </c>
      <c r="BY156" t="b">
        <f>VLOOKUP(BT155,$BU$175:$CA$190,7,FALSE)&lt;&gt;BW155</f>
        <v>0</v>
      </c>
      <c r="BZ156" s="227" t="str">
        <f ca="1">IF(EJ155&lt;=0," ",IF(EJ155=1,AA156,AD156))</f>
        <v xml:space="preserve"> </v>
      </c>
      <c r="CA156" s="227" t="str">
        <f ca="1">IF(EJ155&lt;=0," ",IF(EJ155=1,AD156,AA156))</f>
        <v xml:space="preserve"> </v>
      </c>
      <c r="DV156" s="223"/>
      <c r="DW156" s="224"/>
      <c r="DX156" s="224"/>
      <c r="DY156" s="225"/>
    </row>
    <row r="157" spans="1:165" ht="3.9" customHeight="1" thickBot="1" x14ac:dyDescent="0.25">
      <c r="D157" s="57"/>
      <c r="E157" s="57"/>
      <c r="F157" s="57"/>
      <c r="G157" s="57"/>
      <c r="H157" s="66"/>
      <c r="I157" s="67"/>
      <c r="J157" s="66"/>
      <c r="K157" s="67"/>
      <c r="L157" s="211"/>
      <c r="M157" s="211"/>
      <c r="N157" s="212"/>
      <c r="O157" s="212"/>
      <c r="Q157" s="57"/>
      <c r="R157" s="57"/>
      <c r="S157" s="70"/>
      <c r="T157" s="250"/>
      <c r="U157" s="246"/>
      <c r="V157" s="251"/>
      <c r="W157" s="251"/>
      <c r="X157" s="251"/>
      <c r="Y157" s="251"/>
      <c r="Z157" s="246"/>
      <c r="AA157" s="251"/>
      <c r="AB157" s="251"/>
      <c r="AC157" s="251"/>
      <c r="AD157" s="251"/>
      <c r="AE157" s="251"/>
      <c r="AF157" s="252"/>
      <c r="AG157" s="246"/>
      <c r="AH157" s="252"/>
      <c r="AI157" s="253"/>
      <c r="AJ157" s="253"/>
      <c r="AK157" s="254"/>
      <c r="AL157" s="248"/>
      <c r="AM157" s="248"/>
      <c r="AN157" s="248"/>
      <c r="AO157" s="236"/>
      <c r="AP157" s="386"/>
      <c r="AQ157" s="386"/>
      <c r="AR157" s="387"/>
      <c r="AS157" s="235"/>
      <c r="AT157" s="70"/>
      <c r="AU157" s="70"/>
      <c r="AV157" s="70"/>
      <c r="AW157" s="70"/>
      <c r="AX157" s="70"/>
      <c r="AY157" s="70"/>
      <c r="AZ157" s="70"/>
      <c r="BA157" s="70"/>
      <c r="BB157" s="71"/>
      <c r="BC157" s="71"/>
      <c r="BD157" s="71"/>
      <c r="BE157" s="71"/>
      <c r="BF157" s="70"/>
      <c r="BG157" s="70"/>
      <c r="BH157" s="89"/>
      <c r="BI157" s="232"/>
      <c r="BJ157" s="71"/>
      <c r="BK157" s="70"/>
      <c r="BL157" s="70"/>
      <c r="BM157" s="70"/>
      <c r="BN157" s="70"/>
      <c r="BO157" s="70"/>
      <c r="BP157" s="70"/>
      <c r="BQ157" s="70"/>
      <c r="BR157" s="70"/>
      <c r="BV157" s="222"/>
      <c r="BW157" s="222"/>
      <c r="CZ157" t="b">
        <v>0</v>
      </c>
      <c r="DF157" s="137">
        <v>5</v>
      </c>
      <c r="DG157" s="137">
        <v>15</v>
      </c>
      <c r="DV157" s="248"/>
      <c r="DW157" s="248"/>
      <c r="DX157" s="248"/>
      <c r="DY157" s="236"/>
      <c r="EC157" s="62"/>
      <c r="EF157" s="62"/>
    </row>
    <row r="158" spans="1:165" ht="3.9" customHeight="1" x14ac:dyDescent="0.2">
      <c r="D158" s="57"/>
      <c r="E158" s="57"/>
      <c r="F158" s="57"/>
      <c r="G158" s="57"/>
      <c r="H158" s="66"/>
      <c r="I158" s="67"/>
      <c r="J158" s="66"/>
      <c r="K158" s="67"/>
      <c r="L158" s="211"/>
      <c r="M158" s="211"/>
      <c r="N158" s="212"/>
      <c r="O158" s="212"/>
      <c r="S158" s="70"/>
      <c r="AF158" s="62"/>
      <c r="AG158" s="385"/>
      <c r="AH158" s="62"/>
      <c r="AI158" s="62"/>
      <c r="AJ158" s="62"/>
      <c r="AK158" s="62"/>
      <c r="AL158" s="237"/>
      <c r="AM158" s="237"/>
      <c r="AN158" s="237"/>
      <c r="AO158" s="237"/>
      <c r="AP158" s="62"/>
      <c r="AQ158" s="62"/>
      <c r="AR158" s="62"/>
      <c r="AT158" s="70"/>
      <c r="AU158" s="70"/>
      <c r="AV158" s="70"/>
      <c r="AW158" s="70"/>
      <c r="AX158" s="70"/>
      <c r="AY158" s="70"/>
      <c r="AZ158" s="70"/>
      <c r="BA158" s="70"/>
      <c r="BB158" s="71"/>
      <c r="BC158" s="71"/>
      <c r="BD158" s="71"/>
      <c r="BE158" s="71"/>
      <c r="BF158" s="70"/>
      <c r="BG158" s="70"/>
      <c r="BH158" s="89"/>
      <c r="BI158" s="232"/>
      <c r="BJ158" s="71"/>
      <c r="BK158" s="70"/>
      <c r="BL158" s="70"/>
      <c r="BM158" s="70"/>
      <c r="BN158" s="70"/>
      <c r="BO158" s="70"/>
      <c r="BP158" s="70"/>
      <c r="BQ158" s="70"/>
      <c r="BR158" s="70"/>
      <c r="BV158" s="222"/>
      <c r="BW158" s="222"/>
      <c r="DF158" s="137"/>
      <c r="DG158" s="137"/>
      <c r="DV158" s="237"/>
      <c r="DW158" s="237"/>
      <c r="DX158" s="237"/>
      <c r="DY158" s="237"/>
      <c r="EC158" s="62"/>
      <c r="EF158" s="62"/>
    </row>
    <row r="159" spans="1:165" ht="15" customHeight="1" x14ac:dyDescent="0.2">
      <c r="D159" s="57"/>
      <c r="E159" s="57"/>
      <c r="F159" s="57"/>
      <c r="G159" s="57"/>
      <c r="H159" s="66"/>
      <c r="I159" s="67"/>
      <c r="J159" s="66"/>
      <c r="K159" s="67"/>
      <c r="L159" s="211"/>
      <c r="M159" s="211"/>
      <c r="N159" s="212"/>
      <c r="O159" s="212"/>
      <c r="S159" s="70"/>
      <c r="AL159" s="255"/>
      <c r="AM159" s="255"/>
      <c r="AN159" s="255"/>
      <c r="AO159" s="255"/>
      <c r="AT159" s="70"/>
      <c r="AU159" s="70"/>
      <c r="AV159" s="70"/>
      <c r="AW159" s="70"/>
      <c r="AX159" s="70"/>
      <c r="AY159" s="70"/>
      <c r="AZ159" s="70"/>
      <c r="BA159" s="70"/>
      <c r="BB159" s="71"/>
      <c r="BC159" s="71"/>
      <c r="BD159" s="71"/>
      <c r="BE159" s="71"/>
      <c r="BF159" s="70"/>
      <c r="BG159" s="70"/>
      <c r="BH159" s="89"/>
      <c r="BI159" s="232"/>
      <c r="BJ159" s="71"/>
      <c r="BK159" s="70"/>
      <c r="BL159" s="70"/>
      <c r="BM159" s="70"/>
      <c r="BN159" s="70"/>
      <c r="BO159" s="70"/>
      <c r="BP159" s="70"/>
      <c r="BQ159" s="70"/>
      <c r="BR159" s="70"/>
      <c r="BV159" s="222"/>
      <c r="BW159" s="222"/>
      <c r="DF159" s="137"/>
      <c r="DG159" s="137"/>
      <c r="DV159" s="255"/>
      <c r="DW159" s="255"/>
      <c r="DX159" s="255"/>
      <c r="DY159" s="255"/>
      <c r="EC159" s="62"/>
      <c r="EF159" s="62"/>
      <c r="FG159" s="57"/>
      <c r="FH159" s="57"/>
      <c r="FI159" s="57"/>
    </row>
    <row r="160" spans="1:165" ht="11.25" hidden="1" customHeight="1" x14ac:dyDescent="0.2">
      <c r="D160" s="57"/>
      <c r="E160" s="57"/>
      <c r="F160" s="57"/>
      <c r="G160" s="57"/>
      <c r="H160" s="66"/>
      <c r="I160" s="67"/>
      <c r="J160" s="66"/>
      <c r="K160" s="67"/>
      <c r="L160" s="211"/>
      <c r="M160" s="211"/>
      <c r="N160" s="212"/>
      <c r="O160" s="212"/>
      <c r="S160" s="70"/>
      <c r="AL160" s="213"/>
      <c r="AM160" s="213"/>
      <c r="AN160" s="213"/>
      <c r="AO160" s="214"/>
      <c r="AT160" s="70"/>
      <c r="AU160" s="70"/>
      <c r="AV160" s="70"/>
      <c r="AW160" s="70"/>
      <c r="AX160" s="70"/>
      <c r="AY160" s="70"/>
      <c r="AZ160" s="70"/>
      <c r="BA160" s="70"/>
      <c r="BB160" s="71"/>
      <c r="BC160" s="71"/>
      <c r="BD160" s="71"/>
      <c r="BE160" s="71"/>
      <c r="BF160" s="70"/>
      <c r="BG160" s="70"/>
      <c r="BH160" s="89"/>
      <c r="BI160" s="232"/>
      <c r="BJ160" s="71"/>
      <c r="BK160" s="70"/>
      <c r="BL160" s="70"/>
      <c r="BM160" s="70"/>
      <c r="BN160" s="70"/>
      <c r="BO160" s="70"/>
      <c r="BP160" s="70"/>
      <c r="BQ160" s="70"/>
      <c r="BR160" s="70"/>
      <c r="BV160" s="222"/>
      <c r="BW160" s="222"/>
      <c r="DF160" s="137"/>
      <c r="DG160" s="137"/>
      <c r="DV160" s="213"/>
      <c r="DW160" s="213"/>
      <c r="DX160" s="213"/>
      <c r="DY160" s="214"/>
      <c r="EC160" s="62"/>
      <c r="EF160" s="62"/>
      <c r="FG160" s="57"/>
      <c r="FH160" s="57"/>
      <c r="FI160" s="57"/>
    </row>
    <row r="161" spans="4:154" ht="14.1" hidden="1" customHeight="1" x14ac:dyDescent="0.2">
      <c r="D161" s="57"/>
      <c r="E161" s="57"/>
      <c r="F161" s="57"/>
      <c r="G161" s="57"/>
      <c r="H161" s="66"/>
      <c r="I161" s="67"/>
      <c r="J161" s="66"/>
      <c r="K161" s="67"/>
      <c r="L161" s="211"/>
      <c r="M161" s="211"/>
      <c r="N161" s="212"/>
      <c r="O161" s="212"/>
      <c r="S161" s="70"/>
      <c r="AL161" s="213"/>
      <c r="AM161" s="213"/>
      <c r="AN161" s="213"/>
      <c r="AO161" s="214"/>
      <c r="AT161" s="70"/>
      <c r="AU161" s="70"/>
      <c r="AV161" s="70"/>
      <c r="AW161" s="70"/>
      <c r="AX161" s="70"/>
      <c r="AY161" s="70"/>
      <c r="AZ161" s="70"/>
      <c r="BA161" s="70"/>
      <c r="BB161" s="71"/>
      <c r="BC161" s="71"/>
      <c r="BD161" s="71"/>
      <c r="BE161" s="71"/>
      <c r="BF161" s="70"/>
      <c r="BG161" s="70"/>
      <c r="BH161" s="89"/>
      <c r="BI161" s="232"/>
      <c r="BJ161" s="71"/>
      <c r="BK161" s="70"/>
      <c r="BL161" s="70"/>
      <c r="BM161" s="70"/>
      <c r="BN161" s="70"/>
      <c r="BO161" s="70"/>
      <c r="BP161" s="70"/>
      <c r="BQ161" s="70"/>
      <c r="BR161" s="70"/>
      <c r="BV161" s="222"/>
      <c r="BW161" s="222"/>
      <c r="DF161" s="137"/>
      <c r="DG161" s="137"/>
      <c r="DV161" s="213"/>
      <c r="DW161" s="213"/>
      <c r="DX161" s="213"/>
      <c r="DY161" s="214"/>
      <c r="EC161" s="62"/>
      <c r="EF161" s="62"/>
    </row>
    <row r="162" spans="4:154" hidden="1" x14ac:dyDescent="0.2">
      <c r="S162" s="70"/>
      <c r="AL162" s="213"/>
      <c r="AM162" s="213"/>
      <c r="AN162" s="213"/>
      <c r="AO162" s="213"/>
      <c r="AT162" s="70"/>
      <c r="AU162" s="70"/>
      <c r="AV162" s="70"/>
      <c r="AW162" s="70"/>
      <c r="AX162" s="70"/>
      <c r="AY162" s="70"/>
      <c r="AZ162" s="70"/>
      <c r="BA162" s="70"/>
      <c r="BB162" s="71"/>
      <c r="BC162" s="71"/>
      <c r="BD162" s="71"/>
      <c r="BE162" s="71"/>
      <c r="BR162" s="70"/>
      <c r="BV162" s="222"/>
      <c r="BW162" s="222"/>
      <c r="DF162" s="137"/>
      <c r="DG162" s="137"/>
      <c r="DV162" s="213"/>
      <c r="DW162" s="213"/>
      <c r="DX162" s="213"/>
      <c r="DY162" s="213"/>
      <c r="EC162" s="62"/>
      <c r="EF162" s="62"/>
    </row>
    <row r="163" spans="4:154" ht="3.9" hidden="1" customHeight="1" x14ac:dyDescent="0.2">
      <c r="S163" s="70"/>
      <c r="AL163" s="214"/>
      <c r="AM163" s="214"/>
      <c r="AN163" s="214"/>
      <c r="AO163" s="214"/>
      <c r="AT163" s="70"/>
      <c r="AU163" s="70"/>
      <c r="AV163" s="70"/>
      <c r="AW163" s="70"/>
      <c r="AX163" s="70"/>
      <c r="AY163" s="70"/>
      <c r="AZ163" s="70"/>
      <c r="BA163" s="70"/>
      <c r="BB163" s="71"/>
      <c r="BC163" s="71"/>
      <c r="BD163" s="71"/>
      <c r="BE163" s="71"/>
      <c r="BR163" s="70"/>
      <c r="BV163" s="222"/>
      <c r="BW163" s="222"/>
      <c r="DF163" s="137"/>
      <c r="DG163" s="137"/>
      <c r="DV163" s="214"/>
      <c r="DW163" s="214"/>
      <c r="DX163" s="214"/>
      <c r="DY163" s="214"/>
      <c r="EC163" s="62"/>
      <c r="EF163" s="62"/>
    </row>
    <row r="164" spans="4:154" ht="9" hidden="1" customHeight="1" x14ac:dyDescent="0.2">
      <c r="S164" s="70"/>
      <c r="AL164" s="256"/>
      <c r="AM164" s="256"/>
      <c r="AN164" s="256"/>
      <c r="AO164" s="256"/>
      <c r="AT164" s="70"/>
      <c r="AU164" s="220" t="str">
        <f>IF(EH164=0,"",INDEX($DL$21:$DL$24,EH164))</f>
        <v/>
      </c>
      <c r="AV164" s="70"/>
      <c r="AW164" s="70"/>
      <c r="AX164" s="70"/>
      <c r="AY164" s="70"/>
      <c r="AZ164" s="70"/>
      <c r="BA164" s="70"/>
      <c r="BB164" s="221"/>
      <c r="BC164" s="221"/>
      <c r="BD164" s="221"/>
      <c r="BE164" s="221"/>
      <c r="BR164" s="70"/>
      <c r="BV164" s="222"/>
      <c r="BW164" s="222"/>
      <c r="DF164" s="137"/>
      <c r="DG164" s="137"/>
      <c r="DV164" s="256"/>
      <c r="DW164" s="256"/>
      <c r="DX164" s="256"/>
      <c r="DY164" s="256"/>
      <c r="EC164" s="62"/>
      <c r="ED164" s="56"/>
      <c r="EE164" s="57"/>
      <c r="EF164" s="62"/>
      <c r="EM164" s="57"/>
      <c r="EN164" s="57"/>
      <c r="EO164" s="57"/>
      <c r="EP164" s="57"/>
      <c r="EQ164" s="57"/>
      <c r="ER164" s="57"/>
      <c r="ES164" s="57"/>
      <c r="ET164" s="57"/>
      <c r="EU164" s="57"/>
    </row>
    <row r="165" spans="4:154" ht="12" hidden="1" customHeight="1" x14ac:dyDescent="0.2">
      <c r="S165" s="70"/>
      <c r="AL165" s="256"/>
      <c r="AM165" s="256"/>
      <c r="AN165" s="256"/>
      <c r="AO165" s="256"/>
      <c r="AT165" s="70"/>
      <c r="AU165" s="220" t="str">
        <f>IF(AND(ED164&gt;0,EE164&gt;-1,EK164=1),"Ungültiger Sieger",IF(EL164,"Sieger fehlt!",""))</f>
        <v/>
      </c>
      <c r="AV165" s="70"/>
      <c r="AW165" s="70"/>
      <c r="AX165" s="70"/>
      <c r="AY165" s="70"/>
      <c r="AZ165" s="70"/>
      <c r="BA165" s="70"/>
      <c r="BB165" s="221"/>
      <c r="BC165" s="221"/>
      <c r="BD165" s="221"/>
      <c r="BE165" s="221"/>
      <c r="BR165" s="70"/>
      <c r="BV165" s="222"/>
      <c r="BW165" s="222"/>
      <c r="DF165" s="137"/>
      <c r="DG165" s="137"/>
      <c r="DV165" s="256"/>
      <c r="DW165" s="256"/>
      <c r="DX165" s="256"/>
      <c r="DY165" s="256"/>
      <c r="EC165" s="62"/>
      <c r="EF165" s="62"/>
    </row>
    <row r="166" spans="4:154" ht="3.9" hidden="1" customHeight="1" x14ac:dyDescent="0.2">
      <c r="D166" s="57"/>
      <c r="E166" s="153"/>
      <c r="F166" s="57"/>
      <c r="Q166" s="57"/>
      <c r="R166" s="57"/>
      <c r="S166" s="70"/>
      <c r="AL166" s="257"/>
      <c r="AM166" s="257"/>
      <c r="AN166" s="257"/>
      <c r="AO166" s="214"/>
      <c r="AT166" s="70"/>
      <c r="AU166" s="70"/>
      <c r="AV166" s="70"/>
      <c r="AW166" s="70"/>
      <c r="AX166" s="70"/>
      <c r="AY166" s="70"/>
      <c r="AZ166" s="70"/>
      <c r="BA166" s="70"/>
      <c r="BB166" s="71"/>
      <c r="BC166" s="71"/>
      <c r="BD166" s="71"/>
      <c r="BE166" s="71"/>
      <c r="BF166" s="70"/>
      <c r="BG166" s="70"/>
      <c r="BH166" s="89"/>
      <c r="BI166" s="232"/>
      <c r="BJ166" s="71"/>
      <c r="BK166" s="70"/>
      <c r="BL166" s="70"/>
      <c r="BM166" s="70"/>
      <c r="BN166" s="70"/>
      <c r="BO166" s="70"/>
      <c r="BP166" s="70"/>
      <c r="BQ166" s="70"/>
      <c r="BR166" s="70"/>
      <c r="BV166" s="222"/>
      <c r="BW166" s="222"/>
      <c r="DF166" s="137"/>
      <c r="DG166" s="137"/>
      <c r="DV166" s="257"/>
      <c r="DW166" s="257"/>
      <c r="DX166" s="257"/>
      <c r="DY166" s="214"/>
      <c r="EC166" s="62"/>
      <c r="EF166" s="62"/>
    </row>
    <row r="167" spans="4:154" ht="3.9" hidden="1" customHeight="1" x14ac:dyDescent="0.2">
      <c r="L167" s="57"/>
      <c r="M167" s="57"/>
      <c r="S167" s="70"/>
      <c r="T167" s="258"/>
      <c r="U167" s="258"/>
      <c r="V167" s="258"/>
      <c r="W167" s="258"/>
      <c r="X167" s="258"/>
      <c r="Y167" s="258"/>
      <c r="Z167" s="258"/>
      <c r="AA167" s="258"/>
      <c r="AB167" s="258"/>
      <c r="AC167" s="258"/>
      <c r="AD167" s="258"/>
      <c r="AE167" s="258"/>
      <c r="AF167" s="258"/>
      <c r="AG167" s="258"/>
      <c r="AH167" s="258"/>
      <c r="AI167" s="258"/>
      <c r="AJ167" s="258"/>
      <c r="AK167" s="258"/>
      <c r="AL167" s="258"/>
      <c r="AM167" s="258"/>
      <c r="AN167" s="258"/>
      <c r="AO167" s="258"/>
      <c r="AP167" s="258"/>
      <c r="AQ167" s="258"/>
      <c r="AR167" s="258"/>
      <c r="AS167" s="258"/>
      <c r="AT167" s="70"/>
      <c r="AU167" s="70"/>
      <c r="AV167" s="70"/>
      <c r="AW167" s="70"/>
      <c r="AX167" s="70"/>
      <c r="AY167" s="70"/>
      <c r="AZ167" s="70"/>
      <c r="BA167" s="70"/>
      <c r="BB167" s="70"/>
      <c r="BC167" s="70"/>
      <c r="BD167" s="70"/>
      <c r="BE167" s="70"/>
      <c r="BF167" s="70"/>
      <c r="BG167" s="70"/>
      <c r="BH167" s="70"/>
      <c r="BI167" s="70"/>
      <c r="BJ167" s="70"/>
      <c r="BK167" s="70"/>
      <c r="BL167" s="70"/>
      <c r="BM167" s="70"/>
      <c r="BN167" s="70"/>
      <c r="BO167" s="70"/>
      <c r="BP167" s="70"/>
      <c r="BQ167" s="70"/>
      <c r="BR167" s="70"/>
      <c r="DV167" s="259"/>
      <c r="DW167" s="258"/>
      <c r="DX167" s="258"/>
      <c r="DY167" s="258"/>
    </row>
    <row r="168" spans="4:154" hidden="1" x14ac:dyDescent="0.2">
      <c r="L168" s="57"/>
      <c r="M168" s="57"/>
      <c r="S168" s="70"/>
      <c r="T168" s="70"/>
      <c r="U168" s="70"/>
      <c r="V168" s="70"/>
      <c r="W168" s="70"/>
      <c r="X168" s="70"/>
      <c r="Y168" s="70"/>
      <c r="Z168" s="70"/>
      <c r="AA168" s="70"/>
      <c r="AB168" s="70"/>
      <c r="AC168" s="70"/>
      <c r="AD168" s="70"/>
      <c r="AE168" s="70"/>
      <c r="AF168" s="70"/>
      <c r="AG168" s="70"/>
      <c r="AH168" s="70"/>
      <c r="AI168" s="70"/>
      <c r="AJ168" s="70"/>
      <c r="AK168" s="70"/>
      <c r="AL168" s="70"/>
      <c r="AM168" s="70"/>
      <c r="AN168" s="70"/>
      <c r="AO168" s="70"/>
      <c r="AP168" s="70"/>
      <c r="AQ168" s="70"/>
      <c r="AR168" s="70"/>
      <c r="AS168" s="70"/>
      <c r="AT168" s="70"/>
      <c r="AU168" s="70"/>
      <c r="AV168" s="70"/>
      <c r="AW168" s="70"/>
      <c r="AX168" s="70"/>
      <c r="AY168" s="70"/>
      <c r="AZ168" s="70"/>
      <c r="BA168" s="70"/>
      <c r="BB168" s="70"/>
      <c r="BC168" s="70"/>
      <c r="BD168" s="70"/>
      <c r="BE168" s="70"/>
      <c r="BF168" s="70"/>
      <c r="BG168" s="70"/>
      <c r="BH168" s="70"/>
      <c r="BI168" s="70"/>
      <c r="BJ168" s="70"/>
      <c r="BK168" s="70"/>
      <c r="BL168" s="70"/>
      <c r="BM168" s="70"/>
      <c r="BN168" s="70"/>
      <c r="BO168" s="70"/>
      <c r="BP168" s="70"/>
      <c r="BQ168" s="70"/>
      <c r="BR168" s="70"/>
      <c r="DV168" s="259"/>
      <c r="DW168" s="214"/>
      <c r="DX168" s="214"/>
      <c r="DY168" s="214"/>
    </row>
    <row r="169" spans="4:154" hidden="1" x14ac:dyDescent="0.2">
      <c r="L169" s="57"/>
      <c r="M169" s="57"/>
      <c r="S169" s="70"/>
      <c r="T169" s="70"/>
      <c r="U169" s="70"/>
      <c r="V169" s="70"/>
      <c r="W169" s="70"/>
      <c r="X169" s="70"/>
      <c r="Y169" s="70"/>
      <c r="Z169" s="70"/>
      <c r="AA169" s="70"/>
      <c r="AB169" s="70"/>
      <c r="AC169" s="70"/>
      <c r="AD169" s="70"/>
      <c r="AE169" s="70"/>
      <c r="AF169" s="70"/>
      <c r="AG169" s="70"/>
      <c r="AH169" s="70"/>
      <c r="AI169" s="70"/>
      <c r="AJ169" s="70"/>
      <c r="AK169" s="70"/>
      <c r="AL169" s="70"/>
      <c r="AM169" s="70"/>
      <c r="AN169" s="70"/>
      <c r="AO169" s="70"/>
      <c r="AP169" s="70"/>
      <c r="AQ169" s="70"/>
      <c r="AR169" s="70"/>
      <c r="AS169" s="70"/>
      <c r="AT169" s="70"/>
      <c r="AU169" s="70"/>
      <c r="AV169" s="70"/>
      <c r="AW169" s="70"/>
      <c r="AX169" s="70"/>
      <c r="AY169" s="70"/>
      <c r="AZ169" s="70"/>
      <c r="BA169" s="70"/>
      <c r="BB169" s="70"/>
      <c r="BC169" s="70"/>
      <c r="BD169" s="70"/>
      <c r="BE169" s="70"/>
      <c r="BF169" s="70"/>
      <c r="BG169" s="70"/>
      <c r="BH169" s="70"/>
      <c r="BI169" s="70"/>
      <c r="BJ169" s="70"/>
      <c r="BK169" s="70"/>
      <c r="BL169" s="70"/>
      <c r="BM169" s="70"/>
      <c r="BN169" s="70"/>
      <c r="BO169" s="70"/>
      <c r="BP169" s="70"/>
      <c r="BQ169" s="70"/>
      <c r="BR169" s="70"/>
      <c r="CR169" s="63" t="s">
        <v>741</v>
      </c>
      <c r="CS169" s="63">
        <v>7</v>
      </c>
      <c r="DK169">
        <f>SUM(EJ178:EJ278)</f>
        <v>0</v>
      </c>
      <c r="EU169" t="s">
        <v>742</v>
      </c>
    </row>
    <row r="170" spans="4:154" hidden="1" x14ac:dyDescent="0.2">
      <c r="L170" s="57"/>
      <c r="M170" s="57"/>
      <c r="S170" s="70"/>
      <c r="T170" s="70"/>
      <c r="U170" s="70"/>
      <c r="V170" s="70"/>
      <c r="W170" s="70"/>
      <c r="X170" s="70"/>
      <c r="Y170" s="70"/>
      <c r="Z170" s="70"/>
      <c r="AA170" s="70"/>
      <c r="AB170" s="70"/>
      <c r="AC170" s="70"/>
      <c r="AD170" s="70"/>
      <c r="AE170" s="70"/>
      <c r="AF170" s="70"/>
      <c r="AG170" s="70"/>
      <c r="AH170" s="70"/>
      <c r="AI170" s="70"/>
      <c r="AJ170" s="70"/>
      <c r="AK170" s="70"/>
      <c r="AL170" s="70"/>
      <c r="AM170" s="70"/>
      <c r="AN170" s="70"/>
      <c r="AO170" s="70"/>
      <c r="AP170" s="70"/>
      <c r="AQ170" s="70"/>
      <c r="AR170" s="70"/>
      <c r="AS170" s="70"/>
      <c r="AT170" s="70"/>
      <c r="AU170" s="70"/>
      <c r="AV170" s="70"/>
      <c r="AW170" s="70"/>
      <c r="AX170" s="70"/>
      <c r="AY170" s="70"/>
      <c r="AZ170" s="70"/>
      <c r="BA170" s="70"/>
      <c r="BB170" s="70"/>
      <c r="BC170" s="70"/>
      <c r="BD170" s="70"/>
      <c r="BE170" s="70"/>
      <c r="BF170" s="70"/>
      <c r="BG170" s="70"/>
      <c r="BH170" s="70"/>
      <c r="BI170" s="70"/>
      <c r="BJ170" s="70"/>
      <c r="BK170" s="70"/>
      <c r="BL170" s="70"/>
      <c r="BM170" s="70"/>
      <c r="BN170" s="70"/>
      <c r="BO170" s="70"/>
      <c r="BP170" s="70"/>
      <c r="BQ170" s="70"/>
      <c r="BR170" s="70"/>
      <c r="CO170" t="s">
        <v>741</v>
      </c>
      <c r="CP170" t="s">
        <v>743</v>
      </c>
      <c r="CR170" t="s">
        <v>384</v>
      </c>
      <c r="CS170" t="s">
        <v>744</v>
      </c>
      <c r="CT170" t="s">
        <v>745</v>
      </c>
      <c r="CV170" t="s">
        <v>746</v>
      </c>
      <c r="CW170" t="s">
        <v>747</v>
      </c>
      <c r="CZ170" t="s">
        <v>745</v>
      </c>
      <c r="DD170" t="s">
        <v>748</v>
      </c>
      <c r="DJ170" t="s">
        <v>392</v>
      </c>
      <c r="EU170">
        <f>IF(C2&lt;=0,0,DK169+EU35)</f>
        <v>0</v>
      </c>
    </row>
    <row r="171" spans="4:154" x14ac:dyDescent="0.2">
      <c r="S171" s="70"/>
      <c r="T171" s="460" t="s">
        <v>749</v>
      </c>
      <c r="U171" s="460"/>
      <c r="V171" s="460"/>
      <c r="W171" s="460"/>
      <c r="X171" s="460"/>
      <c r="Y171" s="460"/>
      <c r="Z171" s="70"/>
      <c r="AA171" s="70"/>
      <c r="AB171" s="70"/>
      <c r="AC171" s="70"/>
      <c r="AD171" s="70"/>
      <c r="AE171" s="70"/>
      <c r="AF171" s="70"/>
      <c r="AG171" s="70"/>
      <c r="AH171" s="70"/>
      <c r="AI171" s="70"/>
      <c r="AJ171" s="70"/>
      <c r="AK171" s="70"/>
      <c r="AL171" s="70"/>
      <c r="AM171" s="70"/>
      <c r="AN171" s="70"/>
      <c r="AO171" s="70"/>
      <c r="AP171" s="70"/>
      <c r="AQ171" s="70"/>
      <c r="AR171" s="70"/>
      <c r="AS171" s="70"/>
      <c r="AT171" s="70"/>
      <c r="AU171" s="70"/>
      <c r="AV171" s="70"/>
      <c r="AW171" s="70"/>
      <c r="AX171" s="70"/>
      <c r="AY171" s="70"/>
      <c r="AZ171" s="70"/>
      <c r="BA171" s="70"/>
      <c r="BB171" s="70"/>
      <c r="BC171" s="70"/>
      <c r="BD171" s="70"/>
      <c r="BE171" s="70"/>
      <c r="BF171" s="70"/>
      <c r="BG171" s="70"/>
      <c r="BH171" s="70"/>
      <c r="BI171" s="70"/>
      <c r="BJ171" s="70"/>
      <c r="BK171" s="70"/>
      <c r="BL171" s="70"/>
      <c r="BM171" s="70"/>
      <c r="BN171" s="70"/>
      <c r="BO171" s="70"/>
      <c r="BP171" s="70"/>
      <c r="BQ171" s="70"/>
      <c r="BR171" s="70"/>
    </row>
    <row r="172" spans="4:154" x14ac:dyDescent="0.2">
      <c r="S172" s="70"/>
      <c r="T172" s="460"/>
      <c r="U172" s="460"/>
      <c r="V172" s="460"/>
      <c r="W172" s="460"/>
      <c r="X172" s="460"/>
      <c r="Y172" s="460"/>
      <c r="Z172" s="70"/>
      <c r="AA172" s="70"/>
      <c r="AB172" s="70"/>
      <c r="AC172" s="70"/>
      <c r="AD172" s="70"/>
      <c r="AE172" s="70"/>
      <c r="AF172" s="70"/>
      <c r="AG172" s="70"/>
      <c r="AH172" s="70"/>
      <c r="AI172" s="70"/>
      <c r="AJ172" s="70"/>
      <c r="AK172" s="70"/>
      <c r="AL172" s="70"/>
      <c r="AM172" s="70"/>
      <c r="AN172" s="70"/>
      <c r="AO172" s="70"/>
      <c r="AP172" s="70"/>
      <c r="AQ172" s="70"/>
      <c r="AR172" s="70"/>
      <c r="AS172" s="70"/>
      <c r="AT172" s="70"/>
      <c r="AU172" s="70"/>
      <c r="AV172" s="70"/>
      <c r="AW172" s="70"/>
      <c r="AX172" s="70"/>
      <c r="AY172" s="70"/>
      <c r="AZ172" s="70"/>
      <c r="BA172" s="70"/>
      <c r="BB172" s="70"/>
      <c r="BC172" s="70"/>
      <c r="BD172" s="70"/>
      <c r="BE172" s="70"/>
      <c r="BF172" s="70"/>
      <c r="BG172" s="70"/>
      <c r="BH172" s="70"/>
      <c r="BI172" s="70"/>
      <c r="BJ172" s="70"/>
      <c r="BK172" s="70"/>
      <c r="BL172" s="70"/>
      <c r="BM172" s="70"/>
      <c r="BN172" s="70"/>
      <c r="BO172" s="70"/>
      <c r="BP172" s="70"/>
      <c r="BQ172" s="70"/>
      <c r="BR172" s="70"/>
    </row>
    <row r="173" spans="4:154" x14ac:dyDescent="0.2">
      <c r="S173" s="70"/>
      <c r="T173" s="260" t="s">
        <v>750</v>
      </c>
      <c r="U173" s="82"/>
      <c r="V173" s="82"/>
      <c r="W173" s="82"/>
      <c r="X173" s="82"/>
      <c r="Y173" s="82"/>
      <c r="Z173" s="70"/>
      <c r="AA173" s="70"/>
      <c r="AB173" s="70"/>
      <c r="AC173" s="70"/>
      <c r="AD173" s="70"/>
      <c r="AE173" s="70"/>
      <c r="AF173" s="70"/>
      <c r="AG173" s="70"/>
      <c r="AH173" s="70"/>
      <c r="AI173" s="70"/>
      <c r="AJ173" s="70"/>
      <c r="AK173" s="70"/>
      <c r="AL173" s="70"/>
      <c r="AM173" s="70"/>
      <c r="AN173" s="70"/>
      <c r="AO173" s="70"/>
      <c r="AP173" s="70"/>
      <c r="AQ173" s="70"/>
      <c r="AR173" s="70"/>
      <c r="AS173" s="70"/>
      <c r="AT173" s="70"/>
      <c r="AU173" s="70"/>
      <c r="AV173" s="70"/>
      <c r="AW173" s="70"/>
      <c r="AX173" s="70"/>
      <c r="AY173" s="70"/>
      <c r="AZ173" s="70"/>
      <c r="BA173" s="70"/>
      <c r="BB173" s="70"/>
      <c r="BC173" s="70"/>
      <c r="BD173" s="70"/>
      <c r="BE173" s="70"/>
      <c r="BF173" s="70"/>
      <c r="BG173" s="70"/>
      <c r="BH173" s="70"/>
      <c r="BI173" s="70"/>
      <c r="BJ173" s="70"/>
      <c r="BK173" s="70"/>
      <c r="BL173" s="70"/>
      <c r="BM173" s="70"/>
      <c r="BN173" s="70"/>
      <c r="BO173" s="70"/>
      <c r="BP173" s="70"/>
      <c r="BQ173" s="70"/>
      <c r="BR173" s="70"/>
      <c r="BT173" t="s">
        <v>1109</v>
      </c>
      <c r="DO173" t="s">
        <v>751</v>
      </c>
      <c r="DP173" t="b">
        <f>settings!C98=1</f>
        <v>0</v>
      </c>
      <c r="DS173" s="55" t="s">
        <v>752</v>
      </c>
      <c r="DT173" s="153">
        <v>0</v>
      </c>
      <c r="EP173" s="65"/>
      <c r="EQ173" s="65"/>
      <c r="ER173" s="65"/>
      <c r="ES173" s="65"/>
      <c r="ET173" s="57"/>
    </row>
    <row r="174" spans="4:154" x14ac:dyDescent="0.2">
      <c r="S174" s="70"/>
      <c r="T174" s="260" t="s">
        <v>753</v>
      </c>
      <c r="U174" s="70"/>
      <c r="V174" s="70"/>
      <c r="W174" s="70"/>
      <c r="X174" s="70"/>
      <c r="Y174" s="70"/>
      <c r="Z174" s="70"/>
      <c r="AA174" s="70"/>
      <c r="AB174" s="70"/>
      <c r="AC174" s="70"/>
      <c r="AD174" s="70"/>
      <c r="AE174" s="70"/>
      <c r="AF174" s="70"/>
      <c r="AG174" s="70"/>
      <c r="AH174" s="70"/>
      <c r="AI174" s="70"/>
      <c r="AJ174" s="70"/>
      <c r="AK174" s="70"/>
      <c r="AL174" s="70"/>
      <c r="AM174" s="70"/>
      <c r="AN174" s="70"/>
      <c r="AO174" s="70"/>
      <c r="AP174" s="70"/>
      <c r="AQ174" s="70"/>
      <c r="AR174" s="70"/>
      <c r="AS174" s="70"/>
      <c r="AT174" s="70"/>
      <c r="AU174" s="70"/>
      <c r="AV174" s="70"/>
      <c r="AW174" s="70"/>
      <c r="AX174" s="70"/>
      <c r="AY174" s="70"/>
      <c r="AZ174" s="70"/>
      <c r="BA174" s="70"/>
      <c r="BB174" s="70"/>
      <c r="BC174" s="70"/>
      <c r="BD174" s="70"/>
      <c r="BE174" s="70"/>
      <c r="BF174" s="70"/>
      <c r="BG174" s="70"/>
      <c r="BH174" s="70"/>
      <c r="BI174" s="70"/>
      <c r="BJ174" s="70"/>
      <c r="BK174" s="70"/>
      <c r="BL174" s="70"/>
      <c r="BM174" s="70"/>
      <c r="BN174" s="70"/>
      <c r="BO174" s="70"/>
      <c r="BP174" s="70"/>
      <c r="BQ174" s="70"/>
      <c r="BR174" s="70"/>
      <c r="BT174" t="s">
        <v>754</v>
      </c>
      <c r="BZ174" t="s">
        <v>755</v>
      </c>
      <c r="DO174" s="55" t="s">
        <v>741</v>
      </c>
      <c r="DP174" s="153">
        <v>7</v>
      </c>
      <c r="EP174" s="65"/>
      <c r="EQ174" s="65"/>
      <c r="ER174" s="65"/>
      <c r="ES174" s="65"/>
    </row>
    <row r="175" spans="4:154" x14ac:dyDescent="0.2">
      <c r="S175" s="70"/>
      <c r="T175" s="260" t="s">
        <v>756</v>
      </c>
      <c r="U175" s="70"/>
      <c r="V175" s="70"/>
      <c r="W175" s="70"/>
      <c r="X175" s="70"/>
      <c r="Y175" s="70"/>
      <c r="Z175" s="70"/>
      <c r="AA175" s="70"/>
      <c r="AB175" s="70"/>
      <c r="AC175" s="70"/>
      <c r="AD175" s="70"/>
      <c r="AE175" s="70"/>
      <c r="AF175" s="70"/>
      <c r="AG175" s="70"/>
      <c r="AH175" s="70"/>
      <c r="AI175" s="70"/>
      <c r="AJ175" s="70"/>
      <c r="AK175" s="70"/>
      <c r="AL175" s="70"/>
      <c r="AM175" s="70"/>
      <c r="AN175" s="70"/>
      <c r="AO175" s="70"/>
      <c r="AP175" s="70"/>
      <c r="AQ175" s="70"/>
      <c r="AR175" s="70"/>
      <c r="AS175" s="70"/>
      <c r="AT175" s="70"/>
      <c r="AU175" s="70"/>
      <c r="AV175" s="70"/>
      <c r="AW175" s="70"/>
      <c r="AX175" s="70"/>
      <c r="AY175" s="70"/>
      <c r="AZ175" s="70"/>
      <c r="BA175" s="70"/>
      <c r="BB175" s="70"/>
      <c r="BC175" s="70"/>
      <c r="BD175" s="70"/>
      <c r="BE175" s="70"/>
      <c r="BF175" s="70"/>
      <c r="BG175" s="70"/>
      <c r="BH175" s="70"/>
      <c r="BI175" s="70"/>
      <c r="BJ175" s="70"/>
      <c r="BK175" s="70"/>
      <c r="BL175" s="70"/>
      <c r="BM175" s="70"/>
      <c r="BN175" s="70"/>
      <c r="BO175" s="70"/>
      <c r="BP175" s="70"/>
      <c r="BQ175" s="70"/>
      <c r="BR175" s="70"/>
      <c r="BU175" t="s">
        <v>406</v>
      </c>
      <c r="BW175">
        <f>BV99</f>
        <v>0</v>
      </c>
      <c r="BX175">
        <f>BW99</f>
        <v>0</v>
      </c>
      <c r="BZ175">
        <f t="shared" ref="BZ175:CA182" si="114">IF(COUNTIF($BW$175:$BX$182,"="&amp;BW175)&gt;1,0,BW175)</f>
        <v>0</v>
      </c>
      <c r="CA175">
        <f t="shared" si="114"/>
        <v>0</v>
      </c>
      <c r="DO175" t="s">
        <v>485</v>
      </c>
      <c r="DP175" s="153">
        <f>SUM(DP178:DP278)</f>
        <v>3</v>
      </c>
      <c r="DQ175">
        <f>MAX(DQ178:DQ278)</f>
        <v>175</v>
      </c>
      <c r="DS175" s="261" t="s">
        <v>757</v>
      </c>
      <c r="DT175" s="262" t="b">
        <v>1</v>
      </c>
      <c r="EP175" s="65"/>
      <c r="EQ175" s="65"/>
      <c r="ER175" s="65"/>
      <c r="ES175" s="65"/>
    </row>
    <row r="176" spans="4:154" ht="21.9" customHeight="1" x14ac:dyDescent="0.2">
      <c r="S176" s="70"/>
      <c r="T176" s="263" t="str">
        <f>IF(DP178=1,"Torschützenkönig (TSK): Im grünen Auswahlfeld kann ein dem System bekannter Spieler gewählt oder der Name frei im Format  VORNAME NACHNAME (z. B.    Ciro Immobile    oder    Rodrigo) editiert werden.","")</f>
        <v>Torschützenkönig (TSK): Im grünen Auswahlfeld kann ein dem System bekannter Spieler gewählt oder der Name frei im Format  VORNAME NACHNAME (z. B.    Ciro Immobile    oder    Rodrigo) editiert werden.</v>
      </c>
      <c r="U176" s="71"/>
      <c r="V176" s="70"/>
      <c r="W176" s="70"/>
      <c r="X176" s="70"/>
      <c r="Y176" s="70"/>
      <c r="Z176" s="70"/>
      <c r="AA176" s="70"/>
      <c r="AB176" s="70"/>
      <c r="AC176" s="70"/>
      <c r="AD176" s="70"/>
      <c r="AE176" s="70"/>
      <c r="AF176" s="70"/>
      <c r="AG176" s="70"/>
      <c r="AH176" s="70"/>
      <c r="AI176" s="70"/>
      <c r="AJ176" s="70"/>
      <c r="AK176" s="70"/>
      <c r="AL176" s="70"/>
      <c r="AM176" s="70"/>
      <c r="AN176" s="70"/>
      <c r="AO176" s="70"/>
      <c r="AP176" s="70"/>
      <c r="AQ176" s="70"/>
      <c r="AR176" s="70"/>
      <c r="AS176" s="70"/>
      <c r="AT176" s="70"/>
      <c r="AU176" s="70"/>
      <c r="AV176" s="70"/>
      <c r="AW176" s="70"/>
      <c r="AX176" s="70"/>
      <c r="AY176" s="70"/>
      <c r="AZ176" s="70"/>
      <c r="BA176" s="70"/>
      <c r="BB176" s="70"/>
      <c r="BC176" s="70"/>
      <c r="BD176" s="70"/>
      <c r="BE176" s="70"/>
      <c r="BF176" s="70"/>
      <c r="BG176" s="70"/>
      <c r="BH176" s="70"/>
      <c r="BI176" s="70"/>
      <c r="BJ176" s="70"/>
      <c r="BK176" s="70"/>
      <c r="BL176" s="70"/>
      <c r="BM176" s="70"/>
      <c r="BN176" s="70"/>
      <c r="BO176" s="70"/>
      <c r="BP176" s="70"/>
      <c r="BQ176" s="70"/>
      <c r="BR176" s="70"/>
      <c r="BU176" t="s">
        <v>410</v>
      </c>
      <c r="BW176">
        <f>BV102</f>
        <v>0</v>
      </c>
      <c r="BX176">
        <f>BW102</f>
        <v>0</v>
      </c>
      <c r="BZ176">
        <f t="shared" si="114"/>
        <v>0</v>
      </c>
      <c r="CA176">
        <f t="shared" si="114"/>
        <v>0</v>
      </c>
      <c r="EB176" t="s">
        <v>758</v>
      </c>
      <c r="EF176" s="91"/>
      <c r="EJ176">
        <f>SUM(EJ178:EJ278)</f>
        <v>0</v>
      </c>
      <c r="EK176">
        <f>SUM(EK178:EK278)</f>
        <v>0</v>
      </c>
      <c r="EM176">
        <f>SUM(EM178:EM278)</f>
        <v>0</v>
      </c>
      <c r="EO176" s="65"/>
      <c r="EP176" s="65"/>
      <c r="EQ176" s="65"/>
      <c r="ER176" s="65" t="s">
        <v>759</v>
      </c>
      <c r="ES176" s="65" t="s">
        <v>760</v>
      </c>
      <c r="ET176" s="65" t="s">
        <v>743</v>
      </c>
      <c r="EU176" s="65" t="s">
        <v>384</v>
      </c>
      <c r="EV176" t="s">
        <v>761</v>
      </c>
      <c r="EX176" t="s">
        <v>762</v>
      </c>
    </row>
    <row r="177" spans="19:153" x14ac:dyDescent="0.2">
      <c r="S177" s="70"/>
      <c r="T177" s="265" t="s">
        <v>763</v>
      </c>
      <c r="U177" s="266"/>
      <c r="V177" s="266"/>
      <c r="W177" s="266"/>
      <c r="X177" s="266"/>
      <c r="Y177" s="267" t="str">
        <f>" TIPPABGABE   ( " &amp;zeichen_gesperrt&amp; "  = GESPERRT)"</f>
        <v xml:space="preserve"> TIPPABGABE   ( ˣ  = GESPERRT)</v>
      </c>
      <c r="Z177" s="268"/>
      <c r="AA177" s="268"/>
      <c r="AB177" s="269"/>
      <c r="AC177" s="270"/>
      <c r="AD177" s="270"/>
      <c r="AE177" s="266"/>
      <c r="AF177" s="271" t="s">
        <v>185</v>
      </c>
      <c r="AG177" s="266"/>
      <c r="AH177" s="266"/>
      <c r="AI177" s="266"/>
      <c r="AJ177" s="266"/>
      <c r="AK177" s="266"/>
      <c r="AL177" s="272"/>
      <c r="AM177" s="272"/>
      <c r="AN177" s="273"/>
      <c r="AO177" s="461" t="s">
        <v>0</v>
      </c>
      <c r="AP177" s="461"/>
      <c r="AQ177" s="461"/>
      <c r="AR177" s="461"/>
      <c r="AS177" s="461"/>
      <c r="AT177" s="461"/>
      <c r="AU177" s="461"/>
      <c r="AV177" s="274"/>
      <c r="AW177" s="275"/>
      <c r="AX177" s="276"/>
      <c r="AY177" s="276"/>
      <c r="AZ177" s="275"/>
      <c r="BA177" s="275"/>
      <c r="BB177" s="276" t="s">
        <v>1</v>
      </c>
      <c r="BC177" s="275"/>
      <c r="BD177" s="70"/>
      <c r="BE177" s="70"/>
      <c r="BF177" s="70"/>
      <c r="BG177" s="70"/>
      <c r="BH177" s="70"/>
      <c r="BI177" s="70"/>
      <c r="BJ177" s="70"/>
      <c r="BK177" s="70"/>
      <c r="BL177" s="70"/>
      <c r="BM177" s="70"/>
      <c r="BN177" s="70"/>
      <c r="BO177" s="70"/>
      <c r="BP177" s="70"/>
      <c r="BQ177" s="70"/>
      <c r="BR177" s="70"/>
      <c r="BU177" t="s">
        <v>413</v>
      </c>
      <c r="BW177">
        <f>BV105</f>
        <v>0</v>
      </c>
      <c r="BX177">
        <f>BW105</f>
        <v>0</v>
      </c>
      <c r="BY177" s="277"/>
      <c r="BZ177">
        <f t="shared" si="114"/>
        <v>0</v>
      </c>
      <c r="CA177">
        <f t="shared" si="114"/>
        <v>0</v>
      </c>
      <c r="CB177" s="278"/>
      <c r="CC177" s="278"/>
      <c r="CD177" s="278"/>
      <c r="CE177" s="278"/>
      <c r="CF177" s="278"/>
      <c r="CG177" s="278"/>
      <c r="CH177" s="278"/>
      <c r="CI177" s="278"/>
      <c r="CN177" s="279"/>
      <c r="CX177" t="s">
        <v>2</v>
      </c>
      <c r="DB177" t="s">
        <v>3</v>
      </c>
      <c r="DD177" t="s">
        <v>4</v>
      </c>
      <c r="DE177" t="s">
        <v>5</v>
      </c>
      <c r="DH177" t="s">
        <v>6</v>
      </c>
      <c r="DO177" s="55" t="s">
        <v>7</v>
      </c>
      <c r="DP177" s="55" t="s">
        <v>743</v>
      </c>
      <c r="DQ177" t="s">
        <v>456</v>
      </c>
      <c r="DR177" t="s">
        <v>384</v>
      </c>
      <c r="DS177" t="s">
        <v>8</v>
      </c>
      <c r="DT177" t="s">
        <v>9</v>
      </c>
      <c r="DU177" t="s">
        <v>10</v>
      </c>
      <c r="DV177" t="s">
        <v>746</v>
      </c>
      <c r="DW177" t="s">
        <v>747</v>
      </c>
      <c r="DX177" t="s">
        <v>11</v>
      </c>
      <c r="DZ177" t="s">
        <v>12</v>
      </c>
      <c r="ED177" t="s">
        <v>13</v>
      </c>
      <c r="EF177" s="91" t="s">
        <v>14</v>
      </c>
      <c r="EH177" t="s">
        <v>478</v>
      </c>
      <c r="EJ177" t="s">
        <v>392</v>
      </c>
      <c r="EK177" s="91" t="s">
        <v>15</v>
      </c>
      <c r="EM177" t="s">
        <v>16</v>
      </c>
      <c r="EN177" t="s">
        <v>17</v>
      </c>
      <c r="EO177" s="65" t="s">
        <v>18</v>
      </c>
      <c r="EP177" s="65" t="s">
        <v>392</v>
      </c>
      <c r="EQ177" s="65" t="s">
        <v>485</v>
      </c>
      <c r="ES177">
        <v>137</v>
      </c>
      <c r="ET177" s="65"/>
    </row>
    <row r="178" spans="19:153" ht="26.1" customHeight="1" thickBot="1" x14ac:dyDescent="0.25">
      <c r="S178" s="70"/>
      <c r="T178" s="280" t="s">
        <v>284</v>
      </c>
      <c r="U178" s="281"/>
      <c r="V178" s="281"/>
      <c r="W178" s="281"/>
      <c r="X178" s="282"/>
      <c r="Y178" s="630" t="str">
        <f>"  "&amp;IF(LEN(DT178)=0,"",EV178)</f>
        <v xml:space="preserve">  </v>
      </c>
      <c r="Z178" s="631"/>
      <c r="AA178" s="631"/>
      <c r="AB178" s="631"/>
      <c r="AC178" s="631"/>
      <c r="AD178" s="632"/>
      <c r="AE178" s="283" t="str">
        <f t="shared" ref="AE178:AE209" si="115">IF(DR178,zeichen_gesperrt,"")</f>
        <v/>
      </c>
      <c r="AF178" s="388" t="str">
        <f t="shared" ref="AF178:AF209" si="116">IF($C$2&lt;=0,"",UPPER(DD178))</f>
        <v>DATEN FEHLEN</v>
      </c>
      <c r="AG178" s="389"/>
      <c r="AH178" s="389"/>
      <c r="AI178" s="389"/>
      <c r="AJ178" s="389"/>
      <c r="AK178" s="389"/>
      <c r="AL178" s="389"/>
      <c r="AM178" s="389"/>
      <c r="AN178" s="390"/>
      <c r="AO178" s="452" t="str">
        <f t="shared" ref="AO178:AO183" si="117">UPPER(INDEX($AU$292:$AU$301,DO178))</f>
        <v>ERÖFFNUNGSSPIEL</v>
      </c>
      <c r="AP178" s="452"/>
      <c r="AQ178" s="452"/>
      <c r="AR178" s="452"/>
      <c r="AS178" s="452"/>
      <c r="AT178" s="452"/>
      <c r="AU178" s="452"/>
      <c r="AV178" s="452"/>
      <c r="AW178" s="391"/>
      <c r="AX178" s="392"/>
      <c r="AY178" s="392"/>
      <c r="AZ178" s="391"/>
      <c r="BA178" s="391"/>
      <c r="BB178" s="392" t="str">
        <f>UPPER(CX178)</f>
        <v>15 PKT.</v>
      </c>
      <c r="BC178" s="70"/>
      <c r="BD178" s="70"/>
      <c r="BE178" s="70"/>
      <c r="BF178" s="70"/>
      <c r="BG178" s="70"/>
      <c r="BH178" s="70"/>
      <c r="BI178" s="70"/>
      <c r="BJ178" s="70"/>
      <c r="BK178" s="70"/>
      <c r="BL178" s="70"/>
      <c r="BM178" s="70"/>
      <c r="BN178" s="70"/>
      <c r="BO178" s="70"/>
      <c r="BP178" s="70"/>
      <c r="BQ178" s="70"/>
      <c r="BR178" s="70"/>
      <c r="BU178" t="s">
        <v>415</v>
      </c>
      <c r="BW178">
        <f>BV108</f>
        <v>0</v>
      </c>
      <c r="BX178">
        <f>BW108</f>
        <v>0</v>
      </c>
      <c r="BZ178">
        <f t="shared" si="114"/>
        <v>0</v>
      </c>
      <c r="CA178">
        <f t="shared" si="114"/>
        <v>0</v>
      </c>
      <c r="CX178" s="249" t="s">
        <v>1191</v>
      </c>
      <c r="DB178">
        <v>-1</v>
      </c>
      <c r="DD178" s="138" t="str">
        <f t="shared" ref="DD178:DD209" si="118">IF(ISERROR(DB178),"Daten fehlen",IF(DB178&lt;=0,"Daten fehlen",INDEX(etauswahl_vgl,DB178)))</f>
        <v>Daten fehlen</v>
      </c>
      <c r="DE178" s="138" t="str">
        <f t="shared" ref="DE178:DE238" si="119">IF(OR(DB178&lt;=0,DR178,DP178=0),IF(LEN(DS178)=0,"",DH178),DD178)</f>
        <v/>
      </c>
      <c r="DH178" s="138"/>
      <c r="DL178" t="s">
        <v>20</v>
      </c>
      <c r="DN178">
        <v>1</v>
      </c>
      <c r="DO178" s="249">
        <v>3</v>
      </c>
      <c r="DP178" s="249">
        <v>1</v>
      </c>
      <c r="DQ178" s="249">
        <v>173</v>
      </c>
      <c r="DR178" s="249" t="b">
        <v>0</v>
      </c>
      <c r="DS178" s="138"/>
      <c r="DT178" s="284"/>
      <c r="DW178" t="str">
        <f>IF(LEN(DT178)=0,"",IF(ISERROR(MATCH(DT178,N293:N1294,0)),DT178,VLOOKUP(DT178,N293:O1294,2,FALSE)))</f>
        <v/>
      </c>
      <c r="DZ178" s="138" t="str">
        <f t="shared" ref="DZ178:DZ241" si="120">IF(DR178,IF(LEN(DS178)=0,"",DS178),DW178)</f>
        <v/>
      </c>
      <c r="EB178">
        <v>0</v>
      </c>
      <c r="EC178">
        <f>IF(AND(LEN(DT178)&gt;0,ISERROR(DV178)),1,0)</f>
        <v>0</v>
      </c>
      <c r="ED178" s="138" t="str">
        <f t="shared" ref="ED178:ED241" si="121">IF(EB178&gt;0,"",DZ178)</f>
        <v/>
      </c>
      <c r="EF178" s="315" t="str">
        <f>ED178</f>
        <v/>
      </c>
      <c r="EH178" s="138">
        <f t="shared" ref="EH178:EH209" si="122">IF(DP178=0,0,IF(DZ178=ED178,0,1))</f>
        <v>0</v>
      </c>
      <c r="EJ178">
        <v>0</v>
      </c>
      <c r="EK178" s="57">
        <f t="shared" ref="EK178:EK209" si="123">IF(LEN(EF178)=0,0,1)</f>
        <v>0</v>
      </c>
      <c r="EM178">
        <f t="shared" ref="EM178:EM209" si="124">IF(OR(EK178=0,DR178,DP178=0),0,1)</f>
        <v>0</v>
      </c>
      <c r="EN178">
        <v>1</v>
      </c>
      <c r="EO178" s="65">
        <f t="shared" ref="EO178:EO209" si="125">SUMIF($DN$178:$DN$278,"="&amp;EN178,$EK$178:$EK$278)</f>
        <v>0</v>
      </c>
      <c r="EP178" s="65">
        <f t="shared" ref="EP178:EP209" si="126">SUMIF($DN$178:$DN$278,"="&amp;EN178,$EJ$178:$EJ$278)</f>
        <v>0</v>
      </c>
      <c r="EQ178" s="65">
        <v>1</v>
      </c>
      <c r="ER178" s="65">
        <v>178</v>
      </c>
      <c r="ES178" s="65">
        <v>178</v>
      </c>
      <c r="ET178" s="286">
        <v>1</v>
      </c>
      <c r="EU178" s="249" t="b">
        <v>0</v>
      </c>
      <c r="EV178" s="138" t="str">
        <f>IF(LEN(ED178)=0,"",ED178)</f>
        <v/>
      </c>
    </row>
    <row r="179" spans="19:153" ht="12.9" customHeight="1" thickBot="1" x14ac:dyDescent="0.25">
      <c r="S179" s="70"/>
      <c r="T179" s="280" t="s">
        <v>21</v>
      </c>
      <c r="U179" s="281"/>
      <c r="V179" s="281"/>
      <c r="W179" s="281"/>
      <c r="X179" s="282"/>
      <c r="Y179" s="457"/>
      <c r="Z179" s="458"/>
      <c r="AA179" s="458"/>
      <c r="AB179" s="458"/>
      <c r="AC179" s="458"/>
      <c r="AD179" s="459"/>
      <c r="AE179" s="283" t="str">
        <f t="shared" si="115"/>
        <v/>
      </c>
      <c r="AF179" s="393" t="str">
        <f t="shared" ca="1" si="116"/>
        <v>DATEN FEHLEN</v>
      </c>
      <c r="AG179" s="394"/>
      <c r="AH179" s="394"/>
      <c r="AI179" s="394"/>
      <c r="AJ179" s="394"/>
      <c r="AK179" s="394"/>
      <c r="AL179" s="394"/>
      <c r="AM179" s="394"/>
      <c r="AN179" s="394"/>
      <c r="AO179" s="442" t="str">
        <f t="shared" si="117"/>
        <v>ERÖFFNUNGSSPIEL</v>
      </c>
      <c r="AP179" s="442"/>
      <c r="AQ179" s="442"/>
      <c r="AR179" s="442"/>
      <c r="AS179" s="442"/>
      <c r="AT179" s="442"/>
      <c r="AU179" s="442"/>
      <c r="AV179" s="442"/>
      <c r="AW179" s="394"/>
      <c r="AX179" s="395"/>
      <c r="AY179" s="395"/>
      <c r="AZ179" s="394"/>
      <c r="BA179" s="394"/>
      <c r="BB179" s="395" t="str">
        <f>UPPER(CX179)</f>
        <v>10 PKT.</v>
      </c>
      <c r="BC179" s="70"/>
      <c r="BD179" s="70"/>
      <c r="BE179" s="70"/>
      <c r="BF179" s="70"/>
      <c r="BG179" s="70"/>
      <c r="BH179" s="70"/>
      <c r="BI179" s="70"/>
      <c r="BJ179" s="70"/>
      <c r="BK179" s="70"/>
      <c r="BL179" s="70"/>
      <c r="BM179" s="70"/>
      <c r="BN179" s="70"/>
      <c r="BO179" s="70"/>
      <c r="BP179" s="70"/>
      <c r="BQ179" s="70"/>
      <c r="BR179" s="70"/>
      <c r="BU179" t="s">
        <v>417</v>
      </c>
      <c r="BW179">
        <f>BV111</f>
        <v>0</v>
      </c>
      <c r="BX179">
        <f>BW111</f>
        <v>0</v>
      </c>
      <c r="BZ179">
        <f t="shared" si="114"/>
        <v>0</v>
      </c>
      <c r="CA179">
        <f t="shared" si="114"/>
        <v>0</v>
      </c>
      <c r="CX179" s="249" t="s">
        <v>1192</v>
      </c>
      <c r="DB179">
        <f ca="1">tabbermsp!M424</f>
        <v>-1</v>
      </c>
      <c r="DD179" s="138" t="str">
        <f t="shared" ca="1" si="118"/>
        <v>Daten fehlen</v>
      </c>
      <c r="DE179" s="138" t="str">
        <f t="shared" ca="1" si="119"/>
        <v/>
      </c>
      <c r="DH179" s="138"/>
      <c r="DL179" t="s">
        <v>22</v>
      </c>
      <c r="DN179">
        <v>2</v>
      </c>
      <c r="DO179" s="249">
        <v>3</v>
      </c>
      <c r="DP179" s="249">
        <v>1</v>
      </c>
      <c r="DQ179" s="249">
        <v>174</v>
      </c>
      <c r="DR179" s="249" t="b">
        <v>0</v>
      </c>
      <c r="DS179" s="138"/>
      <c r="DT179" s="138" t="str">
        <f t="shared" ref="DT179:DT210" si="127">IF(LEN(Y179)=0,"",Y179)</f>
        <v/>
      </c>
      <c r="DU179" t="s">
        <v>23</v>
      </c>
      <c r="DV179" s="287" t="e">
        <f t="shared" ref="DV179:DV210" si="128">MATCH(DT179,etauswahl_vgl,0)</f>
        <v>#N/A</v>
      </c>
      <c r="DW179" s="287" t="str">
        <f t="shared" ref="DW179:DW242" si="129">IF(ISERROR(DV179),"",DV179)</f>
        <v/>
      </c>
      <c r="DZ179" s="138" t="str">
        <f t="shared" si="120"/>
        <v/>
      </c>
      <c r="EB179">
        <v>0</v>
      </c>
      <c r="EC179">
        <f t="shared" ref="EC179:EC242" si="130">IF(AND(LEN(DT179)&gt;0,ISERROR(DV179)),1,0)</f>
        <v>0</v>
      </c>
      <c r="ED179" s="138" t="str">
        <f t="shared" si="121"/>
        <v/>
      </c>
      <c r="EF179" s="285" t="str">
        <f>IF(LEN(ED179)=0,"",IF(ED179=0,"",ED179))</f>
        <v/>
      </c>
      <c r="EH179" s="138">
        <f t="shared" si="122"/>
        <v>0</v>
      </c>
      <c r="EJ179">
        <v>0</v>
      </c>
      <c r="EK179" s="57">
        <f t="shared" si="123"/>
        <v>0</v>
      </c>
      <c r="EM179">
        <f t="shared" si="124"/>
        <v>0</v>
      </c>
      <c r="EN179">
        <v>2</v>
      </c>
      <c r="EO179" s="65">
        <f t="shared" si="125"/>
        <v>0</v>
      </c>
      <c r="EP179" s="65">
        <f t="shared" si="126"/>
        <v>0</v>
      </c>
      <c r="EQ179" s="65">
        <v>1</v>
      </c>
      <c r="ER179" s="65">
        <v>179</v>
      </c>
      <c r="ES179" s="65">
        <v>179</v>
      </c>
      <c r="ET179" s="286">
        <v>1</v>
      </c>
      <c r="EU179" s="249" t="b">
        <v>0</v>
      </c>
      <c r="EV179" s="288" t="str">
        <f t="shared" ref="EV179:EV210" si="131">IF(LEN(ED179)=0,"",INDEX(etauswahl_vgl,ED179))</f>
        <v/>
      </c>
      <c r="EW179" t="s">
        <v>23</v>
      </c>
    </row>
    <row r="180" spans="19:153" ht="12.9" customHeight="1" thickBot="1" x14ac:dyDescent="0.25">
      <c r="S180" s="70"/>
      <c r="T180" s="280" t="s">
        <v>24</v>
      </c>
      <c r="U180" s="281"/>
      <c r="V180" s="281"/>
      <c r="W180" s="281"/>
      <c r="X180" s="282"/>
      <c r="Y180" s="457"/>
      <c r="Z180" s="458"/>
      <c r="AA180" s="458"/>
      <c r="AB180" s="458"/>
      <c r="AC180" s="458"/>
      <c r="AD180" s="459"/>
      <c r="AE180" s="283" t="str">
        <f t="shared" si="115"/>
        <v/>
      </c>
      <c r="AF180" s="393" t="str">
        <f t="shared" ca="1" si="116"/>
        <v>DATEN FEHLEN</v>
      </c>
      <c r="AG180" s="394"/>
      <c r="AH180" s="394"/>
      <c r="AI180" s="394"/>
      <c r="AJ180" s="394"/>
      <c r="AK180" s="394"/>
      <c r="AL180" s="394"/>
      <c r="AM180" s="394"/>
      <c r="AN180" s="394"/>
      <c r="AO180" s="442" t="str">
        <f t="shared" si="117"/>
        <v>ERÖFFNUNGSSPIEL</v>
      </c>
      <c r="AP180" s="442"/>
      <c r="AQ180" s="442"/>
      <c r="AR180" s="442"/>
      <c r="AS180" s="442"/>
      <c r="AT180" s="442"/>
      <c r="AU180" s="442"/>
      <c r="AV180" s="442"/>
      <c r="AW180" s="394"/>
      <c r="AX180" s="395"/>
      <c r="AY180" s="395"/>
      <c r="AZ180" s="394"/>
      <c r="BA180" s="394"/>
      <c r="BB180" s="395" t="str">
        <f>UPPER(CX180)</f>
        <v>5 PKT.</v>
      </c>
      <c r="BC180" s="70"/>
      <c r="BD180" s="70"/>
      <c r="BE180" s="70"/>
      <c r="BF180" s="70"/>
      <c r="BG180" s="70"/>
      <c r="BH180" s="70"/>
      <c r="BI180" s="70"/>
      <c r="BJ180" s="70"/>
      <c r="BK180" s="70"/>
      <c r="BL180" s="70"/>
      <c r="BM180" s="70"/>
      <c r="BN180" s="70"/>
      <c r="BO180" s="70"/>
      <c r="BP180" s="70"/>
      <c r="BQ180" s="70"/>
      <c r="BR180" s="70"/>
      <c r="BU180" t="s">
        <v>419</v>
      </c>
      <c r="BW180">
        <f>BV114</f>
        <v>0</v>
      </c>
      <c r="BX180">
        <f>BW114</f>
        <v>0</v>
      </c>
      <c r="BZ180">
        <f t="shared" si="114"/>
        <v>0</v>
      </c>
      <c r="CA180">
        <f t="shared" si="114"/>
        <v>0</v>
      </c>
      <c r="CX180" s="249" t="s">
        <v>1193</v>
      </c>
      <c r="DB180">
        <f ca="1">tabbermsp!M425</f>
        <v>-1</v>
      </c>
      <c r="DD180" s="138" t="str">
        <f t="shared" ca="1" si="118"/>
        <v>Daten fehlen</v>
      </c>
      <c r="DE180" s="138" t="str">
        <f t="shared" ca="1" si="119"/>
        <v/>
      </c>
      <c r="DH180" s="138"/>
      <c r="DL180" t="s">
        <v>25</v>
      </c>
      <c r="DN180">
        <v>3</v>
      </c>
      <c r="DO180" s="249">
        <v>3</v>
      </c>
      <c r="DP180" s="249">
        <v>1</v>
      </c>
      <c r="DQ180" s="249">
        <v>175</v>
      </c>
      <c r="DR180" s="249" t="b">
        <v>0</v>
      </c>
      <c r="DS180" s="138"/>
      <c r="DT180" s="138" t="str">
        <f t="shared" si="127"/>
        <v/>
      </c>
      <c r="DU180" t="s">
        <v>23</v>
      </c>
      <c r="DV180" s="287" t="e">
        <f t="shared" si="128"/>
        <v>#N/A</v>
      </c>
      <c r="DW180" s="287" t="str">
        <f t="shared" si="129"/>
        <v/>
      </c>
      <c r="DZ180" s="138" t="str">
        <f t="shared" si="120"/>
        <v/>
      </c>
      <c r="EB180">
        <v>0</v>
      </c>
      <c r="EC180">
        <f t="shared" si="130"/>
        <v>0</v>
      </c>
      <c r="ED180" s="138" t="str">
        <f t="shared" si="121"/>
        <v/>
      </c>
      <c r="EF180" s="285" t="str">
        <f t="shared" ref="EF180:EF243" si="132">IF(LEN(ED180)=0,"",IF(ED180=0,"",ED180))</f>
        <v/>
      </c>
      <c r="EH180" s="138">
        <f t="shared" si="122"/>
        <v>0</v>
      </c>
      <c r="EJ180">
        <v>0</v>
      </c>
      <c r="EK180" s="57">
        <f t="shared" si="123"/>
        <v>0</v>
      </c>
      <c r="EM180">
        <f t="shared" si="124"/>
        <v>0</v>
      </c>
      <c r="EN180">
        <v>3</v>
      </c>
      <c r="EO180" s="65">
        <f t="shared" si="125"/>
        <v>0</v>
      </c>
      <c r="EP180" s="65">
        <f t="shared" si="126"/>
        <v>0</v>
      </c>
      <c r="EQ180" s="65">
        <v>1</v>
      </c>
      <c r="ER180" s="65">
        <v>180</v>
      </c>
      <c r="ES180" s="65">
        <v>180</v>
      </c>
      <c r="ET180" s="286">
        <v>1</v>
      </c>
      <c r="EU180" s="249" t="b">
        <v>0</v>
      </c>
      <c r="EV180" s="288" t="str">
        <f t="shared" si="131"/>
        <v/>
      </c>
      <c r="EW180" t="s">
        <v>23</v>
      </c>
    </row>
    <row r="181" spans="19:153" ht="12.9" hidden="1" customHeight="1" thickBot="1" x14ac:dyDescent="0.25">
      <c r="S181" s="70"/>
      <c r="T181" s="280" t="s">
        <v>26</v>
      </c>
      <c r="U181" s="281"/>
      <c r="V181" s="281"/>
      <c r="W181" s="281"/>
      <c r="X181" s="282"/>
      <c r="Y181" s="633"/>
      <c r="Z181" s="634"/>
      <c r="AA181" s="634"/>
      <c r="AB181" s="634"/>
      <c r="AC181" s="634"/>
      <c r="AD181" s="635"/>
      <c r="AE181" s="283" t="str">
        <f t="shared" si="115"/>
        <v>ˣ</v>
      </c>
      <c r="AF181" s="393" t="str">
        <f t="shared" si="116"/>
        <v>DATEN FEHLEN</v>
      </c>
      <c r="AG181" s="394"/>
      <c r="AH181" s="394"/>
      <c r="AI181" s="394"/>
      <c r="AJ181" s="394"/>
      <c r="AK181" s="394"/>
      <c r="AL181" s="394"/>
      <c r="AM181" s="394"/>
      <c r="AN181" s="394"/>
      <c r="AO181" s="442" t="str">
        <f t="shared" si="117"/>
        <v>KEINE PRÜFUNG</v>
      </c>
      <c r="AP181" s="442"/>
      <c r="AQ181" s="442"/>
      <c r="AR181" s="442"/>
      <c r="AS181" s="442"/>
      <c r="AT181" s="442"/>
      <c r="AU181" s="442"/>
      <c r="AV181" s="442"/>
      <c r="AW181" s="396"/>
      <c r="AX181" s="397"/>
      <c r="AY181" s="397"/>
      <c r="AZ181" s="396"/>
      <c r="BA181" s="396"/>
      <c r="BB181" s="397" t="str">
        <f>UPPER(CX181)</f>
        <v>0 PKT.</v>
      </c>
      <c r="BC181" s="70"/>
      <c r="BD181" s="70"/>
      <c r="BE181" s="70"/>
      <c r="BF181" s="70"/>
      <c r="BG181" s="70"/>
      <c r="BH181" s="70"/>
      <c r="BI181" s="70"/>
      <c r="BJ181" s="70"/>
      <c r="BK181" s="70"/>
      <c r="BL181" s="70"/>
      <c r="BM181" s="70"/>
      <c r="BN181" s="70"/>
      <c r="BO181" s="70"/>
      <c r="BP181" s="70"/>
      <c r="BQ181" s="70"/>
      <c r="BR181" s="70"/>
      <c r="BU181" t="s">
        <v>421</v>
      </c>
      <c r="BW181">
        <f>BV117</f>
        <v>0</v>
      </c>
      <c r="BX181">
        <f>BW117</f>
        <v>0</v>
      </c>
      <c r="BZ181">
        <f t="shared" si="114"/>
        <v>0</v>
      </c>
      <c r="CA181">
        <f t="shared" si="114"/>
        <v>0</v>
      </c>
      <c r="CX181" s="249" t="s">
        <v>19</v>
      </c>
      <c r="DB181">
        <f>tabbermsp!M426</f>
        <v>-1</v>
      </c>
      <c r="DD181" s="138" t="str">
        <f t="shared" si="118"/>
        <v>Daten fehlen</v>
      </c>
      <c r="DE181" s="138" t="str">
        <f t="shared" si="119"/>
        <v/>
      </c>
      <c r="DH181" s="138"/>
      <c r="DL181" t="s">
        <v>27</v>
      </c>
      <c r="DN181">
        <v>4</v>
      </c>
      <c r="DO181" s="249">
        <v>1</v>
      </c>
      <c r="DP181" s="249">
        <v>0</v>
      </c>
      <c r="DQ181" s="249">
        <v>0</v>
      </c>
      <c r="DR181" s="249" t="b">
        <v>1</v>
      </c>
      <c r="DS181" s="138"/>
      <c r="DT181" s="138" t="str">
        <f t="shared" si="127"/>
        <v/>
      </c>
      <c r="DU181" t="s">
        <v>23</v>
      </c>
      <c r="DV181" s="287" t="e">
        <f t="shared" si="128"/>
        <v>#N/A</v>
      </c>
      <c r="DW181" s="287" t="str">
        <f t="shared" si="129"/>
        <v/>
      </c>
      <c r="DZ181" s="138" t="str">
        <f t="shared" si="120"/>
        <v/>
      </c>
      <c r="EB181">
        <v>0</v>
      </c>
      <c r="EC181">
        <f t="shared" si="130"/>
        <v>0</v>
      </c>
      <c r="ED181" s="138" t="str">
        <f t="shared" si="121"/>
        <v/>
      </c>
      <c r="EF181" s="285" t="str">
        <f t="shared" si="132"/>
        <v/>
      </c>
      <c r="EH181" s="138">
        <f t="shared" si="122"/>
        <v>0</v>
      </c>
      <c r="EJ181">
        <v>0</v>
      </c>
      <c r="EK181" s="57">
        <f t="shared" si="123"/>
        <v>0</v>
      </c>
      <c r="EM181">
        <f t="shared" si="124"/>
        <v>0</v>
      </c>
      <c r="EN181">
        <v>4</v>
      </c>
      <c r="EO181" s="65">
        <f t="shared" si="125"/>
        <v>0</v>
      </c>
      <c r="EP181" s="65">
        <f t="shared" si="126"/>
        <v>0</v>
      </c>
      <c r="EQ181" s="65">
        <v>1</v>
      </c>
      <c r="ER181" s="65">
        <v>181</v>
      </c>
      <c r="ES181" s="65">
        <v>181</v>
      </c>
      <c r="ET181" s="286">
        <v>0</v>
      </c>
      <c r="EU181" s="249" t="b">
        <v>1</v>
      </c>
      <c r="EV181" s="288" t="str">
        <f t="shared" si="131"/>
        <v/>
      </c>
      <c r="EW181" t="s">
        <v>23</v>
      </c>
    </row>
    <row r="182" spans="19:153" ht="12.9" hidden="1" customHeight="1" thickBot="1" x14ac:dyDescent="0.25">
      <c r="S182" s="70"/>
      <c r="T182" s="280" t="s">
        <v>28</v>
      </c>
      <c r="U182" s="281"/>
      <c r="V182" s="281"/>
      <c r="W182" s="281"/>
      <c r="X182" s="282"/>
      <c r="Y182" s="633"/>
      <c r="Z182" s="634"/>
      <c r="AA182" s="634"/>
      <c r="AB182" s="634"/>
      <c r="AC182" s="634"/>
      <c r="AD182" s="635"/>
      <c r="AE182" s="283" t="str">
        <f t="shared" si="115"/>
        <v>ˣ</v>
      </c>
      <c r="AF182" s="393" t="str">
        <f t="shared" si="116"/>
        <v>DATEN FEHLEN</v>
      </c>
      <c r="AG182" s="394"/>
      <c r="AH182" s="394"/>
      <c r="AI182" s="394"/>
      <c r="AJ182" s="394"/>
      <c r="AK182" s="394"/>
      <c r="AL182" s="394"/>
      <c r="AM182" s="394"/>
      <c r="AN182" s="394"/>
      <c r="AO182" s="442" t="str">
        <f t="shared" si="117"/>
        <v>KEINE PRÜFUNG</v>
      </c>
      <c r="AP182" s="442"/>
      <c r="AQ182" s="442"/>
      <c r="AR182" s="442"/>
      <c r="AS182" s="442"/>
      <c r="AT182" s="442"/>
      <c r="AU182" s="442"/>
      <c r="AV182" s="442"/>
      <c r="AW182" s="394"/>
      <c r="AX182" s="395"/>
      <c r="AY182" s="395"/>
      <c r="AZ182" s="394"/>
      <c r="BA182" s="394"/>
      <c r="BB182" s="395" t="str">
        <f>UPPER(CX182)</f>
        <v>0 PKT.</v>
      </c>
      <c r="BC182" s="70"/>
      <c r="BD182" s="70"/>
      <c r="BE182" s="70"/>
      <c r="BF182" s="70"/>
      <c r="BG182" s="70"/>
      <c r="BH182" s="70"/>
      <c r="BI182" s="70"/>
      <c r="BJ182" s="70"/>
      <c r="BK182" s="70"/>
      <c r="BL182" s="70"/>
      <c r="BM182" s="70"/>
      <c r="BN182" s="70"/>
      <c r="BO182" s="70"/>
      <c r="BP182" s="70"/>
      <c r="BQ182" s="70"/>
      <c r="BR182" s="70"/>
      <c r="BU182" t="s">
        <v>422</v>
      </c>
      <c r="BW182">
        <f>BV120</f>
        <v>0</v>
      </c>
      <c r="BX182">
        <f>BW120</f>
        <v>0</v>
      </c>
      <c r="BZ182">
        <f t="shared" si="114"/>
        <v>0</v>
      </c>
      <c r="CA182">
        <f t="shared" si="114"/>
        <v>0</v>
      </c>
      <c r="CX182" s="249" t="s">
        <v>19</v>
      </c>
      <c r="DB182">
        <f>tabbermsp!M427</f>
        <v>-1</v>
      </c>
      <c r="DD182" s="138" t="str">
        <f t="shared" si="118"/>
        <v>Daten fehlen</v>
      </c>
      <c r="DE182" s="138" t="str">
        <f t="shared" si="119"/>
        <v/>
      </c>
      <c r="DH182" s="138"/>
      <c r="DL182" t="s">
        <v>29</v>
      </c>
      <c r="DN182">
        <v>5</v>
      </c>
      <c r="DO182" s="249">
        <v>1</v>
      </c>
      <c r="DP182" s="249">
        <v>0</v>
      </c>
      <c r="DQ182" s="249">
        <v>0</v>
      </c>
      <c r="DR182" s="249" t="b">
        <v>1</v>
      </c>
      <c r="DS182" s="138"/>
      <c r="DT182" s="138" t="str">
        <f t="shared" si="127"/>
        <v/>
      </c>
      <c r="DU182" t="s">
        <v>23</v>
      </c>
      <c r="DV182" s="287" t="e">
        <f t="shared" si="128"/>
        <v>#N/A</v>
      </c>
      <c r="DW182" s="287" t="str">
        <f t="shared" si="129"/>
        <v/>
      </c>
      <c r="DZ182" s="138" t="str">
        <f t="shared" si="120"/>
        <v/>
      </c>
      <c r="EB182">
        <v>0</v>
      </c>
      <c r="EC182">
        <f t="shared" si="130"/>
        <v>0</v>
      </c>
      <c r="ED182" s="138" t="str">
        <f t="shared" si="121"/>
        <v/>
      </c>
      <c r="EF182" s="285" t="str">
        <f t="shared" si="132"/>
        <v/>
      </c>
      <c r="EH182" s="138">
        <f t="shared" si="122"/>
        <v>0</v>
      </c>
      <c r="EJ182">
        <v>0</v>
      </c>
      <c r="EK182" s="57">
        <f t="shared" si="123"/>
        <v>0</v>
      </c>
      <c r="EM182">
        <f t="shared" si="124"/>
        <v>0</v>
      </c>
      <c r="EN182">
        <v>5</v>
      </c>
      <c r="EO182" s="65">
        <f t="shared" si="125"/>
        <v>0</v>
      </c>
      <c r="EP182" s="65">
        <f t="shared" si="126"/>
        <v>0</v>
      </c>
      <c r="EQ182" s="65">
        <v>1</v>
      </c>
      <c r="ER182" s="65">
        <v>182</v>
      </c>
      <c r="ES182" s="65">
        <v>182</v>
      </c>
      <c r="ET182" s="286">
        <v>0</v>
      </c>
      <c r="EU182" s="249" t="b">
        <v>1</v>
      </c>
      <c r="EV182" s="288" t="str">
        <f t="shared" si="131"/>
        <v/>
      </c>
      <c r="EW182" t="s">
        <v>23</v>
      </c>
    </row>
    <row r="183" spans="19:153" ht="12.9" hidden="1" customHeight="1" thickBot="1" x14ac:dyDescent="0.25">
      <c r="S183" s="70"/>
      <c r="T183" s="446" t="s">
        <v>30</v>
      </c>
      <c r="U183" s="447"/>
      <c r="V183" s="447"/>
      <c r="W183" s="447"/>
      <c r="X183" s="453"/>
      <c r="Y183" s="636"/>
      <c r="Z183" s="637"/>
      <c r="AA183" s="637"/>
      <c r="AB183" s="637"/>
      <c r="AC183" s="637"/>
      <c r="AD183" s="638"/>
      <c r="AE183" s="283" t="str">
        <f t="shared" si="115"/>
        <v>ˣ</v>
      </c>
      <c r="AF183" s="398" t="str">
        <f t="shared" ca="1" si="116"/>
        <v>DATEN FEHLEN</v>
      </c>
      <c r="AG183" s="399"/>
      <c r="AH183" s="399"/>
      <c r="AI183" s="399"/>
      <c r="AJ183" s="399"/>
      <c r="AK183" s="399"/>
      <c r="AL183" s="399"/>
      <c r="AM183" s="399"/>
      <c r="AN183" s="399"/>
      <c r="AO183" s="442" t="str">
        <f t="shared" si="117"/>
        <v>KEINE PRÜFUNG</v>
      </c>
      <c r="AP183" s="442"/>
      <c r="AQ183" s="442"/>
      <c r="AR183" s="442"/>
      <c r="AS183" s="442"/>
      <c r="AT183" s="442"/>
      <c r="AU183" s="442"/>
      <c r="AV183" s="442"/>
      <c r="AW183" s="430" t="str">
        <f>UPPER(CX183)</f>
        <v>0 PKT.</v>
      </c>
      <c r="AX183" s="430"/>
      <c r="AY183" s="430"/>
      <c r="AZ183" s="430"/>
      <c r="BA183" s="430"/>
      <c r="BB183" s="430"/>
      <c r="BC183" s="70"/>
      <c r="BD183" s="70"/>
      <c r="BE183" s="70"/>
      <c r="BF183" s="70"/>
      <c r="BG183" s="70"/>
      <c r="BH183" s="70"/>
      <c r="BI183" s="70"/>
      <c r="BJ183" s="70"/>
      <c r="BK183" s="70"/>
      <c r="BL183" s="70"/>
      <c r="BM183" s="70"/>
      <c r="BN183" s="70"/>
      <c r="BO183" s="70"/>
      <c r="BP183" s="70"/>
      <c r="BQ183" s="70"/>
      <c r="BR183" s="70"/>
      <c r="BU183" t="s">
        <v>423</v>
      </c>
      <c r="BW183">
        <f>BV130</f>
        <v>0</v>
      </c>
      <c r="BX183">
        <f>BW130</f>
        <v>0</v>
      </c>
      <c r="BZ183">
        <f t="shared" ref="BZ183:CA186" si="133">IF(COUNTIF($BW$183:$BX$186,"="&amp;BW183)&gt;1,0,BW183)</f>
        <v>0</v>
      </c>
      <c r="CA183">
        <f t="shared" si="133"/>
        <v>0</v>
      </c>
      <c r="CX183" s="249" t="s">
        <v>19</v>
      </c>
      <c r="DB183">
        <f ca="1">tabbermsp!L422</f>
        <v>-1</v>
      </c>
      <c r="DD183" s="138" t="str">
        <f t="shared" ca="1" si="118"/>
        <v>Daten fehlen</v>
      </c>
      <c r="DE183" s="138" t="str">
        <f t="shared" ca="1" si="119"/>
        <v/>
      </c>
      <c r="DH183" s="138"/>
      <c r="DL183" t="s">
        <v>31</v>
      </c>
      <c r="DN183">
        <v>6</v>
      </c>
      <c r="DO183" s="249">
        <v>1</v>
      </c>
      <c r="DP183" s="249">
        <v>0</v>
      </c>
      <c r="DQ183" s="249">
        <v>0</v>
      </c>
      <c r="DR183" s="249" t="b">
        <v>1</v>
      </c>
      <c r="DS183" s="138"/>
      <c r="DT183" s="138" t="str">
        <f t="shared" si="127"/>
        <v/>
      </c>
      <c r="DU183" t="s">
        <v>23</v>
      </c>
      <c r="DV183" s="287" t="e">
        <f t="shared" si="128"/>
        <v>#N/A</v>
      </c>
      <c r="DW183" s="287" t="str">
        <f t="shared" si="129"/>
        <v/>
      </c>
      <c r="DZ183" s="138" t="str">
        <f t="shared" si="120"/>
        <v/>
      </c>
      <c r="EB183" s="289"/>
      <c r="EC183">
        <f t="shared" si="130"/>
        <v>0</v>
      </c>
      <c r="ED183" s="138" t="str">
        <f t="shared" si="121"/>
        <v/>
      </c>
      <c r="EF183" s="285" t="str">
        <f t="shared" si="132"/>
        <v/>
      </c>
      <c r="EH183" s="138">
        <f t="shared" si="122"/>
        <v>0</v>
      </c>
      <c r="EJ183">
        <v>0</v>
      </c>
      <c r="EK183" s="57">
        <f t="shared" si="123"/>
        <v>0</v>
      </c>
      <c r="EM183">
        <f t="shared" si="124"/>
        <v>0</v>
      </c>
      <c r="EN183">
        <v>6</v>
      </c>
      <c r="EO183" s="65">
        <f t="shared" si="125"/>
        <v>0</v>
      </c>
      <c r="EP183" s="65">
        <f t="shared" si="126"/>
        <v>0</v>
      </c>
      <c r="EQ183" s="65">
        <v>2</v>
      </c>
      <c r="ER183" s="65">
        <v>183</v>
      </c>
      <c r="ES183" s="65">
        <v>184</v>
      </c>
      <c r="ET183" s="286">
        <v>0</v>
      </c>
      <c r="EU183" s="249" t="b">
        <v>1</v>
      </c>
      <c r="EV183" s="288" t="str">
        <f t="shared" si="131"/>
        <v/>
      </c>
      <c r="EW183" t="s">
        <v>23</v>
      </c>
    </row>
    <row r="184" spans="19:153" ht="12.9" hidden="1" customHeight="1" thickBot="1" x14ac:dyDescent="0.25">
      <c r="S184" s="70"/>
      <c r="T184" s="449"/>
      <c r="U184" s="450"/>
      <c r="V184" s="450"/>
      <c r="W184" s="450"/>
      <c r="X184" s="454"/>
      <c r="Y184" s="639"/>
      <c r="Z184" s="640"/>
      <c r="AA184" s="640"/>
      <c r="AB184" s="640"/>
      <c r="AC184" s="640"/>
      <c r="AD184" s="641"/>
      <c r="AE184" s="283" t="str">
        <f t="shared" si="115"/>
        <v>ˣ</v>
      </c>
      <c r="AF184" s="400" t="str">
        <f t="shared" ca="1" si="116"/>
        <v>DATEN FEHLEN</v>
      </c>
      <c r="AG184" s="396"/>
      <c r="AH184" s="396"/>
      <c r="AI184" s="396"/>
      <c r="AJ184" s="396"/>
      <c r="AK184" s="396"/>
      <c r="AL184" s="396"/>
      <c r="AM184" s="396"/>
      <c r="AN184" s="396"/>
      <c r="AO184" s="442"/>
      <c r="AP184" s="442"/>
      <c r="AQ184" s="442"/>
      <c r="AR184" s="442"/>
      <c r="AS184" s="442"/>
      <c r="AT184" s="442"/>
      <c r="AU184" s="442"/>
      <c r="AV184" s="442"/>
      <c r="AW184" s="431"/>
      <c r="AX184" s="431"/>
      <c r="AY184" s="431"/>
      <c r="AZ184" s="431"/>
      <c r="BA184" s="431"/>
      <c r="BB184" s="431"/>
      <c r="BC184" s="70"/>
      <c r="BD184" s="70"/>
      <c r="BE184" s="70"/>
      <c r="BF184" s="70"/>
      <c r="BG184" s="70"/>
      <c r="BH184" s="70"/>
      <c r="BI184" s="70"/>
      <c r="BJ184" s="70"/>
      <c r="BK184" s="70"/>
      <c r="BL184" s="70"/>
      <c r="BM184" s="70"/>
      <c r="BN184" s="70"/>
      <c r="BO184" s="70"/>
      <c r="BP184" s="70"/>
      <c r="BQ184" s="70"/>
      <c r="BR184" s="70"/>
      <c r="BU184" t="s">
        <v>425</v>
      </c>
      <c r="BW184">
        <f>BV133</f>
        <v>0</v>
      </c>
      <c r="BX184">
        <f>BW133</f>
        <v>0</v>
      </c>
      <c r="BZ184">
        <f t="shared" si="133"/>
        <v>0</v>
      </c>
      <c r="CA184">
        <f t="shared" si="133"/>
        <v>0</v>
      </c>
      <c r="CX184" s="249" t="s">
        <v>19</v>
      </c>
      <c r="DB184">
        <f ca="1">tabbermsp!M422</f>
        <v>-1</v>
      </c>
      <c r="DD184" s="138" t="str">
        <f t="shared" ca="1" si="118"/>
        <v>Daten fehlen</v>
      </c>
      <c r="DE184" s="138" t="str">
        <f t="shared" ca="1" si="119"/>
        <v/>
      </c>
      <c r="DH184" s="138"/>
      <c r="DN184">
        <v>6</v>
      </c>
      <c r="DO184" s="249">
        <v>1</v>
      </c>
      <c r="DP184" s="249">
        <v>0</v>
      </c>
      <c r="DQ184" s="249">
        <v>0</v>
      </c>
      <c r="DR184" s="249" t="b">
        <v>1</v>
      </c>
      <c r="DS184" s="138"/>
      <c r="DT184" s="138" t="str">
        <f t="shared" si="127"/>
        <v/>
      </c>
      <c r="DU184" t="s">
        <v>23</v>
      </c>
      <c r="DV184" s="287" t="e">
        <f t="shared" si="128"/>
        <v>#N/A</v>
      </c>
      <c r="DW184" s="287" t="str">
        <f t="shared" si="129"/>
        <v/>
      </c>
      <c r="DZ184" s="138" t="str">
        <f t="shared" si="120"/>
        <v/>
      </c>
      <c r="EB184" s="290">
        <f>IF(DZ184=DZ183,1,0)</f>
        <v>1</v>
      </c>
      <c r="EC184">
        <f t="shared" si="130"/>
        <v>0</v>
      </c>
      <c r="ED184" s="138" t="str">
        <f t="shared" si="121"/>
        <v/>
      </c>
      <c r="EF184" s="285" t="str">
        <f t="shared" si="132"/>
        <v/>
      </c>
      <c r="EH184" s="138">
        <f t="shared" si="122"/>
        <v>0</v>
      </c>
      <c r="EJ184">
        <v>0</v>
      </c>
      <c r="EK184" s="57">
        <f t="shared" si="123"/>
        <v>0</v>
      </c>
      <c r="EM184">
        <f t="shared" si="124"/>
        <v>0</v>
      </c>
      <c r="EN184">
        <v>7</v>
      </c>
      <c r="EO184" s="65">
        <f t="shared" si="125"/>
        <v>0</v>
      </c>
      <c r="EP184" s="65">
        <f t="shared" si="126"/>
        <v>0</v>
      </c>
      <c r="EQ184" s="65">
        <v>2</v>
      </c>
      <c r="ER184" s="65">
        <v>185</v>
      </c>
      <c r="ES184" s="65">
        <v>186</v>
      </c>
      <c r="ET184" s="286">
        <v>0</v>
      </c>
      <c r="EU184" s="249" t="b">
        <v>1</v>
      </c>
      <c r="EV184" s="288" t="str">
        <f t="shared" si="131"/>
        <v/>
      </c>
      <c r="EW184" t="s">
        <v>23</v>
      </c>
    </row>
    <row r="185" spans="19:153" ht="12.9" hidden="1" customHeight="1" thickBot="1" x14ac:dyDescent="0.25">
      <c r="S185" s="70"/>
      <c r="T185" s="446" t="s">
        <v>32</v>
      </c>
      <c r="U185" s="447"/>
      <c r="V185" s="447"/>
      <c r="W185" s="447"/>
      <c r="X185" s="453"/>
      <c r="Y185" s="636"/>
      <c r="Z185" s="637"/>
      <c r="AA185" s="637"/>
      <c r="AB185" s="637"/>
      <c r="AC185" s="637"/>
      <c r="AD185" s="638"/>
      <c r="AE185" s="283" t="str">
        <f t="shared" si="115"/>
        <v>ˣ</v>
      </c>
      <c r="AF185" s="388" t="str">
        <f t="shared" ca="1" si="116"/>
        <v>DATEN FEHLEN</v>
      </c>
      <c r="AG185" s="391"/>
      <c r="AH185" s="391"/>
      <c r="AI185" s="391"/>
      <c r="AJ185" s="391"/>
      <c r="AK185" s="391"/>
      <c r="AL185" s="391"/>
      <c r="AM185" s="391"/>
      <c r="AN185" s="391"/>
      <c r="AO185" s="442" t="str">
        <f>UPPER(INDEX($AU$292:$AU$301,DO185))</f>
        <v>KEINE PRÜFUNG</v>
      </c>
      <c r="AP185" s="442"/>
      <c r="AQ185" s="442"/>
      <c r="AR185" s="442"/>
      <c r="AS185" s="442"/>
      <c r="AT185" s="442"/>
      <c r="AU185" s="442"/>
      <c r="AV185" s="442"/>
      <c r="AW185" s="430" t="str">
        <f>UPPER(CX185)</f>
        <v>0 PKT.</v>
      </c>
      <c r="AX185" s="430"/>
      <c r="AY185" s="430"/>
      <c r="AZ185" s="430"/>
      <c r="BA185" s="430"/>
      <c r="BB185" s="430"/>
      <c r="BC185" s="70"/>
      <c r="BD185" s="70"/>
      <c r="BE185" s="70"/>
      <c r="BF185" s="70"/>
      <c r="BG185" s="70"/>
      <c r="BH185" s="70"/>
      <c r="BI185" s="70"/>
      <c r="BJ185" s="70"/>
      <c r="BK185" s="70"/>
      <c r="BL185" s="70"/>
      <c r="BM185" s="70"/>
      <c r="BN185" s="70"/>
      <c r="BO185" s="70"/>
      <c r="BP185" s="70"/>
      <c r="BQ185" s="70"/>
      <c r="BR185" s="70"/>
      <c r="BU185" t="s">
        <v>427</v>
      </c>
      <c r="BW185">
        <f>BV136</f>
        <v>0</v>
      </c>
      <c r="BX185">
        <f>BW136</f>
        <v>0</v>
      </c>
      <c r="BZ185">
        <f t="shared" si="133"/>
        <v>0</v>
      </c>
      <c r="CA185">
        <f t="shared" si="133"/>
        <v>0</v>
      </c>
      <c r="CX185" s="249" t="s">
        <v>19</v>
      </c>
      <c r="DB185">
        <f ca="1">tabbermsp!L421</f>
        <v>-1</v>
      </c>
      <c r="DD185" s="138" t="str">
        <f t="shared" ca="1" si="118"/>
        <v>Daten fehlen</v>
      </c>
      <c r="DE185" s="138" t="str">
        <f t="shared" ca="1" si="119"/>
        <v/>
      </c>
      <c r="DH185" s="138"/>
      <c r="DL185" t="s">
        <v>33</v>
      </c>
      <c r="DN185">
        <v>7</v>
      </c>
      <c r="DO185" s="249">
        <v>1</v>
      </c>
      <c r="DP185" s="249">
        <v>0</v>
      </c>
      <c r="DQ185" s="249">
        <v>0</v>
      </c>
      <c r="DR185" s="249" t="b">
        <v>1</v>
      </c>
      <c r="DS185" s="138"/>
      <c r="DT185" s="138" t="str">
        <f t="shared" si="127"/>
        <v/>
      </c>
      <c r="DU185" t="s">
        <v>23</v>
      </c>
      <c r="DV185" s="287" t="e">
        <f t="shared" si="128"/>
        <v>#N/A</v>
      </c>
      <c r="DW185" s="287" t="str">
        <f t="shared" si="129"/>
        <v/>
      </c>
      <c r="DZ185" s="138" t="str">
        <f t="shared" si="120"/>
        <v/>
      </c>
      <c r="EB185" s="289"/>
      <c r="EC185">
        <f t="shared" si="130"/>
        <v>0</v>
      </c>
      <c r="ED185" s="138" t="str">
        <f t="shared" si="121"/>
        <v/>
      </c>
      <c r="EF185" s="285" t="str">
        <f t="shared" si="132"/>
        <v/>
      </c>
      <c r="EH185" s="138">
        <f t="shared" si="122"/>
        <v>0</v>
      </c>
      <c r="EJ185">
        <v>0</v>
      </c>
      <c r="EK185" s="57">
        <f t="shared" si="123"/>
        <v>0</v>
      </c>
      <c r="EM185">
        <f t="shared" si="124"/>
        <v>0</v>
      </c>
      <c r="EN185">
        <v>8</v>
      </c>
      <c r="EO185" s="65">
        <f t="shared" si="125"/>
        <v>0</v>
      </c>
      <c r="EP185" s="65">
        <f t="shared" si="126"/>
        <v>0</v>
      </c>
      <c r="EQ185" s="65">
        <v>4</v>
      </c>
      <c r="ER185" s="65">
        <v>187</v>
      </c>
      <c r="ES185" s="65">
        <v>190</v>
      </c>
      <c r="ET185" s="286">
        <v>0</v>
      </c>
      <c r="EU185" s="249" t="b">
        <v>1</v>
      </c>
      <c r="EV185" s="288" t="str">
        <f t="shared" si="131"/>
        <v/>
      </c>
      <c r="EW185" t="s">
        <v>23</v>
      </c>
    </row>
    <row r="186" spans="19:153" ht="12.9" hidden="1" customHeight="1" thickBot="1" x14ac:dyDescent="0.25">
      <c r="S186" s="70"/>
      <c r="T186" s="449"/>
      <c r="U186" s="450"/>
      <c r="V186" s="450"/>
      <c r="W186" s="450"/>
      <c r="X186" s="454"/>
      <c r="Y186" s="639"/>
      <c r="Z186" s="640"/>
      <c r="AA186" s="640"/>
      <c r="AB186" s="640"/>
      <c r="AC186" s="640"/>
      <c r="AD186" s="641"/>
      <c r="AE186" s="283" t="str">
        <f t="shared" si="115"/>
        <v>ˣ</v>
      </c>
      <c r="AF186" s="400" t="str">
        <f t="shared" ca="1" si="116"/>
        <v>DATEN FEHLEN</v>
      </c>
      <c r="AG186" s="396"/>
      <c r="AH186" s="396"/>
      <c r="AI186" s="396"/>
      <c r="AJ186" s="396"/>
      <c r="AK186" s="396"/>
      <c r="AL186" s="396"/>
      <c r="AM186" s="396"/>
      <c r="AN186" s="396"/>
      <c r="AO186" s="442"/>
      <c r="AP186" s="442"/>
      <c r="AQ186" s="442"/>
      <c r="AR186" s="442"/>
      <c r="AS186" s="442"/>
      <c r="AT186" s="442"/>
      <c r="AU186" s="442"/>
      <c r="AV186" s="442"/>
      <c r="AW186" s="431"/>
      <c r="AX186" s="431"/>
      <c r="AY186" s="431"/>
      <c r="AZ186" s="431"/>
      <c r="BA186" s="431"/>
      <c r="BB186" s="431"/>
      <c r="BC186" s="70"/>
      <c r="BD186" s="70"/>
      <c r="BE186" s="70"/>
      <c r="BF186" s="70"/>
      <c r="BG186" s="70"/>
      <c r="BH186" s="70"/>
      <c r="BI186" s="70"/>
      <c r="BJ186" s="70"/>
      <c r="BK186" s="70"/>
      <c r="BL186" s="70"/>
      <c r="BM186" s="70"/>
      <c r="BN186" s="70"/>
      <c r="BO186" s="70"/>
      <c r="BP186" s="70"/>
      <c r="BQ186" s="70"/>
      <c r="BR186" s="70"/>
      <c r="BU186" t="s">
        <v>428</v>
      </c>
      <c r="BW186">
        <f>BV139</f>
        <v>0</v>
      </c>
      <c r="BX186">
        <f>BW139</f>
        <v>0</v>
      </c>
      <c r="BZ186">
        <f t="shared" si="133"/>
        <v>0</v>
      </c>
      <c r="CA186">
        <f t="shared" si="133"/>
        <v>0</v>
      </c>
      <c r="CX186" s="249" t="s">
        <v>19</v>
      </c>
      <c r="DB186">
        <f ca="1">tabbermsp!M421</f>
        <v>-1</v>
      </c>
      <c r="DD186" s="138" t="str">
        <f t="shared" ca="1" si="118"/>
        <v>Daten fehlen</v>
      </c>
      <c r="DE186" s="138" t="str">
        <f t="shared" ca="1" si="119"/>
        <v/>
      </c>
      <c r="DH186" s="138"/>
      <c r="DN186">
        <v>7</v>
      </c>
      <c r="DO186" s="249">
        <v>1</v>
      </c>
      <c r="DP186" s="249">
        <v>0</v>
      </c>
      <c r="DQ186" s="249">
        <v>0</v>
      </c>
      <c r="DR186" s="249" t="b">
        <v>1</v>
      </c>
      <c r="DS186" s="138"/>
      <c r="DT186" s="138" t="str">
        <f t="shared" si="127"/>
        <v/>
      </c>
      <c r="DU186" t="s">
        <v>23</v>
      </c>
      <c r="DV186" s="287" t="e">
        <f t="shared" si="128"/>
        <v>#N/A</v>
      </c>
      <c r="DW186" s="287" t="str">
        <f t="shared" si="129"/>
        <v/>
      </c>
      <c r="DZ186" s="138" t="str">
        <f t="shared" si="120"/>
        <v/>
      </c>
      <c r="EB186" s="290">
        <f>IF(DZ186=DZ185,1,0)</f>
        <v>1</v>
      </c>
      <c r="EC186">
        <f t="shared" si="130"/>
        <v>0</v>
      </c>
      <c r="ED186" s="138" t="str">
        <f t="shared" si="121"/>
        <v/>
      </c>
      <c r="EF186" s="285" t="str">
        <f t="shared" si="132"/>
        <v/>
      </c>
      <c r="EH186" s="138">
        <f t="shared" si="122"/>
        <v>0</v>
      </c>
      <c r="EJ186">
        <v>0</v>
      </c>
      <c r="EK186" s="57">
        <f t="shared" si="123"/>
        <v>0</v>
      </c>
      <c r="EM186">
        <f t="shared" si="124"/>
        <v>0</v>
      </c>
      <c r="EN186">
        <v>9</v>
      </c>
      <c r="EO186" s="65">
        <f t="shared" si="125"/>
        <v>0</v>
      </c>
      <c r="EP186" s="65">
        <f t="shared" si="126"/>
        <v>0</v>
      </c>
      <c r="EQ186" s="65">
        <v>8</v>
      </c>
      <c r="ER186" s="65">
        <v>191</v>
      </c>
      <c r="ES186" s="65">
        <v>198</v>
      </c>
      <c r="ET186" s="286">
        <v>0</v>
      </c>
      <c r="EU186" s="249" t="b">
        <v>1</v>
      </c>
      <c r="EV186" s="288" t="str">
        <f t="shared" si="131"/>
        <v/>
      </c>
      <c r="EW186" t="s">
        <v>23</v>
      </c>
    </row>
    <row r="187" spans="19:153" ht="12.9" hidden="1" customHeight="1" thickBot="1" x14ac:dyDescent="0.25">
      <c r="S187" s="70"/>
      <c r="T187" s="446" t="s">
        <v>34</v>
      </c>
      <c r="U187" s="447"/>
      <c r="V187" s="447"/>
      <c r="W187" s="447"/>
      <c r="X187" s="453"/>
      <c r="Y187" s="636"/>
      <c r="Z187" s="637"/>
      <c r="AA187" s="637"/>
      <c r="AB187" s="637"/>
      <c r="AC187" s="637"/>
      <c r="AD187" s="638"/>
      <c r="AE187" s="283" t="str">
        <f t="shared" si="115"/>
        <v>ˣ</v>
      </c>
      <c r="AF187" s="398" t="str">
        <f t="shared" ca="1" si="116"/>
        <v>DATEN FEHLEN</v>
      </c>
      <c r="AG187" s="399"/>
      <c r="AH187" s="399"/>
      <c r="AI187" s="399"/>
      <c r="AJ187" s="399"/>
      <c r="AK187" s="399"/>
      <c r="AL187" s="399"/>
      <c r="AM187" s="399"/>
      <c r="AN187" s="399"/>
      <c r="AO187" s="455" t="str">
        <f>CHAR(10)&amp;CHAR(10)&amp;UPPER(INDEX($AU$292:$AU$301,DO187))</f>
        <v xml:space="preserve">
KEINE PRÜFUNG</v>
      </c>
      <c r="AP187" s="455"/>
      <c r="AQ187" s="455"/>
      <c r="AR187" s="455"/>
      <c r="AS187" s="455"/>
      <c r="AT187" s="455"/>
      <c r="AU187" s="455"/>
      <c r="AV187" s="455"/>
      <c r="AW187" s="428" t="str">
        <f>CHAR(10)&amp;CHAR(10)&amp;UPPER(CX187)</f>
        <v xml:space="preserve">
0 PKT.</v>
      </c>
      <c r="AX187" s="428"/>
      <c r="AY187" s="428"/>
      <c r="AZ187" s="428"/>
      <c r="BA187" s="428"/>
      <c r="BB187" s="428"/>
      <c r="BC187" s="70"/>
      <c r="BD187" s="70"/>
      <c r="BE187" s="70"/>
      <c r="BF187" s="70"/>
      <c r="BG187" s="70"/>
      <c r="BH187" s="70"/>
      <c r="BI187" s="70"/>
      <c r="BJ187" s="70"/>
      <c r="BK187" s="70"/>
      <c r="BL187" s="70"/>
      <c r="BM187" s="70"/>
      <c r="BN187" s="70"/>
      <c r="BO187" s="70"/>
      <c r="BP187" s="70"/>
      <c r="BQ187" s="70"/>
      <c r="BR187" s="70"/>
      <c r="BU187" t="s">
        <v>429</v>
      </c>
      <c r="BW187">
        <f>BV149</f>
        <v>0</v>
      </c>
      <c r="BX187">
        <f>BW149</f>
        <v>0</v>
      </c>
      <c r="BZ187">
        <f>IF(COUNTIF($BW$187:$BX$188,"="&amp;BW187)&gt;1,0,BW187)</f>
        <v>0</v>
      </c>
      <c r="CA187">
        <f>IF(COUNTIF($BW$187:$BX$188,"="&amp;BX187)&gt;1,0,BX187)</f>
        <v>0</v>
      </c>
      <c r="CX187" s="249" t="s">
        <v>19</v>
      </c>
      <c r="DB187">
        <f ca="1">tabbermsp!L419</f>
        <v>-1</v>
      </c>
      <c r="DD187" s="138" t="str">
        <f t="shared" ca="1" si="118"/>
        <v>Daten fehlen</v>
      </c>
      <c r="DE187" s="138" t="str">
        <f t="shared" ca="1" si="119"/>
        <v/>
      </c>
      <c r="DH187" s="138"/>
      <c r="DL187" t="s">
        <v>438</v>
      </c>
      <c r="DN187">
        <v>8</v>
      </c>
      <c r="DO187" s="249">
        <v>1</v>
      </c>
      <c r="DP187" s="249">
        <v>0</v>
      </c>
      <c r="DQ187" s="249">
        <v>0</v>
      </c>
      <c r="DR187" s="249" t="b">
        <v>1</v>
      </c>
      <c r="DS187" s="138"/>
      <c r="DT187" s="138" t="str">
        <f t="shared" si="127"/>
        <v/>
      </c>
      <c r="DU187" t="s">
        <v>23</v>
      </c>
      <c r="DV187" s="287" t="e">
        <f t="shared" si="128"/>
        <v>#N/A</v>
      </c>
      <c r="DW187" s="287" t="str">
        <f t="shared" si="129"/>
        <v/>
      </c>
      <c r="DZ187" s="138" t="str">
        <f t="shared" si="120"/>
        <v/>
      </c>
      <c r="EB187" s="289"/>
      <c r="EC187">
        <f t="shared" si="130"/>
        <v>0</v>
      </c>
      <c r="ED187" s="138" t="str">
        <f t="shared" si="121"/>
        <v/>
      </c>
      <c r="EF187" s="285" t="str">
        <f t="shared" si="132"/>
        <v/>
      </c>
      <c r="EH187" s="138">
        <f t="shared" si="122"/>
        <v>0</v>
      </c>
      <c r="EJ187">
        <v>0</v>
      </c>
      <c r="EK187" s="57">
        <f t="shared" si="123"/>
        <v>0</v>
      </c>
      <c r="EM187">
        <f t="shared" si="124"/>
        <v>0</v>
      </c>
      <c r="EN187">
        <v>10</v>
      </c>
      <c r="EO187" s="65">
        <f t="shared" si="125"/>
        <v>0</v>
      </c>
      <c r="EP187" s="65">
        <f t="shared" si="126"/>
        <v>0</v>
      </c>
      <c r="EQ187" s="65">
        <v>16</v>
      </c>
      <c r="ER187" s="65">
        <v>199</v>
      </c>
      <c r="ES187" s="65">
        <v>214</v>
      </c>
      <c r="ET187" s="286">
        <v>0</v>
      </c>
      <c r="EU187" s="249" t="b">
        <v>1</v>
      </c>
      <c r="EV187" s="288" t="str">
        <f t="shared" si="131"/>
        <v/>
      </c>
      <c r="EW187" t="s">
        <v>23</v>
      </c>
    </row>
    <row r="188" spans="19:153" ht="12.9" hidden="1" customHeight="1" thickBot="1" x14ac:dyDescent="0.25">
      <c r="S188" s="70"/>
      <c r="T188" s="449"/>
      <c r="U188" s="450"/>
      <c r="V188" s="450"/>
      <c r="W188" s="450"/>
      <c r="X188" s="454"/>
      <c r="Y188" s="642"/>
      <c r="Z188" s="643"/>
      <c r="AA188" s="643"/>
      <c r="AB188" s="643"/>
      <c r="AC188" s="643"/>
      <c r="AD188" s="644"/>
      <c r="AE188" s="283" t="str">
        <f t="shared" si="115"/>
        <v>ˣ</v>
      </c>
      <c r="AF188" s="388" t="str">
        <f t="shared" ca="1" si="116"/>
        <v>DATEN FEHLEN</v>
      </c>
      <c r="AG188" s="391"/>
      <c r="AH188" s="391"/>
      <c r="AI188" s="391"/>
      <c r="AJ188" s="391"/>
      <c r="AK188" s="391"/>
      <c r="AL188" s="391"/>
      <c r="AM188" s="391"/>
      <c r="AN188" s="391"/>
      <c r="AO188" s="455"/>
      <c r="AP188" s="455"/>
      <c r="AQ188" s="455"/>
      <c r="AR188" s="455"/>
      <c r="AS188" s="455"/>
      <c r="AT188" s="455"/>
      <c r="AU188" s="455"/>
      <c r="AV188" s="455"/>
      <c r="AW188" s="391"/>
      <c r="AX188" s="401"/>
      <c r="AY188" s="401"/>
      <c r="AZ188" s="391"/>
      <c r="BA188" s="391"/>
      <c r="BB188" s="401"/>
      <c r="BC188" s="70"/>
      <c r="BD188" s="70"/>
      <c r="BE188" s="70"/>
      <c r="BF188" s="70"/>
      <c r="BG188" s="70"/>
      <c r="BH188" s="70"/>
      <c r="BI188" s="70"/>
      <c r="BJ188" s="70"/>
      <c r="BK188" s="70"/>
      <c r="BL188" s="70"/>
      <c r="BM188" s="70"/>
      <c r="BN188" s="70"/>
      <c r="BO188" s="70"/>
      <c r="BP188" s="70"/>
      <c r="BQ188" s="70"/>
      <c r="BR188" s="70"/>
      <c r="BU188" t="s">
        <v>432</v>
      </c>
      <c r="BW188">
        <f>BV152</f>
        <v>0</v>
      </c>
      <c r="BX188">
        <f>BW152</f>
        <v>0</v>
      </c>
      <c r="BZ188">
        <f>IF(COUNTIF($BW$187:$BX$188,"="&amp;BW188)&gt;1,0,BW188)</f>
        <v>0</v>
      </c>
      <c r="CA188">
        <f>IF(COUNTIF($BW$187:$BX$188,"="&amp;BX188)&gt;1,0,BX188)</f>
        <v>0</v>
      </c>
      <c r="CX188" s="249" t="s">
        <v>19</v>
      </c>
      <c r="DB188">
        <f ca="1">tabbermsp!M419</f>
        <v>-1</v>
      </c>
      <c r="DD188" s="138" t="str">
        <f t="shared" ca="1" si="118"/>
        <v>Daten fehlen</v>
      </c>
      <c r="DE188" s="138" t="str">
        <f t="shared" ca="1" si="119"/>
        <v/>
      </c>
      <c r="DH188" s="138"/>
      <c r="DN188">
        <v>8</v>
      </c>
      <c r="DO188" s="249">
        <v>1</v>
      </c>
      <c r="DP188" s="249">
        <v>0</v>
      </c>
      <c r="DQ188" s="249">
        <v>0</v>
      </c>
      <c r="DR188" s="249" t="b">
        <v>1</v>
      </c>
      <c r="DS188" s="138"/>
      <c r="DT188" s="138" t="str">
        <f t="shared" si="127"/>
        <v/>
      </c>
      <c r="DU188" t="s">
        <v>23</v>
      </c>
      <c r="DV188" s="287" t="e">
        <f t="shared" si="128"/>
        <v>#N/A</v>
      </c>
      <c r="DW188" s="287" t="str">
        <f t="shared" si="129"/>
        <v/>
      </c>
      <c r="DZ188" s="138" t="str">
        <f t="shared" si="120"/>
        <v/>
      </c>
      <c r="EB188" s="291">
        <f>COUNTIF(DZ$187:DZ187,"="&amp;DZ188)</f>
        <v>0</v>
      </c>
      <c r="EC188">
        <f t="shared" si="130"/>
        <v>0</v>
      </c>
      <c r="ED188" s="138" t="str">
        <f t="shared" si="121"/>
        <v/>
      </c>
      <c r="EF188" s="285" t="str">
        <f t="shared" si="132"/>
        <v/>
      </c>
      <c r="EH188" s="138">
        <f t="shared" si="122"/>
        <v>0</v>
      </c>
      <c r="EJ188">
        <v>0</v>
      </c>
      <c r="EK188" s="57">
        <f t="shared" si="123"/>
        <v>0</v>
      </c>
      <c r="EM188">
        <f t="shared" si="124"/>
        <v>0</v>
      </c>
      <c r="EN188">
        <v>11</v>
      </c>
      <c r="EO188" s="65">
        <f t="shared" si="125"/>
        <v>0</v>
      </c>
      <c r="EP188" s="65">
        <f t="shared" si="126"/>
        <v>0</v>
      </c>
      <c r="EQ188" s="65">
        <v>1</v>
      </c>
      <c r="ER188" s="65">
        <v>215</v>
      </c>
      <c r="ES188" s="65">
        <v>215</v>
      </c>
      <c r="ET188" s="286">
        <v>0</v>
      </c>
      <c r="EU188" s="249" t="b">
        <v>1</v>
      </c>
      <c r="EV188" s="288" t="str">
        <f t="shared" si="131"/>
        <v/>
      </c>
      <c r="EW188" t="s">
        <v>23</v>
      </c>
    </row>
    <row r="189" spans="19:153" ht="12.9" hidden="1" customHeight="1" thickBot="1" x14ac:dyDescent="0.25">
      <c r="S189" s="70"/>
      <c r="T189" s="449"/>
      <c r="U189" s="450"/>
      <c r="V189" s="450"/>
      <c r="W189" s="450"/>
      <c r="X189" s="454"/>
      <c r="Y189" s="642"/>
      <c r="Z189" s="643"/>
      <c r="AA189" s="643"/>
      <c r="AB189" s="643"/>
      <c r="AC189" s="643"/>
      <c r="AD189" s="644"/>
      <c r="AE189" s="283" t="str">
        <f t="shared" si="115"/>
        <v>ˣ</v>
      </c>
      <c r="AF189" s="388" t="str">
        <f t="shared" ca="1" si="116"/>
        <v>DATEN FEHLEN</v>
      </c>
      <c r="AG189" s="391"/>
      <c r="AH189" s="391"/>
      <c r="AI189" s="391"/>
      <c r="AJ189" s="391"/>
      <c r="AK189" s="391"/>
      <c r="AL189" s="391"/>
      <c r="AM189" s="391"/>
      <c r="AN189" s="391"/>
      <c r="AO189" s="455"/>
      <c r="AP189" s="455"/>
      <c r="AQ189" s="455"/>
      <c r="AR189" s="455"/>
      <c r="AS189" s="455"/>
      <c r="AT189" s="455"/>
      <c r="AU189" s="455"/>
      <c r="AV189" s="455"/>
      <c r="AW189" s="391"/>
      <c r="AX189" s="401"/>
      <c r="AY189" s="401"/>
      <c r="AZ189" s="391"/>
      <c r="BA189" s="391"/>
      <c r="BB189" s="401"/>
      <c r="BC189" s="70"/>
      <c r="BD189" s="70"/>
      <c r="BE189" s="70"/>
      <c r="BF189" s="70"/>
      <c r="BG189" s="70"/>
      <c r="BH189" s="70"/>
      <c r="BI189" s="70"/>
      <c r="BJ189" s="70"/>
      <c r="BK189" s="70"/>
      <c r="BL189" s="70"/>
      <c r="BM189" s="70"/>
      <c r="BN189" s="70"/>
      <c r="BO189" s="70"/>
      <c r="BP189" s="70"/>
      <c r="BQ189" s="70"/>
      <c r="BR189" s="70"/>
      <c r="BU189" t="s">
        <v>27</v>
      </c>
      <c r="BW189">
        <f>BV164</f>
        <v>0</v>
      </c>
      <c r="BX189">
        <f>BW164</f>
        <v>0</v>
      </c>
      <c r="BZ189">
        <f>IF(COUNTIF($BW$189:$BX$190,"="&amp;BW189)&gt;1,0,BW189)</f>
        <v>0</v>
      </c>
      <c r="CA189">
        <f>IF(COUNTIF($BW$189:$BX$190,"="&amp;BX189)&gt;1,0,BX189)</f>
        <v>0</v>
      </c>
      <c r="CX189" s="249" t="s">
        <v>19</v>
      </c>
      <c r="DB189">
        <f ca="1">tabbermsp!L420</f>
        <v>-1</v>
      </c>
      <c r="DD189" s="138" t="str">
        <f t="shared" ca="1" si="118"/>
        <v>Daten fehlen</v>
      </c>
      <c r="DE189" s="138" t="str">
        <f t="shared" ca="1" si="119"/>
        <v/>
      </c>
      <c r="DH189" s="138"/>
      <c r="DN189">
        <v>8</v>
      </c>
      <c r="DO189" s="249">
        <v>1</v>
      </c>
      <c r="DP189" s="249">
        <v>0</v>
      </c>
      <c r="DQ189" s="249">
        <v>0</v>
      </c>
      <c r="DR189" s="249" t="b">
        <v>1</v>
      </c>
      <c r="DS189" s="138"/>
      <c r="DT189" s="138" t="str">
        <f t="shared" si="127"/>
        <v/>
      </c>
      <c r="DU189" t="s">
        <v>23</v>
      </c>
      <c r="DV189" s="287" t="e">
        <f t="shared" si="128"/>
        <v>#N/A</v>
      </c>
      <c r="DW189" s="287" t="str">
        <f t="shared" si="129"/>
        <v/>
      </c>
      <c r="DZ189" s="138" t="str">
        <f t="shared" si="120"/>
        <v/>
      </c>
      <c r="EB189" s="291">
        <f>COUNTIF(DZ$187:DZ188,"="&amp;DZ189)</f>
        <v>0</v>
      </c>
      <c r="EC189">
        <f t="shared" si="130"/>
        <v>0</v>
      </c>
      <c r="ED189" s="138" t="str">
        <f t="shared" si="121"/>
        <v/>
      </c>
      <c r="EF189" s="285" t="str">
        <f t="shared" si="132"/>
        <v/>
      </c>
      <c r="EH189" s="138">
        <f t="shared" si="122"/>
        <v>0</v>
      </c>
      <c r="EJ189">
        <v>0</v>
      </c>
      <c r="EK189" s="57">
        <f t="shared" si="123"/>
        <v>0</v>
      </c>
      <c r="EM189">
        <f t="shared" si="124"/>
        <v>0</v>
      </c>
      <c r="EN189">
        <v>12</v>
      </c>
      <c r="EO189" s="65">
        <f t="shared" si="125"/>
        <v>0</v>
      </c>
      <c r="EP189" s="65">
        <f t="shared" si="126"/>
        <v>0</v>
      </c>
      <c r="EQ189" s="65">
        <v>1</v>
      </c>
      <c r="ER189" s="65">
        <v>216</v>
      </c>
      <c r="ES189" s="65">
        <v>216</v>
      </c>
      <c r="ET189" s="286">
        <v>0</v>
      </c>
      <c r="EU189" s="249" t="b">
        <v>1</v>
      </c>
      <c r="EV189" s="288" t="str">
        <f t="shared" si="131"/>
        <v/>
      </c>
      <c r="EW189" t="s">
        <v>23</v>
      </c>
    </row>
    <row r="190" spans="19:153" ht="12.9" hidden="1" customHeight="1" thickBot="1" x14ac:dyDescent="0.25">
      <c r="S190" s="70"/>
      <c r="T190" s="449"/>
      <c r="U190" s="450"/>
      <c r="V190" s="450"/>
      <c r="W190" s="450"/>
      <c r="X190" s="454"/>
      <c r="Y190" s="639"/>
      <c r="Z190" s="640"/>
      <c r="AA190" s="640"/>
      <c r="AB190" s="640"/>
      <c r="AC190" s="640"/>
      <c r="AD190" s="641"/>
      <c r="AE190" s="283" t="str">
        <f t="shared" si="115"/>
        <v>ˣ</v>
      </c>
      <c r="AF190" s="400" t="str">
        <f t="shared" ca="1" si="116"/>
        <v>DATEN FEHLEN</v>
      </c>
      <c r="AG190" s="396"/>
      <c r="AH190" s="396"/>
      <c r="AI190" s="396"/>
      <c r="AJ190" s="396"/>
      <c r="AK190" s="396"/>
      <c r="AL190" s="396"/>
      <c r="AM190" s="396"/>
      <c r="AN190" s="396"/>
      <c r="AO190" s="455"/>
      <c r="AP190" s="455"/>
      <c r="AQ190" s="455"/>
      <c r="AR190" s="455"/>
      <c r="AS190" s="455"/>
      <c r="AT190" s="455"/>
      <c r="AU190" s="455"/>
      <c r="AV190" s="455"/>
      <c r="AW190" s="396"/>
      <c r="AX190" s="402"/>
      <c r="AY190" s="402"/>
      <c r="AZ190" s="396"/>
      <c r="BA190" s="396"/>
      <c r="BB190" s="402"/>
      <c r="BC190" s="70"/>
      <c r="BD190" s="70"/>
      <c r="BE190" s="70"/>
      <c r="BF190" s="70"/>
      <c r="BG190" s="70"/>
      <c r="BH190" s="70"/>
      <c r="BI190" s="70"/>
      <c r="BJ190" s="70"/>
      <c r="BK190" s="70"/>
      <c r="BL190" s="70"/>
      <c r="BM190" s="70"/>
      <c r="BN190" s="70"/>
      <c r="BO190" s="70"/>
      <c r="BP190" s="70"/>
      <c r="BQ190" s="70"/>
      <c r="BR190" s="70"/>
      <c r="BU190" t="s">
        <v>437</v>
      </c>
      <c r="BW190">
        <f>BV155</f>
        <v>0</v>
      </c>
      <c r="BX190">
        <f>BW155</f>
        <v>0</v>
      </c>
      <c r="BZ190">
        <f>IF(COUNTIF($BW$189:$BX$190,"="&amp;BW190)&gt;1,0,BW190)</f>
        <v>0</v>
      </c>
      <c r="CA190">
        <f>IF(COUNTIF($BW$189:$BX$190,"="&amp;BX190)&gt;1,0,BX190)</f>
        <v>0</v>
      </c>
      <c r="CX190" s="249" t="s">
        <v>19</v>
      </c>
      <c r="DB190">
        <f ca="1">tabbermsp!M420</f>
        <v>-1</v>
      </c>
      <c r="DD190" s="138" t="str">
        <f t="shared" ca="1" si="118"/>
        <v>Daten fehlen</v>
      </c>
      <c r="DE190" s="138" t="str">
        <f t="shared" ca="1" si="119"/>
        <v/>
      </c>
      <c r="DH190" s="138"/>
      <c r="DN190">
        <v>8</v>
      </c>
      <c r="DO190" s="249">
        <v>1</v>
      </c>
      <c r="DP190" s="249">
        <v>0</v>
      </c>
      <c r="DQ190" s="249">
        <v>0</v>
      </c>
      <c r="DR190" s="249" t="b">
        <v>1</v>
      </c>
      <c r="DS190" s="138"/>
      <c r="DT190" s="138" t="str">
        <f t="shared" si="127"/>
        <v/>
      </c>
      <c r="DU190" t="s">
        <v>23</v>
      </c>
      <c r="DV190" s="287" t="e">
        <f t="shared" si="128"/>
        <v>#N/A</v>
      </c>
      <c r="DW190" s="287" t="str">
        <f t="shared" si="129"/>
        <v/>
      </c>
      <c r="DZ190" s="138" t="str">
        <f t="shared" si="120"/>
        <v/>
      </c>
      <c r="EB190" s="290">
        <f>COUNTIF(DZ$187:DZ189,"="&amp;DZ190)</f>
        <v>0</v>
      </c>
      <c r="EC190">
        <f t="shared" si="130"/>
        <v>0</v>
      </c>
      <c r="ED190" s="138" t="str">
        <f t="shared" si="121"/>
        <v/>
      </c>
      <c r="EF190" s="285" t="str">
        <f t="shared" si="132"/>
        <v/>
      </c>
      <c r="EH190" s="138">
        <f t="shared" si="122"/>
        <v>0</v>
      </c>
      <c r="EJ190">
        <v>0</v>
      </c>
      <c r="EK190" s="57">
        <f t="shared" si="123"/>
        <v>0</v>
      </c>
      <c r="EM190">
        <f t="shared" si="124"/>
        <v>0</v>
      </c>
      <c r="EN190">
        <v>13</v>
      </c>
      <c r="EO190" s="65">
        <f t="shared" si="125"/>
        <v>0</v>
      </c>
      <c r="EP190" s="65">
        <f t="shared" si="126"/>
        <v>0</v>
      </c>
      <c r="EQ190" s="65">
        <v>1</v>
      </c>
      <c r="ER190" s="65">
        <v>217</v>
      </c>
      <c r="ES190" s="65">
        <v>217</v>
      </c>
      <c r="ET190" s="286">
        <v>0</v>
      </c>
      <c r="EU190" s="249" t="b">
        <v>1</v>
      </c>
      <c r="EV190" s="288" t="str">
        <f t="shared" si="131"/>
        <v/>
      </c>
      <c r="EW190" t="s">
        <v>23</v>
      </c>
    </row>
    <row r="191" spans="19:153" ht="12.9" hidden="1" customHeight="1" thickBot="1" x14ac:dyDescent="0.25">
      <c r="S191" s="70"/>
      <c r="T191" s="446" t="s">
        <v>35</v>
      </c>
      <c r="U191" s="447"/>
      <c r="V191" s="447"/>
      <c r="W191" s="447"/>
      <c r="X191" s="453"/>
      <c r="Y191" s="636"/>
      <c r="Z191" s="637"/>
      <c r="AA191" s="637"/>
      <c r="AB191" s="637"/>
      <c r="AC191" s="637"/>
      <c r="AD191" s="638"/>
      <c r="AE191" s="283" t="str">
        <f t="shared" si="115"/>
        <v>ˣ</v>
      </c>
      <c r="AF191" s="398" t="str">
        <f t="shared" ca="1" si="116"/>
        <v>DATEN FEHLEN</v>
      </c>
      <c r="AG191" s="399"/>
      <c r="AH191" s="399"/>
      <c r="AI191" s="399"/>
      <c r="AJ191" s="399"/>
      <c r="AK191" s="399"/>
      <c r="AL191" s="399"/>
      <c r="AM191" s="399"/>
      <c r="AN191" s="399"/>
      <c r="AO191" s="455" t="str">
        <f>CHAR(10)&amp;CHAR(10)&amp;UPPER(INDEX($AU$292:$AU$301,DO191))</f>
        <v xml:space="preserve">
KEINE PRÜFUNG</v>
      </c>
      <c r="AP191" s="455"/>
      <c r="AQ191" s="455"/>
      <c r="AR191" s="455"/>
      <c r="AS191" s="455"/>
      <c r="AT191" s="455"/>
      <c r="AU191" s="455"/>
      <c r="AV191" s="455"/>
      <c r="AW191" s="428" t="str">
        <f>CHAR(10)&amp;CHAR(10)&amp;UPPER(CX191)</f>
        <v xml:space="preserve">
0 PKT.</v>
      </c>
      <c r="AX191" s="428"/>
      <c r="AY191" s="428"/>
      <c r="AZ191" s="428"/>
      <c r="BA191" s="428"/>
      <c r="BB191" s="428"/>
      <c r="BC191" s="70"/>
      <c r="BD191" s="70"/>
      <c r="BE191" s="70"/>
      <c r="BF191" s="70"/>
      <c r="BG191" s="70"/>
      <c r="BH191" s="70"/>
      <c r="BI191" s="70"/>
      <c r="BJ191" s="70"/>
      <c r="BK191" s="70"/>
      <c r="BL191" s="70"/>
      <c r="BM191" s="70"/>
      <c r="BN191" s="70"/>
      <c r="BO191" s="70"/>
      <c r="BP191" s="70"/>
      <c r="BQ191" s="70"/>
      <c r="BR191" s="70"/>
      <c r="CX191" s="249" t="s">
        <v>19</v>
      </c>
      <c r="DA191">
        <v>1</v>
      </c>
      <c r="DB191">
        <f ca="1">SUMIF(tabbermsp!$O$415:$P$418,"="&amp;DA191,tabbermsp!$L$415:$M$418)</f>
        <v>-1</v>
      </c>
      <c r="DD191" s="138" t="str">
        <f t="shared" ca="1" si="118"/>
        <v>Daten fehlen</v>
      </c>
      <c r="DE191" s="138" t="str">
        <f t="shared" ca="1" si="119"/>
        <v/>
      </c>
      <c r="DH191" s="138"/>
      <c r="DL191" t="s">
        <v>430</v>
      </c>
      <c r="DN191">
        <v>9</v>
      </c>
      <c r="DO191" s="249">
        <v>1</v>
      </c>
      <c r="DP191" s="249">
        <v>0</v>
      </c>
      <c r="DQ191" s="249">
        <v>0</v>
      </c>
      <c r="DR191" s="249" t="b">
        <v>1</v>
      </c>
      <c r="DS191" s="138"/>
      <c r="DT191" s="138" t="str">
        <f t="shared" si="127"/>
        <v/>
      </c>
      <c r="DU191" t="s">
        <v>23</v>
      </c>
      <c r="DV191" s="287" t="e">
        <f t="shared" si="128"/>
        <v>#N/A</v>
      </c>
      <c r="DW191" s="287" t="str">
        <f t="shared" si="129"/>
        <v/>
      </c>
      <c r="DZ191" s="138" t="str">
        <f t="shared" si="120"/>
        <v/>
      </c>
      <c r="EB191" s="289"/>
      <c r="EC191">
        <f t="shared" si="130"/>
        <v>0</v>
      </c>
      <c r="ED191" s="138" t="str">
        <f t="shared" si="121"/>
        <v/>
      </c>
      <c r="EF191" s="285" t="str">
        <f t="shared" si="132"/>
        <v/>
      </c>
      <c r="EH191" s="138">
        <f t="shared" si="122"/>
        <v>0</v>
      </c>
      <c r="EJ191">
        <v>0</v>
      </c>
      <c r="EK191" s="57">
        <f t="shared" si="123"/>
        <v>0</v>
      </c>
      <c r="EM191">
        <f t="shared" si="124"/>
        <v>0</v>
      </c>
      <c r="EN191">
        <v>14</v>
      </c>
      <c r="EO191" s="65">
        <f t="shared" si="125"/>
        <v>0</v>
      </c>
      <c r="EP191" s="65">
        <f t="shared" si="126"/>
        <v>0</v>
      </c>
      <c r="EQ191" s="65">
        <v>1</v>
      </c>
      <c r="ER191" s="65">
        <v>218</v>
      </c>
      <c r="ES191" s="65">
        <v>218</v>
      </c>
      <c r="ET191" s="286">
        <v>0</v>
      </c>
      <c r="EU191" s="249" t="b">
        <v>1</v>
      </c>
      <c r="EV191" s="288" t="str">
        <f t="shared" si="131"/>
        <v/>
      </c>
      <c r="EW191" t="s">
        <v>23</v>
      </c>
    </row>
    <row r="192" spans="19:153" ht="12.9" hidden="1" customHeight="1" thickBot="1" x14ac:dyDescent="0.25">
      <c r="S192" s="70"/>
      <c r="T192" s="449"/>
      <c r="U192" s="450"/>
      <c r="V192" s="450"/>
      <c r="W192" s="450"/>
      <c r="X192" s="454"/>
      <c r="Y192" s="642"/>
      <c r="Z192" s="643"/>
      <c r="AA192" s="643"/>
      <c r="AB192" s="643"/>
      <c r="AC192" s="643"/>
      <c r="AD192" s="644"/>
      <c r="AE192" s="283" t="str">
        <f t="shared" si="115"/>
        <v>ˣ</v>
      </c>
      <c r="AF192" s="388" t="str">
        <f t="shared" ca="1" si="116"/>
        <v>DATEN FEHLEN</v>
      </c>
      <c r="AG192" s="391"/>
      <c r="AH192" s="391"/>
      <c r="AI192" s="391"/>
      <c r="AJ192" s="391"/>
      <c r="AK192" s="391"/>
      <c r="AL192" s="391"/>
      <c r="AM192" s="391"/>
      <c r="AN192" s="391"/>
      <c r="AO192" s="455"/>
      <c r="AP192" s="455"/>
      <c r="AQ192" s="455"/>
      <c r="AR192" s="455"/>
      <c r="AS192" s="455"/>
      <c r="AT192" s="455"/>
      <c r="AU192" s="455"/>
      <c r="AV192" s="455"/>
      <c r="AW192" s="391"/>
      <c r="AX192" s="401"/>
      <c r="AY192" s="401"/>
      <c r="AZ192" s="391"/>
      <c r="BA192" s="391"/>
      <c r="BB192" s="401"/>
      <c r="BC192" s="70"/>
      <c r="BD192" s="70"/>
      <c r="BE192" s="70"/>
      <c r="BF192" s="70"/>
      <c r="BG192" s="70"/>
      <c r="BH192" s="70"/>
      <c r="BI192" s="70"/>
      <c r="BJ192" s="70"/>
      <c r="BK192" s="70"/>
      <c r="BL192" s="70"/>
      <c r="BM192" s="70"/>
      <c r="BN192" s="70"/>
      <c r="BO192" s="70"/>
      <c r="BP192" s="70"/>
      <c r="BQ192" s="70"/>
      <c r="BR192" s="70"/>
      <c r="CX192" s="249" t="s">
        <v>19</v>
      </c>
      <c r="DA192">
        <v>2</v>
      </c>
      <c r="DB192">
        <f ca="1">SUMIF(tabbermsp!$O$415:$P$418,"="&amp;DA192,tabbermsp!$L$415:$M$418)</f>
        <v>-1</v>
      </c>
      <c r="DD192" s="138" t="str">
        <f t="shared" ca="1" si="118"/>
        <v>Daten fehlen</v>
      </c>
      <c r="DE192" s="138" t="str">
        <f t="shared" ca="1" si="119"/>
        <v/>
      </c>
      <c r="DH192" s="138"/>
      <c r="DN192">
        <v>9</v>
      </c>
      <c r="DO192" s="249">
        <v>1</v>
      </c>
      <c r="DP192" s="249">
        <v>0</v>
      </c>
      <c r="DQ192" s="249">
        <v>0</v>
      </c>
      <c r="DR192" s="249" t="b">
        <v>1</v>
      </c>
      <c r="DS192" s="138"/>
      <c r="DT192" s="138" t="str">
        <f t="shared" si="127"/>
        <v/>
      </c>
      <c r="DU192" t="s">
        <v>23</v>
      </c>
      <c r="DV192" s="287" t="e">
        <f t="shared" si="128"/>
        <v>#N/A</v>
      </c>
      <c r="DW192" s="287" t="str">
        <f t="shared" si="129"/>
        <v/>
      </c>
      <c r="DZ192" s="138" t="str">
        <f t="shared" si="120"/>
        <v/>
      </c>
      <c r="EB192" s="291">
        <f>COUNTIF(DZ$191:DZ191,"="&amp;DZ192)</f>
        <v>0</v>
      </c>
      <c r="EC192">
        <f t="shared" si="130"/>
        <v>0</v>
      </c>
      <c r="ED192" s="138" t="str">
        <f t="shared" si="121"/>
        <v/>
      </c>
      <c r="EF192" s="285" t="str">
        <f t="shared" si="132"/>
        <v/>
      </c>
      <c r="EH192" s="138">
        <f t="shared" si="122"/>
        <v>0</v>
      </c>
      <c r="EJ192">
        <v>0</v>
      </c>
      <c r="EK192" s="57">
        <f t="shared" si="123"/>
        <v>0</v>
      </c>
      <c r="EM192">
        <f t="shared" si="124"/>
        <v>0</v>
      </c>
      <c r="EN192">
        <v>15</v>
      </c>
      <c r="EO192" s="65">
        <f t="shared" si="125"/>
        <v>0</v>
      </c>
      <c r="EP192" s="65">
        <f t="shared" si="126"/>
        <v>0</v>
      </c>
      <c r="EQ192" s="65">
        <v>1</v>
      </c>
      <c r="ER192" s="65">
        <v>219</v>
      </c>
      <c r="ES192" s="65">
        <v>219</v>
      </c>
      <c r="ET192" s="286">
        <v>0</v>
      </c>
      <c r="EU192" s="249" t="b">
        <v>1</v>
      </c>
      <c r="EV192" s="288" t="str">
        <f t="shared" si="131"/>
        <v/>
      </c>
      <c r="EW192" t="s">
        <v>23</v>
      </c>
    </row>
    <row r="193" spans="19:153" ht="12.9" hidden="1" customHeight="1" thickBot="1" x14ac:dyDescent="0.25">
      <c r="S193" s="70"/>
      <c r="T193" s="449"/>
      <c r="U193" s="450"/>
      <c r="V193" s="450"/>
      <c r="W193" s="450"/>
      <c r="X193" s="454"/>
      <c r="Y193" s="642"/>
      <c r="Z193" s="643"/>
      <c r="AA193" s="643"/>
      <c r="AB193" s="643"/>
      <c r="AC193" s="643"/>
      <c r="AD193" s="644"/>
      <c r="AE193" s="283" t="str">
        <f t="shared" si="115"/>
        <v>ˣ</v>
      </c>
      <c r="AF193" s="388" t="str">
        <f t="shared" ca="1" si="116"/>
        <v>DATEN FEHLEN</v>
      </c>
      <c r="AG193" s="391"/>
      <c r="AH193" s="391"/>
      <c r="AI193" s="391"/>
      <c r="AJ193" s="391"/>
      <c r="AK193" s="391"/>
      <c r="AL193" s="391"/>
      <c r="AM193" s="391"/>
      <c r="AN193" s="391"/>
      <c r="AO193" s="455"/>
      <c r="AP193" s="455"/>
      <c r="AQ193" s="455"/>
      <c r="AR193" s="455"/>
      <c r="AS193" s="455"/>
      <c r="AT193" s="455"/>
      <c r="AU193" s="455"/>
      <c r="AV193" s="455"/>
      <c r="AW193" s="391"/>
      <c r="AX193" s="401"/>
      <c r="AY193" s="401"/>
      <c r="AZ193" s="391"/>
      <c r="BA193" s="391"/>
      <c r="BB193" s="401"/>
      <c r="BC193" s="70"/>
      <c r="BD193" s="70"/>
      <c r="BE193" s="70"/>
      <c r="BF193" s="70"/>
      <c r="BG193" s="70"/>
      <c r="BH193" s="70"/>
      <c r="BI193" s="70"/>
      <c r="BJ193" s="70"/>
      <c r="BK193" s="70"/>
      <c r="BL193" s="70"/>
      <c r="BM193" s="70"/>
      <c r="BN193" s="70"/>
      <c r="BO193" s="70"/>
      <c r="BP193" s="70"/>
      <c r="BQ193" s="70"/>
      <c r="BR193" s="70"/>
      <c r="CX193" s="249" t="s">
        <v>19</v>
      </c>
      <c r="DA193">
        <v>3</v>
      </c>
      <c r="DB193">
        <f ca="1">SUMIF(tabbermsp!$O$415:$P$418,"="&amp;DA193,tabbermsp!$L$415:$M$418)</f>
        <v>-1</v>
      </c>
      <c r="DD193" s="138" t="str">
        <f t="shared" ca="1" si="118"/>
        <v>Daten fehlen</v>
      </c>
      <c r="DE193" s="138" t="str">
        <f t="shared" ca="1" si="119"/>
        <v/>
      </c>
      <c r="DH193" s="138"/>
      <c r="DN193">
        <v>9</v>
      </c>
      <c r="DO193" s="249">
        <v>1</v>
      </c>
      <c r="DP193" s="249">
        <v>0</v>
      </c>
      <c r="DQ193" s="249">
        <v>0</v>
      </c>
      <c r="DR193" s="249" t="b">
        <v>1</v>
      </c>
      <c r="DS193" s="138"/>
      <c r="DT193" s="138" t="str">
        <f t="shared" si="127"/>
        <v/>
      </c>
      <c r="DU193" t="s">
        <v>23</v>
      </c>
      <c r="DV193" s="287" t="e">
        <f t="shared" si="128"/>
        <v>#N/A</v>
      </c>
      <c r="DW193" s="287" t="str">
        <f t="shared" si="129"/>
        <v/>
      </c>
      <c r="DZ193" s="138" t="str">
        <f t="shared" si="120"/>
        <v/>
      </c>
      <c r="EB193" s="291">
        <f>COUNTIF(DZ$191:DZ192,"="&amp;DZ193)</f>
        <v>0</v>
      </c>
      <c r="EC193">
        <f t="shared" si="130"/>
        <v>0</v>
      </c>
      <c r="ED193" s="138" t="str">
        <f t="shared" si="121"/>
        <v/>
      </c>
      <c r="EF193" s="285" t="str">
        <f t="shared" si="132"/>
        <v/>
      </c>
      <c r="EH193" s="138">
        <f t="shared" si="122"/>
        <v>0</v>
      </c>
      <c r="EJ193">
        <v>0</v>
      </c>
      <c r="EK193" s="57">
        <f t="shared" si="123"/>
        <v>0</v>
      </c>
      <c r="EM193">
        <f t="shared" si="124"/>
        <v>0</v>
      </c>
      <c r="EN193">
        <v>16</v>
      </c>
      <c r="EO193" s="65">
        <f t="shared" si="125"/>
        <v>0</v>
      </c>
      <c r="EP193" s="65">
        <f t="shared" si="126"/>
        <v>0</v>
      </c>
      <c r="EQ193" s="65">
        <v>1</v>
      </c>
      <c r="ER193" s="65">
        <v>220</v>
      </c>
      <c r="ES193" s="65">
        <v>220</v>
      </c>
      <c r="ET193" s="286">
        <v>0</v>
      </c>
      <c r="EU193" s="249" t="b">
        <v>1</v>
      </c>
      <c r="EV193" s="288" t="str">
        <f t="shared" si="131"/>
        <v/>
      </c>
      <c r="EW193" t="s">
        <v>23</v>
      </c>
    </row>
    <row r="194" spans="19:153" ht="12.9" hidden="1" customHeight="1" thickBot="1" x14ac:dyDescent="0.25">
      <c r="S194" s="70"/>
      <c r="T194" s="449"/>
      <c r="U194" s="450"/>
      <c r="V194" s="450"/>
      <c r="W194" s="450"/>
      <c r="X194" s="454"/>
      <c r="Y194" s="642"/>
      <c r="Z194" s="643"/>
      <c r="AA194" s="643"/>
      <c r="AB194" s="643"/>
      <c r="AC194" s="643"/>
      <c r="AD194" s="644"/>
      <c r="AE194" s="283" t="str">
        <f t="shared" si="115"/>
        <v>ˣ</v>
      </c>
      <c r="AF194" s="388" t="str">
        <f t="shared" ca="1" si="116"/>
        <v>DATEN FEHLEN</v>
      </c>
      <c r="AG194" s="391"/>
      <c r="AH194" s="391"/>
      <c r="AI194" s="391"/>
      <c r="AJ194" s="391"/>
      <c r="AK194" s="391"/>
      <c r="AL194" s="391"/>
      <c r="AM194" s="391"/>
      <c r="AN194" s="391"/>
      <c r="AO194" s="455"/>
      <c r="AP194" s="455"/>
      <c r="AQ194" s="455"/>
      <c r="AR194" s="455"/>
      <c r="AS194" s="455"/>
      <c r="AT194" s="455"/>
      <c r="AU194" s="455"/>
      <c r="AV194" s="455"/>
      <c r="AW194" s="391"/>
      <c r="AX194" s="401"/>
      <c r="AY194" s="401"/>
      <c r="AZ194" s="391"/>
      <c r="BA194" s="391"/>
      <c r="BB194" s="401"/>
      <c r="BC194" s="70"/>
      <c r="BD194" s="70"/>
      <c r="BE194" s="70"/>
      <c r="BF194" s="70"/>
      <c r="BG194" s="70"/>
      <c r="BH194" s="70"/>
      <c r="BI194" s="70"/>
      <c r="BJ194" s="70"/>
      <c r="BK194" s="70"/>
      <c r="BL194" s="70"/>
      <c r="BM194" s="70"/>
      <c r="BN194" s="70"/>
      <c r="BO194" s="70"/>
      <c r="BP194" s="70"/>
      <c r="BQ194" s="70"/>
      <c r="BR194" s="70"/>
      <c r="CX194" s="249" t="s">
        <v>19</v>
      </c>
      <c r="DA194">
        <v>4</v>
      </c>
      <c r="DB194">
        <f ca="1">SUMIF(tabbermsp!$O$415:$P$418,"="&amp;DA194,tabbermsp!$L$415:$M$418)</f>
        <v>-1</v>
      </c>
      <c r="DD194" s="138" t="str">
        <f t="shared" ca="1" si="118"/>
        <v>Daten fehlen</v>
      </c>
      <c r="DE194" s="138" t="str">
        <f t="shared" ca="1" si="119"/>
        <v/>
      </c>
      <c r="DH194" s="138"/>
      <c r="DN194">
        <v>9</v>
      </c>
      <c r="DO194" s="249">
        <v>1</v>
      </c>
      <c r="DP194" s="249">
        <v>0</v>
      </c>
      <c r="DQ194" s="249">
        <v>0</v>
      </c>
      <c r="DR194" s="249" t="b">
        <v>1</v>
      </c>
      <c r="DS194" s="138"/>
      <c r="DT194" s="138" t="str">
        <f t="shared" si="127"/>
        <v/>
      </c>
      <c r="DU194" t="s">
        <v>23</v>
      </c>
      <c r="DV194" s="287" t="e">
        <f t="shared" si="128"/>
        <v>#N/A</v>
      </c>
      <c r="DW194" s="287" t="str">
        <f t="shared" si="129"/>
        <v/>
      </c>
      <c r="DZ194" s="138" t="str">
        <f t="shared" si="120"/>
        <v/>
      </c>
      <c r="EB194" s="291">
        <f>COUNTIF(DZ$191:DZ193,"="&amp;DZ194)</f>
        <v>0</v>
      </c>
      <c r="EC194">
        <f t="shared" si="130"/>
        <v>0</v>
      </c>
      <c r="ED194" s="138" t="str">
        <f t="shared" si="121"/>
        <v/>
      </c>
      <c r="EF194" s="285" t="str">
        <f t="shared" si="132"/>
        <v/>
      </c>
      <c r="EH194" s="138">
        <f t="shared" si="122"/>
        <v>0</v>
      </c>
      <c r="EJ194">
        <v>0</v>
      </c>
      <c r="EK194" s="57">
        <f t="shared" si="123"/>
        <v>0</v>
      </c>
      <c r="EM194">
        <f t="shared" si="124"/>
        <v>0</v>
      </c>
      <c r="EN194">
        <v>17</v>
      </c>
      <c r="EO194" s="65">
        <f t="shared" si="125"/>
        <v>0</v>
      </c>
      <c r="EP194" s="65">
        <f t="shared" si="126"/>
        <v>0</v>
      </c>
      <c r="EQ194" s="65">
        <v>1</v>
      </c>
      <c r="ER194" s="65">
        <v>221</v>
      </c>
      <c r="ES194" s="65">
        <v>221</v>
      </c>
      <c r="ET194" s="286">
        <v>0</v>
      </c>
      <c r="EU194" s="249" t="b">
        <v>1</v>
      </c>
      <c r="EV194" s="288" t="str">
        <f t="shared" si="131"/>
        <v/>
      </c>
      <c r="EW194" t="s">
        <v>23</v>
      </c>
    </row>
    <row r="195" spans="19:153" ht="12.9" hidden="1" customHeight="1" thickBot="1" x14ac:dyDescent="0.25">
      <c r="S195" s="70"/>
      <c r="T195" s="449"/>
      <c r="U195" s="450"/>
      <c r="V195" s="450"/>
      <c r="W195" s="450"/>
      <c r="X195" s="454"/>
      <c r="Y195" s="642"/>
      <c r="Z195" s="643"/>
      <c r="AA195" s="643"/>
      <c r="AB195" s="643"/>
      <c r="AC195" s="643"/>
      <c r="AD195" s="644"/>
      <c r="AE195" s="283" t="str">
        <f t="shared" si="115"/>
        <v>ˣ</v>
      </c>
      <c r="AF195" s="388" t="str">
        <f t="shared" ca="1" si="116"/>
        <v>DATEN FEHLEN</v>
      </c>
      <c r="AG195" s="391"/>
      <c r="AH195" s="391"/>
      <c r="AI195" s="391"/>
      <c r="AJ195" s="391"/>
      <c r="AK195" s="391"/>
      <c r="AL195" s="391"/>
      <c r="AM195" s="391"/>
      <c r="AN195" s="391"/>
      <c r="AO195" s="455"/>
      <c r="AP195" s="455"/>
      <c r="AQ195" s="455"/>
      <c r="AR195" s="455"/>
      <c r="AS195" s="455"/>
      <c r="AT195" s="455"/>
      <c r="AU195" s="455"/>
      <c r="AV195" s="455"/>
      <c r="AW195" s="391"/>
      <c r="AX195" s="401"/>
      <c r="AY195" s="401"/>
      <c r="AZ195" s="391"/>
      <c r="BA195" s="391"/>
      <c r="BB195" s="401"/>
      <c r="BC195" s="70"/>
      <c r="BD195" s="70"/>
      <c r="BE195" s="70"/>
      <c r="BF195" s="70"/>
      <c r="BG195" s="70"/>
      <c r="BH195" s="70"/>
      <c r="BI195" s="70"/>
      <c r="BJ195" s="70"/>
      <c r="BK195" s="70"/>
      <c r="BL195" s="70"/>
      <c r="BM195" s="70"/>
      <c r="BN195" s="70"/>
      <c r="BO195" s="70"/>
      <c r="BP195" s="70"/>
      <c r="BQ195" s="70"/>
      <c r="BR195" s="70"/>
      <c r="CX195" s="249" t="s">
        <v>19</v>
      </c>
      <c r="DA195">
        <v>5</v>
      </c>
      <c r="DB195">
        <f ca="1">SUMIF(tabbermsp!$O$415:$P$418,"="&amp;DA195,tabbermsp!$L$415:$M$418)</f>
        <v>-1</v>
      </c>
      <c r="DD195" s="138" t="str">
        <f t="shared" ca="1" si="118"/>
        <v>Daten fehlen</v>
      </c>
      <c r="DE195" s="138" t="str">
        <f t="shared" ca="1" si="119"/>
        <v/>
      </c>
      <c r="DH195" s="138"/>
      <c r="DN195">
        <v>9</v>
      </c>
      <c r="DO195" s="249">
        <v>1</v>
      </c>
      <c r="DP195" s="249">
        <v>0</v>
      </c>
      <c r="DQ195" s="249">
        <v>0</v>
      </c>
      <c r="DR195" s="249" t="b">
        <v>1</v>
      </c>
      <c r="DS195" s="138"/>
      <c r="DT195" s="138" t="str">
        <f t="shared" si="127"/>
        <v/>
      </c>
      <c r="DU195" t="s">
        <v>23</v>
      </c>
      <c r="DV195" s="287" t="e">
        <f t="shared" si="128"/>
        <v>#N/A</v>
      </c>
      <c r="DW195" s="287" t="str">
        <f t="shared" si="129"/>
        <v/>
      </c>
      <c r="DZ195" s="138" t="str">
        <f t="shared" si="120"/>
        <v/>
      </c>
      <c r="EB195" s="291">
        <f>COUNTIF(DZ$191:DZ194,"="&amp;DZ195)</f>
        <v>0</v>
      </c>
      <c r="EC195">
        <f t="shared" si="130"/>
        <v>0</v>
      </c>
      <c r="ED195" s="138" t="str">
        <f t="shared" si="121"/>
        <v/>
      </c>
      <c r="EF195" s="285" t="str">
        <f t="shared" si="132"/>
        <v/>
      </c>
      <c r="EH195" s="138">
        <f t="shared" si="122"/>
        <v>0</v>
      </c>
      <c r="EJ195">
        <v>0</v>
      </c>
      <c r="EK195" s="57">
        <f t="shared" si="123"/>
        <v>0</v>
      </c>
      <c r="EM195">
        <f t="shared" si="124"/>
        <v>0</v>
      </c>
      <c r="EN195">
        <v>18</v>
      </c>
      <c r="EO195" s="65">
        <f t="shared" si="125"/>
        <v>0</v>
      </c>
      <c r="EP195" s="65">
        <f t="shared" si="126"/>
        <v>0</v>
      </c>
      <c r="EQ195" s="65">
        <v>1</v>
      </c>
      <c r="ER195" s="65">
        <v>222</v>
      </c>
      <c r="ES195" s="65">
        <v>222</v>
      </c>
      <c r="ET195" s="286">
        <v>0</v>
      </c>
      <c r="EU195" s="249" t="b">
        <v>1</v>
      </c>
      <c r="EV195" s="288" t="str">
        <f t="shared" si="131"/>
        <v/>
      </c>
      <c r="EW195" t="s">
        <v>23</v>
      </c>
    </row>
    <row r="196" spans="19:153" ht="12.9" hidden="1" customHeight="1" thickBot="1" x14ac:dyDescent="0.25">
      <c r="S196" s="70"/>
      <c r="T196" s="449"/>
      <c r="U196" s="450"/>
      <c r="V196" s="450"/>
      <c r="W196" s="450"/>
      <c r="X196" s="454"/>
      <c r="Y196" s="642"/>
      <c r="Z196" s="643"/>
      <c r="AA196" s="643"/>
      <c r="AB196" s="643"/>
      <c r="AC196" s="643"/>
      <c r="AD196" s="644"/>
      <c r="AE196" s="283" t="str">
        <f t="shared" si="115"/>
        <v>ˣ</v>
      </c>
      <c r="AF196" s="388" t="str">
        <f t="shared" ca="1" si="116"/>
        <v>DATEN FEHLEN</v>
      </c>
      <c r="AG196" s="391"/>
      <c r="AH196" s="391"/>
      <c r="AI196" s="391"/>
      <c r="AJ196" s="391"/>
      <c r="AK196" s="391"/>
      <c r="AL196" s="391"/>
      <c r="AM196" s="391"/>
      <c r="AN196" s="391"/>
      <c r="AO196" s="455"/>
      <c r="AP196" s="455"/>
      <c r="AQ196" s="455"/>
      <c r="AR196" s="455"/>
      <c r="AS196" s="455"/>
      <c r="AT196" s="455"/>
      <c r="AU196" s="455"/>
      <c r="AV196" s="455"/>
      <c r="AW196" s="391"/>
      <c r="AX196" s="401"/>
      <c r="AY196" s="401"/>
      <c r="AZ196" s="391"/>
      <c r="BA196" s="391"/>
      <c r="BB196" s="401"/>
      <c r="BC196" s="70"/>
      <c r="BD196" s="70"/>
      <c r="BE196" s="70"/>
      <c r="BF196" s="70"/>
      <c r="BG196" s="70"/>
      <c r="BH196" s="70"/>
      <c r="BI196" s="70"/>
      <c r="BJ196" s="70"/>
      <c r="BK196" s="70"/>
      <c r="BL196" s="70"/>
      <c r="BM196" s="70"/>
      <c r="BN196" s="70"/>
      <c r="BO196" s="70"/>
      <c r="BP196" s="70"/>
      <c r="BQ196" s="70"/>
      <c r="BR196" s="70"/>
      <c r="CX196" s="249" t="s">
        <v>19</v>
      </c>
      <c r="DA196">
        <v>6</v>
      </c>
      <c r="DB196">
        <f ca="1">SUMIF(tabbermsp!$O$415:$P$418,"="&amp;DA196,tabbermsp!$L$415:$M$418)</f>
        <v>-1</v>
      </c>
      <c r="DD196" s="138" t="str">
        <f t="shared" ca="1" si="118"/>
        <v>Daten fehlen</v>
      </c>
      <c r="DE196" s="138" t="str">
        <f t="shared" ca="1" si="119"/>
        <v/>
      </c>
      <c r="DH196" s="138"/>
      <c r="DN196">
        <v>9</v>
      </c>
      <c r="DO196" s="249">
        <v>1</v>
      </c>
      <c r="DP196" s="249">
        <v>0</v>
      </c>
      <c r="DQ196" s="249">
        <v>0</v>
      </c>
      <c r="DR196" s="249" t="b">
        <v>1</v>
      </c>
      <c r="DS196" s="138"/>
      <c r="DT196" s="138" t="str">
        <f t="shared" si="127"/>
        <v/>
      </c>
      <c r="DU196" t="s">
        <v>23</v>
      </c>
      <c r="DV196" s="287" t="e">
        <f t="shared" si="128"/>
        <v>#N/A</v>
      </c>
      <c r="DW196" s="287" t="str">
        <f t="shared" si="129"/>
        <v/>
      </c>
      <c r="DZ196" s="138" t="str">
        <f t="shared" si="120"/>
        <v/>
      </c>
      <c r="EB196" s="291">
        <f>COUNTIF(DZ$191:DZ195,"="&amp;DZ196)</f>
        <v>0</v>
      </c>
      <c r="EC196">
        <f t="shared" si="130"/>
        <v>0</v>
      </c>
      <c r="ED196" s="138" t="str">
        <f t="shared" si="121"/>
        <v/>
      </c>
      <c r="EF196" s="285" t="str">
        <f t="shared" si="132"/>
        <v/>
      </c>
      <c r="EH196" s="138">
        <f t="shared" si="122"/>
        <v>0</v>
      </c>
      <c r="EJ196">
        <v>0</v>
      </c>
      <c r="EK196" s="57">
        <f t="shared" si="123"/>
        <v>0</v>
      </c>
      <c r="EM196">
        <f t="shared" si="124"/>
        <v>0</v>
      </c>
      <c r="EN196">
        <v>19</v>
      </c>
      <c r="EO196" s="65">
        <f t="shared" si="125"/>
        <v>0</v>
      </c>
      <c r="EP196" s="65">
        <f t="shared" si="126"/>
        <v>0</v>
      </c>
      <c r="EQ196" s="65">
        <v>1</v>
      </c>
      <c r="ER196" s="65">
        <v>223</v>
      </c>
      <c r="ES196" s="65">
        <v>223</v>
      </c>
      <c r="ET196" s="286">
        <v>0</v>
      </c>
      <c r="EU196" s="249" t="b">
        <v>1</v>
      </c>
      <c r="EV196" s="288" t="str">
        <f t="shared" si="131"/>
        <v/>
      </c>
      <c r="EW196" t="s">
        <v>23</v>
      </c>
    </row>
    <row r="197" spans="19:153" ht="12.9" hidden="1" customHeight="1" thickBot="1" x14ac:dyDescent="0.25">
      <c r="S197" s="70"/>
      <c r="T197" s="449"/>
      <c r="U197" s="450"/>
      <c r="V197" s="450"/>
      <c r="W197" s="450"/>
      <c r="X197" s="454"/>
      <c r="Y197" s="642"/>
      <c r="Z197" s="643"/>
      <c r="AA197" s="643"/>
      <c r="AB197" s="643"/>
      <c r="AC197" s="643"/>
      <c r="AD197" s="644"/>
      <c r="AE197" s="283" t="str">
        <f t="shared" si="115"/>
        <v>ˣ</v>
      </c>
      <c r="AF197" s="388" t="str">
        <f t="shared" ca="1" si="116"/>
        <v>DATEN FEHLEN</v>
      </c>
      <c r="AG197" s="391"/>
      <c r="AH197" s="391"/>
      <c r="AI197" s="391"/>
      <c r="AJ197" s="391"/>
      <c r="AK197" s="391"/>
      <c r="AL197" s="391"/>
      <c r="AM197" s="391"/>
      <c r="AN197" s="391"/>
      <c r="AO197" s="455"/>
      <c r="AP197" s="455"/>
      <c r="AQ197" s="455"/>
      <c r="AR197" s="455"/>
      <c r="AS197" s="455"/>
      <c r="AT197" s="455"/>
      <c r="AU197" s="455"/>
      <c r="AV197" s="455"/>
      <c r="AW197" s="391"/>
      <c r="AX197" s="401"/>
      <c r="AY197" s="401"/>
      <c r="AZ197" s="391"/>
      <c r="BA197" s="391"/>
      <c r="BB197" s="401"/>
      <c r="BC197" s="70"/>
      <c r="BD197" s="70"/>
      <c r="BE197" s="70"/>
      <c r="BF197" s="70"/>
      <c r="BG197" s="70"/>
      <c r="BH197" s="70"/>
      <c r="BI197" s="70"/>
      <c r="BJ197" s="70"/>
      <c r="BK197" s="70"/>
      <c r="BL197" s="70"/>
      <c r="BM197" s="70"/>
      <c r="BN197" s="70"/>
      <c r="BO197" s="70"/>
      <c r="BP197" s="70"/>
      <c r="BQ197" s="70"/>
      <c r="BR197" s="70"/>
      <c r="CX197" s="249" t="s">
        <v>19</v>
      </c>
      <c r="DA197">
        <v>7</v>
      </c>
      <c r="DB197">
        <f ca="1">SUMIF(tabbermsp!$O$415:$P$418,"="&amp;DA197,tabbermsp!$L$415:$M$418)</f>
        <v>-1</v>
      </c>
      <c r="DD197" s="138" t="str">
        <f t="shared" ca="1" si="118"/>
        <v>Daten fehlen</v>
      </c>
      <c r="DE197" s="138" t="str">
        <f t="shared" ca="1" si="119"/>
        <v/>
      </c>
      <c r="DH197" s="138"/>
      <c r="DN197">
        <v>9</v>
      </c>
      <c r="DO197" s="249">
        <v>1</v>
      </c>
      <c r="DP197" s="249">
        <v>0</v>
      </c>
      <c r="DQ197" s="249">
        <v>0</v>
      </c>
      <c r="DR197" s="249" t="b">
        <v>1</v>
      </c>
      <c r="DS197" s="138"/>
      <c r="DT197" s="138" t="str">
        <f t="shared" si="127"/>
        <v/>
      </c>
      <c r="DU197" t="s">
        <v>23</v>
      </c>
      <c r="DV197" s="287" t="e">
        <f t="shared" si="128"/>
        <v>#N/A</v>
      </c>
      <c r="DW197" s="287" t="str">
        <f t="shared" si="129"/>
        <v/>
      </c>
      <c r="DZ197" s="138" t="str">
        <f t="shared" si="120"/>
        <v/>
      </c>
      <c r="EB197" s="291">
        <f>COUNTIF(DZ$191:DZ196,"="&amp;DZ197)</f>
        <v>0</v>
      </c>
      <c r="EC197">
        <f t="shared" si="130"/>
        <v>0</v>
      </c>
      <c r="ED197" s="138" t="str">
        <f t="shared" si="121"/>
        <v/>
      </c>
      <c r="EF197" s="285" t="str">
        <f t="shared" si="132"/>
        <v/>
      </c>
      <c r="EH197" s="138">
        <f t="shared" si="122"/>
        <v>0</v>
      </c>
      <c r="EJ197">
        <v>0</v>
      </c>
      <c r="EK197" s="57">
        <f t="shared" si="123"/>
        <v>0</v>
      </c>
      <c r="EM197">
        <f t="shared" si="124"/>
        <v>0</v>
      </c>
      <c r="EN197">
        <v>20</v>
      </c>
      <c r="EO197" s="65">
        <f t="shared" si="125"/>
        <v>0</v>
      </c>
      <c r="EP197" s="65">
        <f t="shared" si="126"/>
        <v>0</v>
      </c>
      <c r="EQ197" s="65">
        <v>1</v>
      </c>
      <c r="ER197" s="65">
        <v>224</v>
      </c>
      <c r="ES197" s="65">
        <v>224</v>
      </c>
      <c r="ET197" s="286">
        <v>0</v>
      </c>
      <c r="EU197" s="249" t="b">
        <v>1</v>
      </c>
      <c r="EV197" s="288" t="str">
        <f t="shared" si="131"/>
        <v/>
      </c>
      <c r="EW197" t="s">
        <v>23</v>
      </c>
    </row>
    <row r="198" spans="19:153" ht="12.9" hidden="1" customHeight="1" thickBot="1" x14ac:dyDescent="0.25">
      <c r="S198" s="70"/>
      <c r="T198" s="449"/>
      <c r="U198" s="450"/>
      <c r="V198" s="450"/>
      <c r="W198" s="450"/>
      <c r="X198" s="454"/>
      <c r="Y198" s="639"/>
      <c r="Z198" s="640"/>
      <c r="AA198" s="640"/>
      <c r="AB198" s="640"/>
      <c r="AC198" s="640"/>
      <c r="AD198" s="641"/>
      <c r="AE198" s="283" t="str">
        <f t="shared" si="115"/>
        <v>ˣ</v>
      </c>
      <c r="AF198" s="400" t="str">
        <f t="shared" ca="1" si="116"/>
        <v>DATEN FEHLEN</v>
      </c>
      <c r="AG198" s="396"/>
      <c r="AH198" s="396"/>
      <c r="AI198" s="396"/>
      <c r="AJ198" s="396"/>
      <c r="AK198" s="396"/>
      <c r="AL198" s="396"/>
      <c r="AM198" s="396"/>
      <c r="AN198" s="396"/>
      <c r="AO198" s="456"/>
      <c r="AP198" s="456"/>
      <c r="AQ198" s="456"/>
      <c r="AR198" s="456"/>
      <c r="AS198" s="456"/>
      <c r="AT198" s="456"/>
      <c r="AU198" s="456"/>
      <c r="AV198" s="456"/>
      <c r="AW198" s="396"/>
      <c r="AX198" s="402"/>
      <c r="AY198" s="402"/>
      <c r="AZ198" s="396"/>
      <c r="BA198" s="396"/>
      <c r="BB198" s="402"/>
      <c r="BC198" s="70"/>
      <c r="BD198" s="70"/>
      <c r="BE198" s="70"/>
      <c r="BF198" s="70"/>
      <c r="BG198" s="70"/>
      <c r="BH198" s="70"/>
      <c r="BI198" s="70"/>
      <c r="BJ198" s="70"/>
      <c r="BK198" s="70"/>
      <c r="BL198" s="70"/>
      <c r="BM198" s="70"/>
      <c r="BN198" s="70"/>
      <c r="BO198" s="70"/>
      <c r="BP198" s="70"/>
      <c r="BQ198" s="70"/>
      <c r="BR198" s="70"/>
      <c r="CX198" s="249" t="s">
        <v>19</v>
      </c>
      <c r="DA198">
        <v>8</v>
      </c>
      <c r="DB198">
        <f ca="1">SUMIF(tabbermsp!$O$415:$P$418,"="&amp;DA198,tabbermsp!$L$415:$M$418)</f>
        <v>-1</v>
      </c>
      <c r="DD198" s="138" t="str">
        <f t="shared" ca="1" si="118"/>
        <v>Daten fehlen</v>
      </c>
      <c r="DE198" s="138" t="str">
        <f t="shared" ca="1" si="119"/>
        <v/>
      </c>
      <c r="DH198" s="138"/>
      <c r="DN198">
        <v>9</v>
      </c>
      <c r="DO198" s="249">
        <v>1</v>
      </c>
      <c r="DP198" s="249">
        <v>0</v>
      </c>
      <c r="DQ198" s="249">
        <v>0</v>
      </c>
      <c r="DR198" s="249" t="b">
        <v>1</v>
      </c>
      <c r="DS198" s="138"/>
      <c r="DT198" s="138" t="str">
        <f t="shared" si="127"/>
        <v/>
      </c>
      <c r="DU198" t="s">
        <v>23</v>
      </c>
      <c r="DV198" s="287" t="e">
        <f t="shared" si="128"/>
        <v>#N/A</v>
      </c>
      <c r="DW198" s="287" t="str">
        <f t="shared" si="129"/>
        <v/>
      </c>
      <c r="DZ198" s="138" t="str">
        <f t="shared" si="120"/>
        <v/>
      </c>
      <c r="EB198" s="290">
        <f>COUNTIF(DZ$191:DZ197,"="&amp;DZ198)</f>
        <v>0</v>
      </c>
      <c r="EC198">
        <f t="shared" si="130"/>
        <v>0</v>
      </c>
      <c r="ED198" s="138" t="str">
        <f t="shared" si="121"/>
        <v/>
      </c>
      <c r="EF198" s="285" t="str">
        <f t="shared" si="132"/>
        <v/>
      </c>
      <c r="EH198" s="138">
        <f t="shared" si="122"/>
        <v>0</v>
      </c>
      <c r="EJ198">
        <v>0</v>
      </c>
      <c r="EK198" s="57">
        <f t="shared" si="123"/>
        <v>0</v>
      </c>
      <c r="EM198">
        <f t="shared" si="124"/>
        <v>0</v>
      </c>
      <c r="EN198">
        <v>21</v>
      </c>
      <c r="EO198" s="65">
        <f t="shared" si="125"/>
        <v>0</v>
      </c>
      <c r="EP198" s="65">
        <f t="shared" si="126"/>
        <v>0</v>
      </c>
      <c r="EQ198" s="65">
        <v>1</v>
      </c>
      <c r="ER198" s="65">
        <v>225</v>
      </c>
      <c r="ES198" s="65">
        <v>225</v>
      </c>
      <c r="ET198" s="286">
        <v>0</v>
      </c>
      <c r="EU198" s="249" t="b">
        <v>1</v>
      </c>
      <c r="EV198" s="288" t="str">
        <f t="shared" si="131"/>
        <v/>
      </c>
      <c r="EW198" t="s">
        <v>23</v>
      </c>
    </row>
    <row r="199" spans="19:153" ht="12.9" hidden="1" customHeight="1" thickBot="1" x14ac:dyDescent="0.25">
      <c r="S199" s="70"/>
      <c r="T199" s="446" t="s">
        <v>36</v>
      </c>
      <c r="U199" s="447"/>
      <c r="V199" s="447"/>
      <c r="W199" s="448"/>
      <c r="X199" s="292" t="s">
        <v>581</v>
      </c>
      <c r="Y199" s="636"/>
      <c r="Z199" s="637"/>
      <c r="AA199" s="637"/>
      <c r="AB199" s="637"/>
      <c r="AC199" s="637"/>
      <c r="AD199" s="638"/>
      <c r="AE199" s="283" t="str">
        <f t="shared" si="115"/>
        <v>ˣ</v>
      </c>
      <c r="AF199" s="393" t="str">
        <f t="shared" si="116"/>
        <v>DEUTSCHLAND (GER)</v>
      </c>
      <c r="AG199" s="394"/>
      <c r="AH199" s="394"/>
      <c r="AI199" s="394"/>
      <c r="AJ199" s="394"/>
      <c r="AK199" s="394"/>
      <c r="AL199" s="394"/>
      <c r="AM199" s="394"/>
      <c r="AN199" s="394"/>
      <c r="AO199" s="452" t="str">
        <f t="shared" ref="AO199:AO230" si="134">UPPER(INDEX($AU$292:$AU$301,DO199))</f>
        <v>KEINE PRÜFUNG</v>
      </c>
      <c r="AP199" s="452"/>
      <c r="AQ199" s="452"/>
      <c r="AR199" s="452"/>
      <c r="AS199" s="452"/>
      <c r="AT199" s="452"/>
      <c r="AU199" s="452"/>
      <c r="AV199" s="452"/>
      <c r="AW199" s="394"/>
      <c r="AX199" s="395"/>
      <c r="AY199" s="395"/>
      <c r="AZ199" s="394"/>
      <c r="BA199" s="394"/>
      <c r="BB199" s="395" t="str">
        <f t="shared" ref="BB199:BB230" si="135">UPPER(CX199)</f>
        <v>0 PKT.</v>
      </c>
      <c r="BC199" s="70"/>
      <c r="BD199" s="70"/>
      <c r="BE199" s="70"/>
      <c r="BF199" s="70"/>
      <c r="BG199" s="70"/>
      <c r="BH199" s="70"/>
      <c r="BI199" s="70"/>
      <c r="BJ199" s="70"/>
      <c r="BK199" s="70"/>
      <c r="BL199" s="70"/>
      <c r="BM199" s="70"/>
      <c r="BN199" s="70"/>
      <c r="BO199" s="70"/>
      <c r="BP199" s="70"/>
      <c r="BQ199" s="70"/>
      <c r="BR199" s="70"/>
      <c r="CX199" s="249" t="s">
        <v>19</v>
      </c>
      <c r="DA199" t="s">
        <v>37</v>
      </c>
      <c r="DB199">
        <f>tabbermsp!G406</f>
        <v>1</v>
      </c>
      <c r="DD199" s="138" t="str">
        <f t="shared" si="118"/>
        <v>DEUTSCHLAND (GER)</v>
      </c>
      <c r="DE199" s="138" t="str">
        <f t="shared" si="119"/>
        <v/>
      </c>
      <c r="DH199" s="138"/>
      <c r="DL199" t="s">
        <v>424</v>
      </c>
      <c r="DN199">
        <v>10</v>
      </c>
      <c r="DO199" s="249">
        <v>1</v>
      </c>
      <c r="DP199" s="249">
        <v>0</v>
      </c>
      <c r="DQ199" s="249">
        <v>0</v>
      </c>
      <c r="DR199" s="249" t="b">
        <v>1</v>
      </c>
      <c r="DS199" s="138"/>
      <c r="DT199" s="138" t="str">
        <f t="shared" si="127"/>
        <v/>
      </c>
      <c r="DU199" t="s">
        <v>38</v>
      </c>
      <c r="DV199" s="287" t="e">
        <f t="shared" si="128"/>
        <v>#N/A</v>
      </c>
      <c r="DW199" s="287" t="str">
        <f t="shared" si="129"/>
        <v/>
      </c>
      <c r="DX199" s="293">
        <f>IF(LEN(DW199)=0,0,1)</f>
        <v>0</v>
      </c>
      <c r="DZ199" s="138" t="str">
        <f t="shared" si="120"/>
        <v/>
      </c>
      <c r="EB199" s="289"/>
      <c r="EC199">
        <f t="shared" si="130"/>
        <v>0</v>
      </c>
      <c r="ED199" s="138" t="str">
        <f t="shared" si="121"/>
        <v/>
      </c>
      <c r="EF199" s="285" t="str">
        <f t="shared" si="132"/>
        <v/>
      </c>
      <c r="EH199" s="138">
        <f t="shared" si="122"/>
        <v>0</v>
      </c>
      <c r="EJ199">
        <v>0</v>
      </c>
      <c r="EK199" s="57">
        <f t="shared" si="123"/>
        <v>0</v>
      </c>
      <c r="EM199">
        <f t="shared" si="124"/>
        <v>0</v>
      </c>
      <c r="EN199">
        <v>22</v>
      </c>
      <c r="EO199" s="65">
        <f t="shared" si="125"/>
        <v>0</v>
      </c>
      <c r="EP199" s="65">
        <f t="shared" si="126"/>
        <v>0</v>
      </c>
      <c r="EQ199" s="65">
        <v>1</v>
      </c>
      <c r="ER199" s="65">
        <v>226</v>
      </c>
      <c r="ES199" s="65">
        <v>226</v>
      </c>
      <c r="ET199" s="286">
        <v>0</v>
      </c>
      <c r="EU199" s="249" t="b">
        <v>1</v>
      </c>
      <c r="EV199" s="288" t="str">
        <f t="shared" si="131"/>
        <v/>
      </c>
      <c r="EW199" t="s">
        <v>38</v>
      </c>
    </row>
    <row r="200" spans="19:153" ht="12.9" hidden="1" customHeight="1" thickBot="1" x14ac:dyDescent="0.25">
      <c r="S200" s="70"/>
      <c r="T200" s="449"/>
      <c r="U200" s="450"/>
      <c r="V200" s="450"/>
      <c r="W200" s="451"/>
      <c r="X200" s="294" t="s">
        <v>581</v>
      </c>
      <c r="Y200" s="642"/>
      <c r="Z200" s="643"/>
      <c r="AA200" s="643"/>
      <c r="AB200" s="643"/>
      <c r="AC200" s="643"/>
      <c r="AD200" s="644"/>
      <c r="AE200" s="283" t="str">
        <f t="shared" si="115"/>
        <v>ˣ</v>
      </c>
      <c r="AF200" s="393" t="str">
        <f t="shared" si="116"/>
        <v>SCHOTTLAND (SCO)</v>
      </c>
      <c r="AG200" s="394"/>
      <c r="AH200" s="394"/>
      <c r="AI200" s="394"/>
      <c r="AJ200" s="394"/>
      <c r="AK200" s="394"/>
      <c r="AL200" s="394"/>
      <c r="AM200" s="394"/>
      <c r="AN200" s="394"/>
      <c r="AO200" s="442" t="str">
        <f t="shared" si="134"/>
        <v>KEINE PRÜFUNG</v>
      </c>
      <c r="AP200" s="442"/>
      <c r="AQ200" s="442"/>
      <c r="AR200" s="442"/>
      <c r="AS200" s="442"/>
      <c r="AT200" s="442"/>
      <c r="AU200" s="442"/>
      <c r="AV200" s="442"/>
      <c r="AW200" s="394"/>
      <c r="AX200" s="395"/>
      <c r="AY200" s="395"/>
      <c r="AZ200" s="394"/>
      <c r="BA200" s="394"/>
      <c r="BB200" s="395" t="str">
        <f t="shared" si="135"/>
        <v>0 PKT.</v>
      </c>
      <c r="BC200" s="70"/>
      <c r="BD200" s="70"/>
      <c r="BE200" s="70"/>
      <c r="BF200" s="70"/>
      <c r="BG200" s="70"/>
      <c r="BH200" s="70"/>
      <c r="BI200" s="70"/>
      <c r="BJ200" s="70"/>
      <c r="BK200" s="70"/>
      <c r="BL200" s="70"/>
      <c r="BM200" s="70"/>
      <c r="BN200" s="70"/>
      <c r="BO200" s="70"/>
      <c r="BP200" s="70"/>
      <c r="BQ200" s="70"/>
      <c r="BR200" s="70"/>
      <c r="CX200" s="249" t="s">
        <v>19</v>
      </c>
      <c r="DA200" t="s">
        <v>39</v>
      </c>
      <c r="DB200">
        <f>tabbermsp!G407</f>
        <v>2</v>
      </c>
      <c r="DD200" s="138" t="str">
        <f t="shared" si="118"/>
        <v>SCHOTTLAND (SCO)</v>
      </c>
      <c r="DE200" s="138" t="str">
        <f t="shared" si="119"/>
        <v/>
      </c>
      <c r="DH200" s="138"/>
      <c r="DN200">
        <v>10</v>
      </c>
      <c r="DO200" s="249">
        <v>1</v>
      </c>
      <c r="DP200" s="249">
        <v>0</v>
      </c>
      <c r="DQ200" s="249">
        <v>0</v>
      </c>
      <c r="DR200" s="249" t="b">
        <v>1</v>
      </c>
      <c r="DS200" s="138"/>
      <c r="DT200" s="138" t="str">
        <f t="shared" si="127"/>
        <v/>
      </c>
      <c r="DU200" t="s">
        <v>38</v>
      </c>
      <c r="DV200" s="287" t="e">
        <f t="shared" si="128"/>
        <v>#N/A</v>
      </c>
      <c r="DW200" s="287" t="str">
        <f t="shared" si="129"/>
        <v/>
      </c>
      <c r="DX200" s="212">
        <f>IF(LEN(DW200)=0,0,1)</f>
        <v>0</v>
      </c>
      <c r="DZ200" s="138" t="str">
        <f t="shared" si="120"/>
        <v/>
      </c>
      <c r="EB200" s="291">
        <f>COUNTIF(DZ$199:DZ199,"="&amp;DZ200)</f>
        <v>0</v>
      </c>
      <c r="EC200">
        <f t="shared" si="130"/>
        <v>0</v>
      </c>
      <c r="ED200" s="138" t="str">
        <f t="shared" si="121"/>
        <v/>
      </c>
      <c r="EF200" s="285" t="str">
        <f t="shared" si="132"/>
        <v/>
      </c>
      <c r="EH200" s="138">
        <f t="shared" si="122"/>
        <v>0</v>
      </c>
      <c r="EJ200">
        <v>0</v>
      </c>
      <c r="EK200" s="57">
        <f t="shared" si="123"/>
        <v>0</v>
      </c>
      <c r="EM200">
        <f t="shared" si="124"/>
        <v>0</v>
      </c>
      <c r="EN200">
        <v>23</v>
      </c>
      <c r="EO200" s="65">
        <f t="shared" si="125"/>
        <v>0</v>
      </c>
      <c r="EP200" s="65">
        <f t="shared" si="126"/>
        <v>0</v>
      </c>
      <c r="EQ200" s="65">
        <v>1</v>
      </c>
      <c r="ER200" s="65">
        <v>227</v>
      </c>
      <c r="ES200" s="65">
        <v>227</v>
      </c>
      <c r="ET200" s="286">
        <v>0</v>
      </c>
      <c r="EU200" s="249" t="b">
        <v>1</v>
      </c>
      <c r="EV200" s="288" t="str">
        <f t="shared" si="131"/>
        <v/>
      </c>
      <c r="EW200" t="s">
        <v>38</v>
      </c>
    </row>
    <row r="201" spans="19:153" ht="12.9" hidden="1" customHeight="1" thickBot="1" x14ac:dyDescent="0.25">
      <c r="S201" s="70"/>
      <c r="T201" s="295"/>
      <c r="U201" s="296"/>
      <c r="V201" s="296"/>
      <c r="W201" s="296"/>
      <c r="X201" s="297" t="s">
        <v>601</v>
      </c>
      <c r="Y201" s="645"/>
      <c r="Z201" s="646"/>
      <c r="AA201" s="646"/>
      <c r="AB201" s="646"/>
      <c r="AC201" s="646"/>
      <c r="AD201" s="647"/>
      <c r="AE201" s="283" t="str">
        <f t="shared" si="115"/>
        <v>ˣ</v>
      </c>
      <c r="AF201" s="393" t="str">
        <f t="shared" si="116"/>
        <v>SPANIEN (ESP)</v>
      </c>
      <c r="AG201" s="394"/>
      <c r="AH201" s="394"/>
      <c r="AI201" s="394"/>
      <c r="AJ201" s="394"/>
      <c r="AK201" s="394"/>
      <c r="AL201" s="394"/>
      <c r="AM201" s="394"/>
      <c r="AN201" s="394"/>
      <c r="AO201" s="442" t="str">
        <f t="shared" si="134"/>
        <v>KEINE PRÜFUNG</v>
      </c>
      <c r="AP201" s="442"/>
      <c r="AQ201" s="442"/>
      <c r="AR201" s="442"/>
      <c r="AS201" s="442"/>
      <c r="AT201" s="442"/>
      <c r="AU201" s="442"/>
      <c r="AV201" s="442"/>
      <c r="AW201" s="394"/>
      <c r="AX201" s="395"/>
      <c r="AY201" s="395"/>
      <c r="AZ201" s="394"/>
      <c r="BA201" s="394"/>
      <c r="BB201" s="395" t="str">
        <f t="shared" si="135"/>
        <v>0 PKT.</v>
      </c>
      <c r="BC201" s="70"/>
      <c r="BD201" s="70"/>
      <c r="BE201" s="70"/>
      <c r="BF201" s="70"/>
      <c r="BG201" s="70"/>
      <c r="BH201" s="70"/>
      <c r="BI201" s="70"/>
      <c r="BJ201" s="70"/>
      <c r="BK201" s="70"/>
      <c r="BL201" s="70"/>
      <c r="BM201" s="70"/>
      <c r="BN201" s="70"/>
      <c r="BO201" s="70"/>
      <c r="BP201" s="70"/>
      <c r="BQ201" s="70"/>
      <c r="BR201" s="70"/>
      <c r="CX201" s="249" t="s">
        <v>19</v>
      </c>
      <c r="DA201" t="s">
        <v>40</v>
      </c>
      <c r="DB201">
        <f>tabbermsp!G408</f>
        <v>5</v>
      </c>
      <c r="DD201" s="138" t="str">
        <f t="shared" si="118"/>
        <v>SPANIEN (ESP)</v>
      </c>
      <c r="DE201" s="138" t="str">
        <f t="shared" si="119"/>
        <v/>
      </c>
      <c r="DH201" s="138"/>
      <c r="DN201">
        <v>10</v>
      </c>
      <c r="DO201" s="249">
        <v>1</v>
      </c>
      <c r="DP201" s="249">
        <v>0</v>
      </c>
      <c r="DQ201" s="249">
        <v>0</v>
      </c>
      <c r="DR201" s="249" t="b">
        <v>1</v>
      </c>
      <c r="DS201" s="138"/>
      <c r="DT201" s="138" t="str">
        <f t="shared" si="127"/>
        <v/>
      </c>
      <c r="DU201" t="s">
        <v>41</v>
      </c>
      <c r="DV201" s="287" t="e">
        <f t="shared" si="128"/>
        <v>#N/A</v>
      </c>
      <c r="DW201" s="287" t="str">
        <f t="shared" si="129"/>
        <v/>
      </c>
      <c r="DX201" s="212">
        <f>IF(LEN(DW201)=0,0,2)</f>
        <v>0</v>
      </c>
      <c r="DZ201" s="138" t="str">
        <f t="shared" si="120"/>
        <v/>
      </c>
      <c r="EB201" s="291">
        <f>COUNTIF(DZ$199:DZ200,"="&amp;DZ201)</f>
        <v>0</v>
      </c>
      <c r="EC201">
        <f t="shared" si="130"/>
        <v>0</v>
      </c>
      <c r="ED201" s="138" t="str">
        <f t="shared" si="121"/>
        <v/>
      </c>
      <c r="EF201" s="285" t="str">
        <f t="shared" si="132"/>
        <v/>
      </c>
      <c r="EH201" s="138">
        <f t="shared" si="122"/>
        <v>0</v>
      </c>
      <c r="EJ201">
        <v>0</v>
      </c>
      <c r="EK201" s="57">
        <f t="shared" si="123"/>
        <v>0</v>
      </c>
      <c r="EM201">
        <f t="shared" si="124"/>
        <v>0</v>
      </c>
      <c r="EN201">
        <v>24</v>
      </c>
      <c r="EO201" s="65">
        <f t="shared" si="125"/>
        <v>0</v>
      </c>
      <c r="EP201" s="65">
        <f t="shared" si="126"/>
        <v>0</v>
      </c>
      <c r="EQ201" s="65">
        <v>1</v>
      </c>
      <c r="ER201" s="65">
        <v>228</v>
      </c>
      <c r="ES201" s="65">
        <v>228</v>
      </c>
      <c r="ET201" s="286">
        <v>0</v>
      </c>
      <c r="EU201" s="249" t="b">
        <v>1</v>
      </c>
      <c r="EV201" s="288" t="str">
        <f t="shared" si="131"/>
        <v/>
      </c>
      <c r="EW201" t="s">
        <v>41</v>
      </c>
    </row>
    <row r="202" spans="19:153" ht="12.9" hidden="1" customHeight="1" thickBot="1" x14ac:dyDescent="0.25">
      <c r="S202" s="70"/>
      <c r="T202" s="443" t="s">
        <v>42</v>
      </c>
      <c r="U202" s="444"/>
      <c r="V202" s="444"/>
      <c r="W202" s="445"/>
      <c r="X202" s="294" t="s">
        <v>601</v>
      </c>
      <c r="Y202" s="642"/>
      <c r="Z202" s="643"/>
      <c r="AA202" s="643"/>
      <c r="AB202" s="643"/>
      <c r="AC202" s="643"/>
      <c r="AD202" s="644"/>
      <c r="AE202" s="283" t="str">
        <f t="shared" si="115"/>
        <v>ˣ</v>
      </c>
      <c r="AF202" s="393" t="str">
        <f t="shared" si="116"/>
        <v>KROATIEN (CRO)</v>
      </c>
      <c r="AG202" s="394"/>
      <c r="AH202" s="394"/>
      <c r="AI202" s="394"/>
      <c r="AJ202" s="394"/>
      <c r="AK202" s="394"/>
      <c r="AL202" s="394"/>
      <c r="AM202" s="394"/>
      <c r="AN202" s="394"/>
      <c r="AO202" s="442" t="str">
        <f t="shared" si="134"/>
        <v>KEINE PRÜFUNG</v>
      </c>
      <c r="AP202" s="442"/>
      <c r="AQ202" s="442"/>
      <c r="AR202" s="442"/>
      <c r="AS202" s="442"/>
      <c r="AT202" s="442"/>
      <c r="AU202" s="442"/>
      <c r="AV202" s="442"/>
      <c r="AW202" s="394"/>
      <c r="AX202" s="395"/>
      <c r="AY202" s="395"/>
      <c r="AZ202" s="394"/>
      <c r="BA202" s="394"/>
      <c r="BB202" s="395" t="str">
        <f t="shared" si="135"/>
        <v>0 PKT.</v>
      </c>
      <c r="BC202" s="70"/>
      <c r="BD202" s="70"/>
      <c r="BE202" s="70"/>
      <c r="BF202" s="70"/>
      <c r="BG202" s="70"/>
      <c r="BH202" s="70"/>
      <c r="BI202" s="70"/>
      <c r="BJ202" s="70"/>
      <c r="BK202" s="70"/>
      <c r="BL202" s="70"/>
      <c r="BM202" s="70"/>
      <c r="BN202" s="70"/>
      <c r="BO202" s="70"/>
      <c r="BP202" s="70"/>
      <c r="BQ202" s="70"/>
      <c r="BR202" s="70"/>
      <c r="CX202" s="249" t="s">
        <v>19</v>
      </c>
      <c r="DA202" t="s">
        <v>43</v>
      </c>
      <c r="DB202">
        <f>tabbermsp!G409</f>
        <v>6</v>
      </c>
      <c r="DD202" s="138" t="str">
        <f t="shared" si="118"/>
        <v>KROATIEN (CRO)</v>
      </c>
      <c r="DE202" s="138" t="str">
        <f t="shared" si="119"/>
        <v/>
      </c>
      <c r="DH202" s="138"/>
      <c r="DN202">
        <v>10</v>
      </c>
      <c r="DO202" s="249">
        <v>1</v>
      </c>
      <c r="DP202" s="249">
        <v>0</v>
      </c>
      <c r="DQ202" s="249">
        <v>0</v>
      </c>
      <c r="DR202" s="249" t="b">
        <v>1</v>
      </c>
      <c r="DS202" s="138"/>
      <c r="DT202" s="138" t="str">
        <f t="shared" si="127"/>
        <v/>
      </c>
      <c r="DU202" t="s">
        <v>41</v>
      </c>
      <c r="DV202" s="287" t="e">
        <f t="shared" si="128"/>
        <v>#N/A</v>
      </c>
      <c r="DW202" s="287" t="str">
        <f t="shared" si="129"/>
        <v/>
      </c>
      <c r="DX202" s="212">
        <f>IF(LEN(DW202)=0,0,2)</f>
        <v>0</v>
      </c>
      <c r="DZ202" s="138" t="str">
        <f t="shared" si="120"/>
        <v/>
      </c>
      <c r="EB202" s="291">
        <f>COUNTIF(DZ$199:DZ201,"="&amp;DZ202)</f>
        <v>0</v>
      </c>
      <c r="EC202">
        <f t="shared" si="130"/>
        <v>0</v>
      </c>
      <c r="ED202" s="138" t="str">
        <f t="shared" si="121"/>
        <v/>
      </c>
      <c r="EF202" s="285" t="str">
        <f t="shared" si="132"/>
        <v/>
      </c>
      <c r="EH202" s="138">
        <f t="shared" si="122"/>
        <v>0</v>
      </c>
      <c r="EJ202">
        <v>0</v>
      </c>
      <c r="EK202" s="57">
        <f t="shared" si="123"/>
        <v>0</v>
      </c>
      <c r="EM202">
        <f t="shared" si="124"/>
        <v>0</v>
      </c>
      <c r="EN202">
        <v>25</v>
      </c>
      <c r="EO202" s="65">
        <f t="shared" si="125"/>
        <v>0</v>
      </c>
      <c r="EP202" s="65">
        <f t="shared" si="126"/>
        <v>0</v>
      </c>
      <c r="EQ202" s="65">
        <v>1</v>
      </c>
      <c r="ER202" s="65">
        <v>229</v>
      </c>
      <c r="ES202" s="65">
        <v>229</v>
      </c>
      <c r="ET202" s="286">
        <v>0</v>
      </c>
      <c r="EU202" s="249" t="b">
        <v>1</v>
      </c>
      <c r="EV202" s="288" t="str">
        <f t="shared" si="131"/>
        <v/>
      </c>
      <c r="EW202" t="s">
        <v>41</v>
      </c>
    </row>
    <row r="203" spans="19:153" ht="12.9" hidden="1" customHeight="1" thickBot="1" x14ac:dyDescent="0.25">
      <c r="S203" s="70"/>
      <c r="T203" s="443" t="s">
        <v>44</v>
      </c>
      <c r="U203" s="444"/>
      <c r="V203" s="444"/>
      <c r="W203" s="445"/>
      <c r="X203" s="294" t="s">
        <v>613</v>
      </c>
      <c r="Y203" s="642"/>
      <c r="Z203" s="643"/>
      <c r="AA203" s="643"/>
      <c r="AB203" s="643"/>
      <c r="AC203" s="643"/>
      <c r="AD203" s="644"/>
      <c r="AE203" s="283" t="str">
        <f t="shared" si="115"/>
        <v>ˣ</v>
      </c>
      <c r="AF203" s="393" t="str">
        <f t="shared" si="116"/>
        <v>SLOWENIEN (SLO)</v>
      </c>
      <c r="AG203" s="394"/>
      <c r="AH203" s="394"/>
      <c r="AI203" s="394"/>
      <c r="AJ203" s="394"/>
      <c r="AK203" s="394"/>
      <c r="AL203" s="394"/>
      <c r="AM203" s="394"/>
      <c r="AN203" s="394"/>
      <c r="AO203" s="442" t="str">
        <f t="shared" si="134"/>
        <v>KEINE PRÜFUNG</v>
      </c>
      <c r="AP203" s="442"/>
      <c r="AQ203" s="442"/>
      <c r="AR203" s="442"/>
      <c r="AS203" s="442"/>
      <c r="AT203" s="442"/>
      <c r="AU203" s="442"/>
      <c r="AV203" s="442"/>
      <c r="AW203" s="394"/>
      <c r="AX203" s="395"/>
      <c r="AY203" s="395"/>
      <c r="AZ203" s="394"/>
      <c r="BA203" s="394"/>
      <c r="BB203" s="395" t="str">
        <f t="shared" si="135"/>
        <v>0 PKT.</v>
      </c>
      <c r="BC203" s="70"/>
      <c r="BD203" s="70"/>
      <c r="BE203" s="70"/>
      <c r="BF203" s="70"/>
      <c r="BG203" s="70"/>
      <c r="BH203" s="70"/>
      <c r="BI203" s="70"/>
      <c r="BJ203" s="70"/>
      <c r="BK203" s="70"/>
      <c r="BL203" s="70"/>
      <c r="BM203" s="70"/>
      <c r="BN203" s="70"/>
      <c r="BO203" s="70"/>
      <c r="BP203" s="70"/>
      <c r="BQ203" s="70"/>
      <c r="BR203" s="70"/>
      <c r="CX203" s="249" t="s">
        <v>19</v>
      </c>
      <c r="DA203" t="s">
        <v>45</v>
      </c>
      <c r="DB203">
        <f>tabbermsp!G410</f>
        <v>9</v>
      </c>
      <c r="DD203" s="138" t="str">
        <f t="shared" si="118"/>
        <v>SLOWENIEN (SLO)</v>
      </c>
      <c r="DE203" s="138" t="str">
        <f t="shared" si="119"/>
        <v/>
      </c>
      <c r="DH203" s="138"/>
      <c r="DN203">
        <v>10</v>
      </c>
      <c r="DO203" s="249">
        <v>1</v>
      </c>
      <c r="DP203" s="249">
        <v>0</v>
      </c>
      <c r="DQ203" s="249">
        <v>0</v>
      </c>
      <c r="DR203" s="249" t="b">
        <v>1</v>
      </c>
      <c r="DS203" s="138"/>
      <c r="DT203" s="138" t="str">
        <f t="shared" si="127"/>
        <v/>
      </c>
      <c r="DU203" t="s">
        <v>46</v>
      </c>
      <c r="DV203" s="287" t="e">
        <f t="shared" si="128"/>
        <v>#N/A</v>
      </c>
      <c r="DW203" s="287" t="str">
        <f t="shared" si="129"/>
        <v/>
      </c>
      <c r="DX203" s="212">
        <f>IF(LEN(DW203)=0,0,3)</f>
        <v>0</v>
      </c>
      <c r="DZ203" s="138" t="str">
        <f t="shared" si="120"/>
        <v/>
      </c>
      <c r="EB203" s="291">
        <f>COUNTIF(DZ$199:DZ202,"="&amp;DZ203)</f>
        <v>0</v>
      </c>
      <c r="EC203">
        <f t="shared" si="130"/>
        <v>0</v>
      </c>
      <c r="ED203" s="138" t="str">
        <f t="shared" si="121"/>
        <v/>
      </c>
      <c r="EF203" s="285" t="str">
        <f t="shared" si="132"/>
        <v/>
      </c>
      <c r="EH203" s="138">
        <f t="shared" si="122"/>
        <v>0</v>
      </c>
      <c r="EJ203">
        <v>0</v>
      </c>
      <c r="EK203" s="57">
        <f t="shared" si="123"/>
        <v>0</v>
      </c>
      <c r="EM203">
        <f t="shared" si="124"/>
        <v>0</v>
      </c>
      <c r="EN203">
        <v>26</v>
      </c>
      <c r="EO203" s="65">
        <f t="shared" si="125"/>
        <v>0</v>
      </c>
      <c r="EP203" s="65">
        <f t="shared" si="126"/>
        <v>0</v>
      </c>
      <c r="EQ203" s="65">
        <v>1</v>
      </c>
      <c r="ER203" s="65">
        <v>230</v>
      </c>
      <c r="ES203" s="65">
        <v>230</v>
      </c>
      <c r="ET203" s="286">
        <v>0</v>
      </c>
      <c r="EU203" s="249" t="b">
        <v>1</v>
      </c>
      <c r="EV203" s="288" t="str">
        <f t="shared" si="131"/>
        <v/>
      </c>
      <c r="EW203" t="s">
        <v>46</v>
      </c>
    </row>
    <row r="204" spans="19:153" ht="12.9" hidden="1" customHeight="1" thickBot="1" x14ac:dyDescent="0.25">
      <c r="S204" s="70"/>
      <c r="T204" s="299"/>
      <c r="U204" s="300"/>
      <c r="V204" s="300"/>
      <c r="W204" s="301"/>
      <c r="X204" s="294" t="s">
        <v>613</v>
      </c>
      <c r="Y204" s="642"/>
      <c r="Z204" s="643"/>
      <c r="AA204" s="643"/>
      <c r="AB204" s="643"/>
      <c r="AC204" s="643"/>
      <c r="AD204" s="644"/>
      <c r="AE204" s="283" t="str">
        <f t="shared" si="115"/>
        <v>ˣ</v>
      </c>
      <c r="AF204" s="393" t="str">
        <f t="shared" si="116"/>
        <v>DÄNEMARK (DEN)</v>
      </c>
      <c r="AG204" s="394"/>
      <c r="AH204" s="394"/>
      <c r="AI204" s="394"/>
      <c r="AJ204" s="394"/>
      <c r="AK204" s="394"/>
      <c r="AL204" s="394"/>
      <c r="AM204" s="394"/>
      <c r="AN204" s="394"/>
      <c r="AO204" s="442" t="str">
        <f t="shared" si="134"/>
        <v>KEINE PRÜFUNG</v>
      </c>
      <c r="AP204" s="442"/>
      <c r="AQ204" s="442"/>
      <c r="AR204" s="442"/>
      <c r="AS204" s="442"/>
      <c r="AT204" s="442"/>
      <c r="AU204" s="442"/>
      <c r="AV204" s="442"/>
      <c r="AW204" s="394"/>
      <c r="AX204" s="395"/>
      <c r="AY204" s="395"/>
      <c r="AZ204" s="394"/>
      <c r="BA204" s="394"/>
      <c r="BB204" s="395" t="str">
        <f t="shared" si="135"/>
        <v>0 PKT.</v>
      </c>
      <c r="BC204" s="70"/>
      <c r="BD204" s="70"/>
      <c r="BE204" s="70"/>
      <c r="BF204" s="70"/>
      <c r="BG204" s="70"/>
      <c r="BH204" s="70"/>
      <c r="BI204" s="70"/>
      <c r="BJ204" s="70"/>
      <c r="BK204" s="70"/>
      <c r="BL204" s="70"/>
      <c r="BM204" s="70"/>
      <c r="BN204" s="70"/>
      <c r="BO204" s="70"/>
      <c r="BP204" s="70"/>
      <c r="BQ204" s="70"/>
      <c r="BR204" s="70"/>
      <c r="CX204" s="249" t="s">
        <v>19</v>
      </c>
      <c r="DA204" t="s">
        <v>47</v>
      </c>
      <c r="DB204">
        <f>tabbermsp!G411</f>
        <v>10</v>
      </c>
      <c r="DD204" s="138" t="str">
        <f t="shared" si="118"/>
        <v>DÄNEMARK (DEN)</v>
      </c>
      <c r="DE204" s="138" t="str">
        <f t="shared" si="119"/>
        <v/>
      </c>
      <c r="DH204" s="138"/>
      <c r="DN204">
        <v>10</v>
      </c>
      <c r="DO204" s="249">
        <v>1</v>
      </c>
      <c r="DP204" s="249">
        <v>0</v>
      </c>
      <c r="DQ204" s="249">
        <v>0</v>
      </c>
      <c r="DR204" s="249" t="b">
        <v>1</v>
      </c>
      <c r="DS204" s="138"/>
      <c r="DT204" s="138" t="str">
        <f t="shared" si="127"/>
        <v/>
      </c>
      <c r="DU204" t="s">
        <v>46</v>
      </c>
      <c r="DV204" s="287" t="e">
        <f t="shared" si="128"/>
        <v>#N/A</v>
      </c>
      <c r="DW204" s="287" t="str">
        <f t="shared" si="129"/>
        <v/>
      </c>
      <c r="DX204" s="212">
        <f>IF(LEN(DW204)=0,0,3)</f>
        <v>0</v>
      </c>
      <c r="DZ204" s="138" t="str">
        <f t="shared" si="120"/>
        <v/>
      </c>
      <c r="EB204" s="291">
        <f>COUNTIF(DZ$199:DZ203,"="&amp;DZ204)</f>
        <v>0</v>
      </c>
      <c r="EC204">
        <f t="shared" si="130"/>
        <v>0</v>
      </c>
      <c r="ED204" s="138" t="str">
        <f t="shared" si="121"/>
        <v/>
      </c>
      <c r="EF204" s="285" t="str">
        <f t="shared" si="132"/>
        <v/>
      </c>
      <c r="EH204" s="138">
        <f t="shared" si="122"/>
        <v>0</v>
      </c>
      <c r="EJ204">
        <v>0</v>
      </c>
      <c r="EK204" s="57">
        <f t="shared" si="123"/>
        <v>0</v>
      </c>
      <c r="EM204">
        <f t="shared" si="124"/>
        <v>0</v>
      </c>
      <c r="EN204">
        <v>27</v>
      </c>
      <c r="EO204" s="65">
        <f t="shared" si="125"/>
        <v>0</v>
      </c>
      <c r="EP204" s="65">
        <f t="shared" si="126"/>
        <v>0</v>
      </c>
      <c r="EQ204" s="65">
        <v>1</v>
      </c>
      <c r="ER204" s="65">
        <v>231</v>
      </c>
      <c r="ES204" s="65">
        <v>231</v>
      </c>
      <c r="ET204" s="286">
        <v>0</v>
      </c>
      <c r="EU204" s="249" t="b">
        <v>1</v>
      </c>
      <c r="EV204" s="288" t="str">
        <f t="shared" si="131"/>
        <v/>
      </c>
      <c r="EW204" t="s">
        <v>46</v>
      </c>
    </row>
    <row r="205" spans="19:153" ht="12.9" hidden="1" customHeight="1" thickBot="1" x14ac:dyDescent="0.25">
      <c r="S205" s="70"/>
      <c r="T205" s="443" t="s">
        <v>48</v>
      </c>
      <c r="U205" s="444"/>
      <c r="V205" s="444"/>
      <c r="W205" s="445"/>
      <c r="X205" s="294" t="s">
        <v>608</v>
      </c>
      <c r="Y205" s="642"/>
      <c r="Z205" s="643"/>
      <c r="AA205" s="643"/>
      <c r="AB205" s="643"/>
      <c r="AC205" s="643"/>
      <c r="AD205" s="644"/>
      <c r="AE205" s="283" t="str">
        <f t="shared" si="115"/>
        <v>ˣ</v>
      </c>
      <c r="AF205" s="393" t="str">
        <f t="shared" si="116"/>
        <v>POLEN (POL)</v>
      </c>
      <c r="AG205" s="394"/>
      <c r="AH205" s="394"/>
      <c r="AI205" s="394"/>
      <c r="AJ205" s="394"/>
      <c r="AK205" s="394"/>
      <c r="AL205" s="394"/>
      <c r="AM205" s="394"/>
      <c r="AN205" s="394"/>
      <c r="AO205" s="442" t="str">
        <f t="shared" si="134"/>
        <v>KEINE PRÜFUNG</v>
      </c>
      <c r="AP205" s="442"/>
      <c r="AQ205" s="442"/>
      <c r="AR205" s="442"/>
      <c r="AS205" s="442"/>
      <c r="AT205" s="442"/>
      <c r="AU205" s="442"/>
      <c r="AV205" s="442"/>
      <c r="AW205" s="394"/>
      <c r="AX205" s="395"/>
      <c r="AY205" s="395"/>
      <c r="AZ205" s="394"/>
      <c r="BA205" s="394"/>
      <c r="BB205" s="395" t="str">
        <f t="shared" si="135"/>
        <v>0 PKT.</v>
      </c>
      <c r="BC205" s="70"/>
      <c r="BD205" s="70"/>
      <c r="BE205" s="70"/>
      <c r="BF205" s="70"/>
      <c r="BG205" s="70"/>
      <c r="BH205" s="70"/>
      <c r="BI205" s="70"/>
      <c r="BJ205" s="70"/>
      <c r="BK205" s="70"/>
      <c r="BL205" s="70"/>
      <c r="BM205" s="70"/>
      <c r="BN205" s="70"/>
      <c r="BO205" s="70"/>
      <c r="BP205" s="70"/>
      <c r="BQ205" s="70"/>
      <c r="BR205" s="70"/>
      <c r="CX205" s="249" t="s">
        <v>19</v>
      </c>
      <c r="DA205" t="s">
        <v>49</v>
      </c>
      <c r="DB205">
        <f>tabbermsp!G412</f>
        <v>13</v>
      </c>
      <c r="DD205" s="138" t="str">
        <f t="shared" si="118"/>
        <v>POLEN (POL)</v>
      </c>
      <c r="DE205" s="138" t="str">
        <f t="shared" si="119"/>
        <v/>
      </c>
      <c r="DH205" s="138"/>
      <c r="DN205">
        <v>10</v>
      </c>
      <c r="DO205" s="249">
        <v>1</v>
      </c>
      <c r="DP205" s="249">
        <v>0</v>
      </c>
      <c r="DQ205" s="249">
        <v>0</v>
      </c>
      <c r="DR205" s="249" t="b">
        <v>1</v>
      </c>
      <c r="DS205" s="138"/>
      <c r="DT205" s="138" t="str">
        <f t="shared" si="127"/>
        <v/>
      </c>
      <c r="DU205" t="s">
        <v>50</v>
      </c>
      <c r="DV205" s="287" t="e">
        <f t="shared" si="128"/>
        <v>#N/A</v>
      </c>
      <c r="DW205" s="287" t="str">
        <f t="shared" si="129"/>
        <v/>
      </c>
      <c r="DX205" s="212">
        <f>IF(LEN(DW205)=0,0,4)</f>
        <v>0</v>
      </c>
      <c r="DZ205" s="138" t="str">
        <f t="shared" si="120"/>
        <v/>
      </c>
      <c r="EB205" s="291">
        <f>COUNTIF(DZ$199:DZ204,"="&amp;DZ205)</f>
        <v>0</v>
      </c>
      <c r="EC205">
        <f t="shared" si="130"/>
        <v>0</v>
      </c>
      <c r="ED205" s="138" t="str">
        <f t="shared" si="121"/>
        <v/>
      </c>
      <c r="EF205" s="285" t="str">
        <f t="shared" si="132"/>
        <v/>
      </c>
      <c r="EH205" s="138">
        <f t="shared" si="122"/>
        <v>0</v>
      </c>
      <c r="EJ205">
        <v>0</v>
      </c>
      <c r="EK205" s="57">
        <f t="shared" si="123"/>
        <v>0</v>
      </c>
      <c r="EM205">
        <f t="shared" si="124"/>
        <v>0</v>
      </c>
      <c r="EN205">
        <v>28</v>
      </c>
      <c r="EO205" s="65">
        <f t="shared" si="125"/>
        <v>0</v>
      </c>
      <c r="EP205" s="65">
        <f t="shared" si="126"/>
        <v>0</v>
      </c>
      <c r="EQ205" s="65">
        <v>1</v>
      </c>
      <c r="ER205" s="65">
        <v>232</v>
      </c>
      <c r="ES205" s="65">
        <v>232</v>
      </c>
      <c r="ET205" s="286">
        <v>0</v>
      </c>
      <c r="EU205" s="249" t="b">
        <v>1</v>
      </c>
      <c r="EV205" s="288" t="str">
        <f t="shared" si="131"/>
        <v/>
      </c>
      <c r="EW205" t="s">
        <v>50</v>
      </c>
    </row>
    <row r="206" spans="19:153" ht="12.9" hidden="1" customHeight="1" thickBot="1" x14ac:dyDescent="0.25">
      <c r="S206" s="70"/>
      <c r="T206" s="443" t="s">
        <v>51</v>
      </c>
      <c r="U206" s="444"/>
      <c r="V206" s="444"/>
      <c r="W206" s="445"/>
      <c r="X206" s="294" t="s">
        <v>608</v>
      </c>
      <c r="Y206" s="642"/>
      <c r="Z206" s="643"/>
      <c r="AA206" s="643"/>
      <c r="AB206" s="643"/>
      <c r="AC206" s="643"/>
      <c r="AD206" s="644"/>
      <c r="AE206" s="283" t="str">
        <f t="shared" si="115"/>
        <v>ˣ</v>
      </c>
      <c r="AF206" s="393" t="str">
        <f t="shared" si="116"/>
        <v>NIEDERLANDE (NED)</v>
      </c>
      <c r="AG206" s="394"/>
      <c r="AH206" s="394"/>
      <c r="AI206" s="394"/>
      <c r="AJ206" s="394"/>
      <c r="AK206" s="394"/>
      <c r="AL206" s="394"/>
      <c r="AM206" s="394"/>
      <c r="AN206" s="394"/>
      <c r="AO206" s="442" t="str">
        <f t="shared" si="134"/>
        <v>KEINE PRÜFUNG</v>
      </c>
      <c r="AP206" s="442"/>
      <c r="AQ206" s="442"/>
      <c r="AR206" s="442"/>
      <c r="AS206" s="442"/>
      <c r="AT206" s="442"/>
      <c r="AU206" s="442"/>
      <c r="AV206" s="442"/>
      <c r="AW206" s="394"/>
      <c r="AX206" s="395"/>
      <c r="AY206" s="395"/>
      <c r="AZ206" s="394"/>
      <c r="BA206" s="394"/>
      <c r="BB206" s="395" t="str">
        <f t="shared" si="135"/>
        <v>0 PKT.</v>
      </c>
      <c r="BC206" s="70"/>
      <c r="BD206" s="70"/>
      <c r="BE206" s="70"/>
      <c r="BF206" s="70"/>
      <c r="BG206" s="70"/>
      <c r="BH206" s="70"/>
      <c r="BI206" s="70"/>
      <c r="BJ206" s="70"/>
      <c r="BK206" s="70"/>
      <c r="BL206" s="70"/>
      <c r="BM206" s="70"/>
      <c r="BN206" s="70"/>
      <c r="BO206" s="70"/>
      <c r="BP206" s="70"/>
      <c r="BQ206" s="70"/>
      <c r="BR206" s="70"/>
      <c r="CX206" s="249" t="s">
        <v>19</v>
      </c>
      <c r="DA206" t="s">
        <v>52</v>
      </c>
      <c r="DB206">
        <f>tabbermsp!G413</f>
        <v>14</v>
      </c>
      <c r="DD206" s="138" t="str">
        <f t="shared" si="118"/>
        <v>NIEDERLANDE (NED)</v>
      </c>
      <c r="DE206" s="138" t="str">
        <f t="shared" si="119"/>
        <v/>
      </c>
      <c r="DH206" s="138"/>
      <c r="DN206">
        <v>10</v>
      </c>
      <c r="DO206" s="249">
        <v>1</v>
      </c>
      <c r="DP206" s="249">
        <v>0</v>
      </c>
      <c r="DQ206" s="249">
        <v>0</v>
      </c>
      <c r="DR206" s="249" t="b">
        <v>1</v>
      </c>
      <c r="DS206" s="138"/>
      <c r="DT206" s="138" t="str">
        <f t="shared" si="127"/>
        <v/>
      </c>
      <c r="DU206" t="s">
        <v>50</v>
      </c>
      <c r="DV206" s="287" t="e">
        <f t="shared" si="128"/>
        <v>#N/A</v>
      </c>
      <c r="DW206" s="287" t="str">
        <f t="shared" si="129"/>
        <v/>
      </c>
      <c r="DX206" s="212">
        <f>IF(LEN(DW206)=0,0,4)</f>
        <v>0</v>
      </c>
      <c r="DZ206" s="138" t="str">
        <f t="shared" si="120"/>
        <v/>
      </c>
      <c r="EB206" s="291">
        <f>COUNTIF(DZ$199:DZ205,"="&amp;DZ206)</f>
        <v>0</v>
      </c>
      <c r="EC206">
        <f t="shared" si="130"/>
        <v>0</v>
      </c>
      <c r="ED206" s="138" t="str">
        <f t="shared" si="121"/>
        <v/>
      </c>
      <c r="EF206" s="285" t="str">
        <f t="shared" si="132"/>
        <v/>
      </c>
      <c r="EH206" s="138">
        <f t="shared" si="122"/>
        <v>0</v>
      </c>
      <c r="EJ206">
        <v>0</v>
      </c>
      <c r="EK206" s="57">
        <f t="shared" si="123"/>
        <v>0</v>
      </c>
      <c r="EM206">
        <f t="shared" si="124"/>
        <v>0</v>
      </c>
      <c r="EN206">
        <v>29</v>
      </c>
      <c r="EO206" s="65">
        <f t="shared" si="125"/>
        <v>0</v>
      </c>
      <c r="EP206" s="65">
        <f t="shared" si="126"/>
        <v>0</v>
      </c>
      <c r="EQ206" s="65">
        <v>1</v>
      </c>
      <c r="ER206" s="65">
        <v>233</v>
      </c>
      <c r="ES206" s="65">
        <v>233</v>
      </c>
      <c r="ET206" s="286">
        <v>0</v>
      </c>
      <c r="EU206" s="249" t="b">
        <v>1</v>
      </c>
      <c r="EV206" s="288" t="str">
        <f t="shared" si="131"/>
        <v/>
      </c>
      <c r="EW206" t="s">
        <v>50</v>
      </c>
    </row>
    <row r="207" spans="19:153" ht="12.9" hidden="1" customHeight="1" thickBot="1" x14ac:dyDescent="0.25">
      <c r="S207" s="70"/>
      <c r="T207" s="299"/>
      <c r="U207" s="300"/>
      <c r="V207" s="300"/>
      <c r="W207" s="301"/>
      <c r="X207" s="294" t="s">
        <v>487</v>
      </c>
      <c r="Y207" s="642"/>
      <c r="Z207" s="643"/>
      <c r="AA207" s="643"/>
      <c r="AB207" s="643"/>
      <c r="AC207" s="643"/>
      <c r="AD207" s="644"/>
      <c r="AE207" s="283" t="str">
        <f t="shared" si="115"/>
        <v>ˣ</v>
      </c>
      <c r="AF207" s="393" t="str">
        <f t="shared" si="116"/>
        <v>BELGIEN (BEL)</v>
      </c>
      <c r="AG207" s="394"/>
      <c r="AH207" s="394"/>
      <c r="AI207" s="394"/>
      <c r="AJ207" s="394"/>
      <c r="AK207" s="394"/>
      <c r="AL207" s="394"/>
      <c r="AM207" s="394"/>
      <c r="AN207" s="394"/>
      <c r="AO207" s="442" t="str">
        <f t="shared" si="134"/>
        <v>KEINE PRÜFUNG</v>
      </c>
      <c r="AP207" s="442"/>
      <c r="AQ207" s="442"/>
      <c r="AR207" s="442"/>
      <c r="AS207" s="442"/>
      <c r="AT207" s="442"/>
      <c r="AU207" s="442"/>
      <c r="AV207" s="442"/>
      <c r="AW207" s="394"/>
      <c r="AX207" s="395"/>
      <c r="AY207" s="395"/>
      <c r="AZ207" s="394"/>
      <c r="BA207" s="394"/>
      <c r="BB207" s="395" t="str">
        <f t="shared" si="135"/>
        <v>0 PKT.</v>
      </c>
      <c r="BC207" s="70"/>
      <c r="BD207" s="70"/>
      <c r="BE207" s="70"/>
      <c r="BF207" s="70"/>
      <c r="BG207" s="70"/>
      <c r="BH207" s="70"/>
      <c r="BI207" s="70"/>
      <c r="BJ207" s="70"/>
      <c r="BK207" s="70"/>
      <c r="BL207" s="70"/>
      <c r="BM207" s="70"/>
      <c r="BN207" s="70"/>
      <c r="BO207" s="70"/>
      <c r="BP207" s="70"/>
      <c r="BQ207" s="70"/>
      <c r="BR207" s="70"/>
      <c r="CX207" s="249" t="s">
        <v>19</v>
      </c>
      <c r="DA207" t="s">
        <v>53</v>
      </c>
      <c r="DB207">
        <f>tabbermsp!G414</f>
        <v>17</v>
      </c>
      <c r="DD207" s="138" t="str">
        <f t="shared" si="118"/>
        <v>BELGIEN (BEL)</v>
      </c>
      <c r="DE207" s="138" t="str">
        <f t="shared" si="119"/>
        <v/>
      </c>
      <c r="DH207" s="138"/>
      <c r="DN207">
        <v>10</v>
      </c>
      <c r="DO207" s="249">
        <v>1</v>
      </c>
      <c r="DP207" s="249">
        <v>0</v>
      </c>
      <c r="DQ207" s="249">
        <v>0</v>
      </c>
      <c r="DR207" s="249" t="b">
        <v>1</v>
      </c>
      <c r="DS207" s="138"/>
      <c r="DT207" s="138" t="str">
        <f t="shared" si="127"/>
        <v/>
      </c>
      <c r="DU207" t="s">
        <v>54</v>
      </c>
      <c r="DV207" s="287" t="e">
        <f t="shared" si="128"/>
        <v>#N/A</v>
      </c>
      <c r="DW207" s="287" t="str">
        <f t="shared" si="129"/>
        <v/>
      </c>
      <c r="DX207" s="212">
        <f>IF(LEN(DW207)=0,0,5)</f>
        <v>0</v>
      </c>
      <c r="DZ207" s="138" t="str">
        <f t="shared" si="120"/>
        <v/>
      </c>
      <c r="EB207" s="291">
        <f>COUNTIF(DZ$199:DZ206,"="&amp;DZ207)</f>
        <v>0</v>
      </c>
      <c r="EC207">
        <f t="shared" si="130"/>
        <v>0</v>
      </c>
      <c r="ED207" s="138" t="str">
        <f t="shared" si="121"/>
        <v/>
      </c>
      <c r="EF207" s="285" t="str">
        <f t="shared" si="132"/>
        <v/>
      </c>
      <c r="EH207" s="138">
        <f t="shared" si="122"/>
        <v>0</v>
      </c>
      <c r="EJ207">
        <v>0</v>
      </c>
      <c r="EK207" s="57">
        <f t="shared" si="123"/>
        <v>0</v>
      </c>
      <c r="EM207">
        <f t="shared" si="124"/>
        <v>0</v>
      </c>
      <c r="EN207">
        <v>30</v>
      </c>
      <c r="EO207" s="65">
        <f t="shared" si="125"/>
        <v>0</v>
      </c>
      <c r="EP207" s="65">
        <f t="shared" si="126"/>
        <v>0</v>
      </c>
      <c r="EQ207" s="65">
        <v>1</v>
      </c>
      <c r="ER207" s="65">
        <v>234</v>
      </c>
      <c r="ES207" s="65">
        <v>234</v>
      </c>
      <c r="ET207" s="286">
        <v>0</v>
      </c>
      <c r="EU207" s="249" t="b">
        <v>1</v>
      </c>
      <c r="EV207" s="288" t="str">
        <f t="shared" si="131"/>
        <v/>
      </c>
      <c r="EW207" t="s">
        <v>54</v>
      </c>
    </row>
    <row r="208" spans="19:153" ht="12.9" hidden="1" customHeight="1" thickBot="1" x14ac:dyDescent="0.25">
      <c r="S208" s="70"/>
      <c r="T208" s="299"/>
      <c r="U208" s="298" t="s">
        <v>581</v>
      </c>
      <c r="V208" s="302">
        <f>COUNTIF($DX$199:$DX$214,"=1")</f>
        <v>0</v>
      </c>
      <c r="W208" s="301"/>
      <c r="X208" s="294" t="s">
        <v>487</v>
      </c>
      <c r="Y208" s="642"/>
      <c r="Z208" s="643"/>
      <c r="AA208" s="643"/>
      <c r="AB208" s="643"/>
      <c r="AC208" s="643"/>
      <c r="AD208" s="644"/>
      <c r="AE208" s="283" t="str">
        <f t="shared" si="115"/>
        <v>ˣ</v>
      </c>
      <c r="AF208" s="393" t="str">
        <f t="shared" si="116"/>
        <v>SLOWAKEI (SVK)</v>
      </c>
      <c r="AG208" s="394"/>
      <c r="AH208" s="394"/>
      <c r="AI208" s="394"/>
      <c r="AJ208" s="394"/>
      <c r="AK208" s="394"/>
      <c r="AL208" s="394"/>
      <c r="AM208" s="394"/>
      <c r="AN208" s="394"/>
      <c r="AO208" s="442" t="str">
        <f t="shared" si="134"/>
        <v>KEINE PRÜFUNG</v>
      </c>
      <c r="AP208" s="442"/>
      <c r="AQ208" s="442"/>
      <c r="AR208" s="442"/>
      <c r="AS208" s="442"/>
      <c r="AT208" s="442"/>
      <c r="AU208" s="442"/>
      <c r="AV208" s="442"/>
      <c r="AW208" s="394"/>
      <c r="AX208" s="395"/>
      <c r="AY208" s="395"/>
      <c r="AZ208" s="394"/>
      <c r="BA208" s="394"/>
      <c r="BB208" s="395" t="str">
        <f t="shared" si="135"/>
        <v>0 PKT.</v>
      </c>
      <c r="BC208" s="70"/>
      <c r="BD208" s="70"/>
      <c r="BE208" s="70"/>
      <c r="BF208" s="70"/>
      <c r="BG208" s="70"/>
      <c r="BH208" s="70"/>
      <c r="BI208" s="70"/>
      <c r="BJ208" s="70"/>
      <c r="BK208" s="70"/>
      <c r="BL208" s="70"/>
      <c r="BM208" s="70"/>
      <c r="BN208" s="70"/>
      <c r="BO208" s="70"/>
      <c r="BP208" s="70"/>
      <c r="BQ208" s="70"/>
      <c r="BR208" s="70"/>
      <c r="CX208" s="249" t="s">
        <v>19</v>
      </c>
      <c r="DA208" t="s">
        <v>55</v>
      </c>
      <c r="DB208">
        <f>tabbermsp!G415</f>
        <v>18</v>
      </c>
      <c r="DD208" s="138" t="str">
        <f t="shared" si="118"/>
        <v>SLOWAKEI (SVK)</v>
      </c>
      <c r="DE208" s="138" t="str">
        <f t="shared" si="119"/>
        <v/>
      </c>
      <c r="DH208" s="138"/>
      <c r="DN208">
        <v>10</v>
      </c>
      <c r="DO208" s="249">
        <v>1</v>
      </c>
      <c r="DP208" s="249">
        <v>0</v>
      </c>
      <c r="DQ208" s="249">
        <v>0</v>
      </c>
      <c r="DR208" s="249" t="b">
        <v>1</v>
      </c>
      <c r="DS208" s="138"/>
      <c r="DT208" s="138" t="str">
        <f t="shared" si="127"/>
        <v/>
      </c>
      <c r="DU208" t="s">
        <v>54</v>
      </c>
      <c r="DV208" s="287" t="e">
        <f t="shared" si="128"/>
        <v>#N/A</v>
      </c>
      <c r="DW208" s="287" t="str">
        <f t="shared" si="129"/>
        <v/>
      </c>
      <c r="DX208" s="212">
        <f>IF(LEN(DW208)=0,0,5)</f>
        <v>0</v>
      </c>
      <c r="DZ208" s="138" t="str">
        <f t="shared" si="120"/>
        <v/>
      </c>
      <c r="EB208" s="291">
        <f>COUNTIF(DZ$199:DZ207,"="&amp;DZ208)</f>
        <v>0</v>
      </c>
      <c r="EC208">
        <f t="shared" si="130"/>
        <v>0</v>
      </c>
      <c r="ED208" s="138" t="str">
        <f t="shared" si="121"/>
        <v/>
      </c>
      <c r="EF208" s="285" t="str">
        <f t="shared" si="132"/>
        <v/>
      </c>
      <c r="EH208" s="138">
        <f t="shared" si="122"/>
        <v>0</v>
      </c>
      <c r="EJ208">
        <v>0</v>
      </c>
      <c r="EK208" s="57">
        <f t="shared" si="123"/>
        <v>0</v>
      </c>
      <c r="EM208">
        <f t="shared" si="124"/>
        <v>0</v>
      </c>
      <c r="EN208">
        <v>31</v>
      </c>
      <c r="EO208" s="65">
        <f t="shared" si="125"/>
        <v>0</v>
      </c>
      <c r="EP208" s="65">
        <f t="shared" si="126"/>
        <v>0</v>
      </c>
      <c r="EQ208" s="65">
        <v>1</v>
      </c>
      <c r="ER208" s="65">
        <v>235</v>
      </c>
      <c r="ES208" s="65">
        <v>235</v>
      </c>
      <c r="ET208" s="286">
        <v>0</v>
      </c>
      <c r="EU208" s="249" t="b">
        <v>1</v>
      </c>
      <c r="EV208" s="288" t="str">
        <f t="shared" si="131"/>
        <v/>
      </c>
      <c r="EW208" t="s">
        <v>54</v>
      </c>
    </row>
    <row r="209" spans="19:153" ht="12.9" hidden="1" customHeight="1" thickBot="1" x14ac:dyDescent="0.25">
      <c r="S209" s="70"/>
      <c r="T209" s="299"/>
      <c r="U209" s="298" t="s">
        <v>601</v>
      </c>
      <c r="V209" s="302">
        <f>COUNTIF($DX$199:$DX$214,"=2")</f>
        <v>0</v>
      </c>
      <c r="W209" s="301"/>
      <c r="X209" s="294" t="s">
        <v>632</v>
      </c>
      <c r="Y209" s="642"/>
      <c r="Z209" s="643"/>
      <c r="AA209" s="643"/>
      <c r="AB209" s="643"/>
      <c r="AC209" s="643"/>
      <c r="AD209" s="644"/>
      <c r="AE209" s="283" t="str">
        <f t="shared" si="115"/>
        <v>ˣ</v>
      </c>
      <c r="AF209" s="393" t="str">
        <f t="shared" si="116"/>
        <v>TÜRKEI (TUR)</v>
      </c>
      <c r="AG209" s="394"/>
      <c r="AH209" s="394"/>
      <c r="AI209" s="394"/>
      <c r="AJ209" s="394"/>
      <c r="AK209" s="394"/>
      <c r="AL209" s="394"/>
      <c r="AM209" s="394"/>
      <c r="AN209" s="394"/>
      <c r="AO209" s="442" t="str">
        <f t="shared" si="134"/>
        <v>KEINE PRÜFUNG</v>
      </c>
      <c r="AP209" s="442"/>
      <c r="AQ209" s="442"/>
      <c r="AR209" s="442"/>
      <c r="AS209" s="442"/>
      <c r="AT209" s="442"/>
      <c r="AU209" s="442"/>
      <c r="AV209" s="442"/>
      <c r="AW209" s="394"/>
      <c r="AX209" s="395"/>
      <c r="AY209" s="395"/>
      <c r="AZ209" s="394"/>
      <c r="BA209" s="394"/>
      <c r="BB209" s="395" t="str">
        <f t="shared" si="135"/>
        <v>0 PKT.</v>
      </c>
      <c r="BC209" s="70"/>
      <c r="BD209" s="70"/>
      <c r="BE209" s="70"/>
      <c r="BF209" s="70"/>
      <c r="BG209" s="70"/>
      <c r="BH209" s="70"/>
      <c r="BI209" s="70"/>
      <c r="BJ209" s="70"/>
      <c r="BK209" s="70"/>
      <c r="BL209" s="70"/>
      <c r="BM209" s="70"/>
      <c r="BN209" s="70"/>
      <c r="BO209" s="70"/>
      <c r="BP209" s="70"/>
      <c r="BQ209" s="70"/>
      <c r="BR209" s="70"/>
      <c r="CX209" s="249" t="s">
        <v>19</v>
      </c>
      <c r="DA209" t="s">
        <v>56</v>
      </c>
      <c r="DB209">
        <f>tabbermsp!G416</f>
        <v>21</v>
      </c>
      <c r="DD209" s="138" t="str">
        <f t="shared" si="118"/>
        <v>TÜRKEI (TUR)</v>
      </c>
      <c r="DE209" s="138" t="str">
        <f t="shared" si="119"/>
        <v/>
      </c>
      <c r="DH209" s="138"/>
      <c r="DN209">
        <v>10</v>
      </c>
      <c r="DO209" s="249">
        <v>1</v>
      </c>
      <c r="DP209" s="249">
        <v>0</v>
      </c>
      <c r="DQ209" s="249">
        <v>0</v>
      </c>
      <c r="DR209" s="249" t="b">
        <v>1</v>
      </c>
      <c r="DS209" s="138"/>
      <c r="DT209" s="138" t="str">
        <f t="shared" si="127"/>
        <v/>
      </c>
      <c r="DU209" t="s">
        <v>57</v>
      </c>
      <c r="DV209" s="287" t="e">
        <f t="shared" si="128"/>
        <v>#N/A</v>
      </c>
      <c r="DW209" s="287" t="str">
        <f t="shared" si="129"/>
        <v/>
      </c>
      <c r="DX209" s="212">
        <f>IF(LEN(DW209)=0,0,6)</f>
        <v>0</v>
      </c>
      <c r="DZ209" s="138" t="str">
        <f t="shared" si="120"/>
        <v/>
      </c>
      <c r="EB209" s="291">
        <f>COUNTIF(DZ$199:DZ208,"="&amp;DZ209)</f>
        <v>0</v>
      </c>
      <c r="EC209">
        <f t="shared" si="130"/>
        <v>0</v>
      </c>
      <c r="ED209" s="138" t="str">
        <f t="shared" si="121"/>
        <v/>
      </c>
      <c r="EF209" s="285" t="str">
        <f t="shared" si="132"/>
        <v/>
      </c>
      <c r="EH209" s="138">
        <f t="shared" si="122"/>
        <v>0</v>
      </c>
      <c r="EJ209">
        <v>0</v>
      </c>
      <c r="EK209" s="57">
        <f t="shared" si="123"/>
        <v>0</v>
      </c>
      <c r="EM209">
        <f t="shared" si="124"/>
        <v>0</v>
      </c>
      <c r="EN209">
        <v>32</v>
      </c>
      <c r="EO209" s="65">
        <f t="shared" si="125"/>
        <v>0</v>
      </c>
      <c r="EP209" s="65">
        <f t="shared" si="126"/>
        <v>0</v>
      </c>
      <c r="EQ209" s="65">
        <v>1</v>
      </c>
      <c r="ER209" s="65">
        <v>236</v>
      </c>
      <c r="ES209" s="65">
        <v>236</v>
      </c>
      <c r="ET209" s="286">
        <v>0</v>
      </c>
      <c r="EU209" s="249" t="b">
        <v>1</v>
      </c>
      <c r="EV209" s="288" t="str">
        <f t="shared" si="131"/>
        <v/>
      </c>
      <c r="EW209" t="s">
        <v>57</v>
      </c>
    </row>
    <row r="210" spans="19:153" ht="12.9" hidden="1" customHeight="1" thickBot="1" x14ac:dyDescent="0.25">
      <c r="S210" s="70"/>
      <c r="T210" s="299"/>
      <c r="U210" s="298" t="s">
        <v>613</v>
      </c>
      <c r="V210" s="302">
        <f>COUNTIF($DX$199:$DX$214,"=3")</f>
        <v>0</v>
      </c>
      <c r="W210" s="301"/>
      <c r="X210" s="294" t="s">
        <v>632</v>
      </c>
      <c r="Y210" s="642"/>
      <c r="Z210" s="643"/>
      <c r="AA210" s="643"/>
      <c r="AB210" s="643"/>
      <c r="AC210" s="643"/>
      <c r="AD210" s="644"/>
      <c r="AE210" s="283" t="str">
        <f t="shared" ref="AE210:AE241" si="136">IF(DR210,zeichen_gesperrt,"")</f>
        <v>ˣ</v>
      </c>
      <c r="AF210" s="393" t="str">
        <f t="shared" ref="AF210:AF241" si="137">IF($C$2&lt;=0,"",UPPER(DD210))</f>
        <v>GEORGIEN (GEO)</v>
      </c>
      <c r="AG210" s="394"/>
      <c r="AH210" s="394"/>
      <c r="AI210" s="394"/>
      <c r="AJ210" s="394"/>
      <c r="AK210" s="394"/>
      <c r="AL210" s="394"/>
      <c r="AM210" s="394"/>
      <c r="AN210" s="394"/>
      <c r="AO210" s="442" t="str">
        <f t="shared" si="134"/>
        <v>KEINE PRÜFUNG</v>
      </c>
      <c r="AP210" s="442"/>
      <c r="AQ210" s="442"/>
      <c r="AR210" s="442"/>
      <c r="AS210" s="442"/>
      <c r="AT210" s="442"/>
      <c r="AU210" s="442"/>
      <c r="AV210" s="442"/>
      <c r="AW210" s="394"/>
      <c r="AX210" s="395"/>
      <c r="AY210" s="395"/>
      <c r="AZ210" s="394"/>
      <c r="BA210" s="394"/>
      <c r="BB210" s="395" t="str">
        <f t="shared" si="135"/>
        <v>0 PKT.</v>
      </c>
      <c r="BC210" s="70"/>
      <c r="BD210" s="70"/>
      <c r="BE210" s="70"/>
      <c r="BF210" s="70"/>
      <c r="BG210" s="70"/>
      <c r="BH210" s="70"/>
      <c r="BI210" s="70"/>
      <c r="BJ210" s="70"/>
      <c r="BK210" s="70"/>
      <c r="BL210" s="70"/>
      <c r="BM210" s="70"/>
      <c r="BN210" s="70"/>
      <c r="BO210" s="70"/>
      <c r="BP210" s="70"/>
      <c r="BQ210" s="70"/>
      <c r="BR210" s="70"/>
      <c r="CX210" s="249" t="s">
        <v>19</v>
      </c>
      <c r="DA210" t="s">
        <v>58</v>
      </c>
      <c r="DB210">
        <f>tabbermsp!G417</f>
        <v>22</v>
      </c>
      <c r="DD210" s="138" t="str">
        <f t="shared" ref="DD210:DD238" si="138">IF(ISERROR(DB210),"Daten fehlen",IF(DB210&lt;=0,"Daten fehlen",INDEX(etauswahl_vgl,DB210)))</f>
        <v>GEORGIEN (GEO)</v>
      </c>
      <c r="DE210" s="138" t="str">
        <f t="shared" si="119"/>
        <v/>
      </c>
      <c r="DH210" s="138"/>
      <c r="DN210">
        <v>10</v>
      </c>
      <c r="DO210" s="249">
        <v>1</v>
      </c>
      <c r="DP210" s="249">
        <v>0</v>
      </c>
      <c r="DQ210" s="249">
        <v>0</v>
      </c>
      <c r="DR210" s="249" t="b">
        <v>1</v>
      </c>
      <c r="DS210" s="138"/>
      <c r="DT210" s="138" t="str">
        <f t="shared" si="127"/>
        <v/>
      </c>
      <c r="DU210" t="s">
        <v>57</v>
      </c>
      <c r="DV210" s="287" t="e">
        <f t="shared" si="128"/>
        <v>#N/A</v>
      </c>
      <c r="DW210" s="287" t="str">
        <f t="shared" si="129"/>
        <v/>
      </c>
      <c r="DX210" s="303">
        <f>IF(LEN(DW210)=0,0,6)</f>
        <v>0</v>
      </c>
      <c r="DZ210" s="138" t="str">
        <f t="shared" si="120"/>
        <v/>
      </c>
      <c r="EB210" s="291">
        <f>COUNTIF(DZ$199:DZ209,"="&amp;DZ210)</f>
        <v>0</v>
      </c>
      <c r="EC210">
        <f t="shared" si="130"/>
        <v>0</v>
      </c>
      <c r="ED210" s="138" t="str">
        <f t="shared" si="121"/>
        <v/>
      </c>
      <c r="EF210" s="285" t="str">
        <f t="shared" si="132"/>
        <v/>
      </c>
      <c r="EH210" s="138">
        <f t="shared" ref="EH210:EH241" si="139">IF(DP210=0,0,IF(DZ210=ED210,0,1))</f>
        <v>0</v>
      </c>
      <c r="EJ210">
        <v>0</v>
      </c>
      <c r="EK210" s="57">
        <f t="shared" ref="EK210:EK241" si="140">IF(LEN(EF210)=0,0,1)</f>
        <v>0</v>
      </c>
      <c r="EM210">
        <f t="shared" ref="EM210:EM241" si="141">IF(OR(EK210=0,DR210,DP210=0),0,1)</f>
        <v>0</v>
      </c>
      <c r="EN210">
        <v>33</v>
      </c>
      <c r="EO210" s="65">
        <f t="shared" ref="EO210:EO241" si="142">SUMIF($DN$178:$DN$278,"="&amp;EN210,$EK$178:$EK$278)</f>
        <v>0</v>
      </c>
      <c r="EP210" s="65">
        <f t="shared" ref="EP210:EP241" si="143">SUMIF($DN$178:$DN$278,"="&amp;EN210,$EJ$178:$EJ$278)</f>
        <v>0</v>
      </c>
      <c r="EQ210" s="65">
        <v>1</v>
      </c>
      <c r="ER210" s="65">
        <v>237</v>
      </c>
      <c r="ES210" s="65">
        <v>237</v>
      </c>
      <c r="ET210" s="286">
        <v>0</v>
      </c>
      <c r="EU210" s="249" t="b">
        <v>1</v>
      </c>
      <c r="EV210" s="288" t="str">
        <f t="shared" si="131"/>
        <v/>
      </c>
      <c r="EW210" t="s">
        <v>57</v>
      </c>
    </row>
    <row r="211" spans="19:153" ht="12.9" hidden="1" customHeight="1" thickBot="1" x14ac:dyDescent="0.25">
      <c r="S211" s="70"/>
      <c r="T211" s="299"/>
      <c r="U211" s="298" t="s">
        <v>608</v>
      </c>
      <c r="V211" s="302">
        <f>COUNTIF($DX$199:$DX$214,"=4")</f>
        <v>0</v>
      </c>
      <c r="W211" s="301"/>
      <c r="X211" s="294" t="s">
        <v>59</v>
      </c>
      <c r="Y211" s="642"/>
      <c r="Z211" s="643"/>
      <c r="AA211" s="643"/>
      <c r="AB211" s="643"/>
      <c r="AC211" s="643"/>
      <c r="AD211" s="644"/>
      <c r="AE211" s="283" t="str">
        <f t="shared" si="136"/>
        <v>ˣ</v>
      </c>
      <c r="AF211" s="393" t="str">
        <f t="shared" si="137"/>
        <v>UNGARN (HUN)</v>
      </c>
      <c r="AG211" s="394"/>
      <c r="AH211" s="394"/>
      <c r="AI211" s="394"/>
      <c r="AJ211" s="394"/>
      <c r="AK211" s="394"/>
      <c r="AL211" s="394"/>
      <c r="AM211" s="394"/>
      <c r="AN211" s="394"/>
      <c r="AO211" s="442" t="str">
        <f t="shared" si="134"/>
        <v>KEINE PRÜFUNG</v>
      </c>
      <c r="AP211" s="442"/>
      <c r="AQ211" s="442"/>
      <c r="AR211" s="442"/>
      <c r="AS211" s="442"/>
      <c r="AT211" s="442"/>
      <c r="AU211" s="442"/>
      <c r="AV211" s="442"/>
      <c r="AW211" s="394"/>
      <c r="AX211" s="395"/>
      <c r="AY211" s="395"/>
      <c r="AZ211" s="394"/>
      <c r="BA211" s="394"/>
      <c r="BB211" s="395" t="str">
        <f t="shared" si="135"/>
        <v>0 PKT.</v>
      </c>
      <c r="BC211" s="70"/>
      <c r="BD211" s="70"/>
      <c r="BE211" s="70"/>
      <c r="BF211" s="70"/>
      <c r="BG211" s="70"/>
      <c r="BH211" s="70"/>
      <c r="BI211" s="70"/>
      <c r="BJ211" s="70"/>
      <c r="BK211" s="70"/>
      <c r="BL211" s="70"/>
      <c r="BM211" s="70"/>
      <c r="BN211" s="70"/>
      <c r="BO211" s="70"/>
      <c r="BP211" s="70"/>
      <c r="BQ211" s="70"/>
      <c r="BR211" s="70"/>
      <c r="CX211" s="249" t="s">
        <v>19</v>
      </c>
      <c r="DA211" t="s">
        <v>606</v>
      </c>
      <c r="DB211">
        <f>tabbermsp!G418</f>
        <v>3</v>
      </c>
      <c r="DD211" s="138" t="str">
        <f t="shared" si="138"/>
        <v>UNGARN (HUN)</v>
      </c>
      <c r="DE211" s="138" t="str">
        <f t="shared" si="119"/>
        <v/>
      </c>
      <c r="DH211" s="138"/>
      <c r="DN211">
        <v>10</v>
      </c>
      <c r="DO211" s="249">
        <v>1</v>
      </c>
      <c r="DP211" s="249">
        <v>0</v>
      </c>
      <c r="DQ211" s="249">
        <v>0</v>
      </c>
      <c r="DR211" s="249" t="b">
        <v>1</v>
      </c>
      <c r="DS211" s="138"/>
      <c r="DT211" s="138" t="str">
        <f t="shared" ref="DT211:DT242" si="144">IF(LEN(Y211)=0,"",Y211)</f>
        <v/>
      </c>
      <c r="DU211" t="s">
        <v>23</v>
      </c>
      <c r="DV211" s="287" t="e">
        <f t="shared" ref="DV211:DV243" si="145">MATCH(DT211,etauswahl_vgl,0)</f>
        <v>#N/A</v>
      </c>
      <c r="DW211" s="287" t="str">
        <f t="shared" si="129"/>
        <v/>
      </c>
      <c r="DX211" s="293">
        <f>IF(LEN(DW211)=0,0,INDEX(daten!$O$9:$O$32,DW211))</f>
        <v>0</v>
      </c>
      <c r="DZ211" s="138" t="str">
        <f t="shared" si="120"/>
        <v/>
      </c>
      <c r="EB211" s="293">
        <f>COUNTIF(DZ$199:DZ210,"="&amp;DZ211)</f>
        <v>0</v>
      </c>
      <c r="EC211">
        <f t="shared" si="130"/>
        <v>0</v>
      </c>
      <c r="ED211" s="138" t="str">
        <f t="shared" si="121"/>
        <v/>
      </c>
      <c r="EF211" s="285" t="str">
        <f t="shared" si="132"/>
        <v/>
      </c>
      <c r="EH211" s="138">
        <f t="shared" si="139"/>
        <v>0</v>
      </c>
      <c r="EJ211">
        <v>0</v>
      </c>
      <c r="EK211" s="57">
        <f t="shared" si="140"/>
        <v>0</v>
      </c>
      <c r="EM211">
        <f t="shared" si="141"/>
        <v>0</v>
      </c>
      <c r="EN211">
        <v>34</v>
      </c>
      <c r="EO211" s="65">
        <f t="shared" si="142"/>
        <v>0</v>
      </c>
      <c r="EP211" s="65">
        <f t="shared" si="143"/>
        <v>0</v>
      </c>
      <c r="EQ211" s="65">
        <v>1</v>
      </c>
      <c r="ER211" s="65">
        <v>238</v>
      </c>
      <c r="ES211" s="65">
        <v>238</v>
      </c>
      <c r="ET211" s="286">
        <v>0</v>
      </c>
      <c r="EU211" s="249" t="b">
        <v>1</v>
      </c>
      <c r="EV211" s="288" t="str">
        <f t="shared" ref="EV211:EV243" si="146">IF(LEN(ED211)=0,"",INDEX(etauswahl_vgl,ED211))</f>
        <v/>
      </c>
      <c r="EW211" t="s">
        <v>23</v>
      </c>
    </row>
    <row r="212" spans="19:153" ht="12.9" hidden="1" customHeight="1" thickBot="1" x14ac:dyDescent="0.25">
      <c r="S212" s="70"/>
      <c r="T212" s="299"/>
      <c r="U212" s="298" t="s">
        <v>487</v>
      </c>
      <c r="V212" s="302">
        <f>COUNTIF($DX$199:$DX$214,"=5")</f>
        <v>0</v>
      </c>
      <c r="W212" s="301"/>
      <c r="X212" s="294" t="s">
        <v>59</v>
      </c>
      <c r="Y212" s="642"/>
      <c r="Z212" s="643"/>
      <c r="AA212" s="643"/>
      <c r="AB212" s="643"/>
      <c r="AC212" s="643"/>
      <c r="AD212" s="644"/>
      <c r="AE212" s="283" t="str">
        <f t="shared" si="136"/>
        <v>ˣ</v>
      </c>
      <c r="AF212" s="393" t="str">
        <f t="shared" si="137"/>
        <v>ÖSTERREICH (AUT)</v>
      </c>
      <c r="AG212" s="394"/>
      <c r="AH212" s="394"/>
      <c r="AI212" s="394"/>
      <c r="AJ212" s="394"/>
      <c r="AK212" s="394"/>
      <c r="AL212" s="394"/>
      <c r="AM212" s="394"/>
      <c r="AN212" s="394"/>
      <c r="AO212" s="442" t="str">
        <f t="shared" si="134"/>
        <v>KEINE PRÜFUNG</v>
      </c>
      <c r="AP212" s="442"/>
      <c r="AQ212" s="442"/>
      <c r="AR212" s="442"/>
      <c r="AS212" s="442"/>
      <c r="AT212" s="442"/>
      <c r="AU212" s="442"/>
      <c r="AV212" s="442"/>
      <c r="AW212" s="394"/>
      <c r="AX212" s="395"/>
      <c r="AY212" s="395"/>
      <c r="AZ212" s="394"/>
      <c r="BA212" s="394"/>
      <c r="BB212" s="395" t="str">
        <f t="shared" si="135"/>
        <v>0 PKT.</v>
      </c>
      <c r="BC212" s="70"/>
      <c r="BD212" s="70"/>
      <c r="BE212" s="70"/>
      <c r="BF212" s="70"/>
      <c r="BG212" s="70"/>
      <c r="BH212" s="70"/>
      <c r="BI212" s="70"/>
      <c r="BJ212" s="70"/>
      <c r="BK212" s="70"/>
      <c r="BL212" s="70"/>
      <c r="BM212" s="70"/>
      <c r="BN212" s="70"/>
      <c r="BO212" s="70"/>
      <c r="BP212" s="70"/>
      <c r="BQ212" s="70"/>
      <c r="BR212" s="70"/>
      <c r="CX212" s="249" t="s">
        <v>19</v>
      </c>
      <c r="DA212" t="s">
        <v>623</v>
      </c>
      <c r="DB212">
        <f>tabbermsp!G419</f>
        <v>15</v>
      </c>
      <c r="DD212" s="138" t="str">
        <f t="shared" si="138"/>
        <v>ÖSTERREICH (AUT)</v>
      </c>
      <c r="DE212" s="138" t="str">
        <f t="shared" si="119"/>
        <v/>
      </c>
      <c r="DH212" s="138"/>
      <c r="DN212">
        <v>10</v>
      </c>
      <c r="DO212" s="249">
        <v>1</v>
      </c>
      <c r="DP212" s="249">
        <v>0</v>
      </c>
      <c r="DQ212" s="249">
        <v>0</v>
      </c>
      <c r="DR212" s="249" t="b">
        <v>1</v>
      </c>
      <c r="DS212" s="138"/>
      <c r="DT212" s="138" t="str">
        <f t="shared" si="144"/>
        <v/>
      </c>
      <c r="DU212" t="s">
        <v>23</v>
      </c>
      <c r="DV212" s="287" t="e">
        <f t="shared" si="145"/>
        <v>#N/A</v>
      </c>
      <c r="DW212" s="287" t="str">
        <f t="shared" si="129"/>
        <v/>
      </c>
      <c r="DX212" s="212">
        <f>IF(LEN(DW212)=0,0,INDEX(daten!$O$9:$O$32,DW212))</f>
        <v>0</v>
      </c>
      <c r="DZ212" s="138" t="str">
        <f t="shared" si="120"/>
        <v/>
      </c>
      <c r="EB212" s="212">
        <f>COUNTIF(DZ$199:DZ211,"="&amp;DZ212)+IF(DX212=0,0,COUNTIF($DX$211:$DX211,"="&amp;DX212))</f>
        <v>0</v>
      </c>
      <c r="EC212">
        <f t="shared" si="130"/>
        <v>0</v>
      </c>
      <c r="ED212" s="138" t="str">
        <f t="shared" si="121"/>
        <v/>
      </c>
      <c r="EF212" s="285" t="str">
        <f t="shared" si="132"/>
        <v/>
      </c>
      <c r="EH212" s="138">
        <f t="shared" si="139"/>
        <v>0</v>
      </c>
      <c r="EJ212">
        <v>0</v>
      </c>
      <c r="EK212" s="57">
        <f t="shared" si="140"/>
        <v>0</v>
      </c>
      <c r="EM212">
        <f t="shared" si="141"/>
        <v>0</v>
      </c>
      <c r="EN212">
        <v>35</v>
      </c>
      <c r="EO212" s="65">
        <f t="shared" si="142"/>
        <v>0</v>
      </c>
      <c r="EP212" s="65">
        <f t="shared" si="143"/>
        <v>0</v>
      </c>
      <c r="EQ212" s="65">
        <v>1</v>
      </c>
      <c r="ER212" s="65">
        <v>239</v>
      </c>
      <c r="ES212" s="65">
        <v>239</v>
      </c>
      <c r="ET212" s="286">
        <v>0</v>
      </c>
      <c r="EU212" s="249" t="b">
        <v>1</v>
      </c>
      <c r="EV212" s="288" t="str">
        <f t="shared" si="146"/>
        <v/>
      </c>
      <c r="EW212" t="s">
        <v>23</v>
      </c>
    </row>
    <row r="213" spans="19:153" ht="12.9" hidden="1" customHeight="1" thickBot="1" x14ac:dyDescent="0.25">
      <c r="S213" s="70"/>
      <c r="T213" s="299"/>
      <c r="U213" s="298" t="s">
        <v>632</v>
      </c>
      <c r="V213" s="302">
        <f>COUNTIF($DX$199:$DX$214,"=6")</f>
        <v>0</v>
      </c>
      <c r="W213" s="301"/>
      <c r="X213" s="294" t="s">
        <v>59</v>
      </c>
      <c r="Y213" s="642"/>
      <c r="Z213" s="643"/>
      <c r="AA213" s="643"/>
      <c r="AB213" s="643"/>
      <c r="AC213" s="643"/>
      <c r="AD213" s="644"/>
      <c r="AE213" s="283" t="str">
        <f t="shared" si="136"/>
        <v>ˣ</v>
      </c>
      <c r="AF213" s="393" t="str">
        <f t="shared" si="137"/>
        <v>ITALIEN (ITA)</v>
      </c>
      <c r="AG213" s="394"/>
      <c r="AH213" s="394"/>
      <c r="AI213" s="394"/>
      <c r="AJ213" s="394"/>
      <c r="AK213" s="394"/>
      <c r="AL213" s="394"/>
      <c r="AM213" s="394"/>
      <c r="AN213" s="394"/>
      <c r="AO213" s="442" t="str">
        <f t="shared" si="134"/>
        <v>KEINE PRÜFUNG</v>
      </c>
      <c r="AP213" s="442"/>
      <c r="AQ213" s="442"/>
      <c r="AR213" s="442"/>
      <c r="AS213" s="442"/>
      <c r="AT213" s="442"/>
      <c r="AU213" s="442"/>
      <c r="AV213" s="442"/>
      <c r="AW213" s="394"/>
      <c r="AX213" s="395"/>
      <c r="AY213" s="395"/>
      <c r="AZ213" s="394"/>
      <c r="BA213" s="394"/>
      <c r="BB213" s="395" t="str">
        <f t="shared" si="135"/>
        <v>0 PKT.</v>
      </c>
      <c r="BC213" s="70"/>
      <c r="BD213" s="70"/>
      <c r="BE213" s="70"/>
      <c r="BF213" s="70"/>
      <c r="BG213" s="70"/>
      <c r="BH213" s="70"/>
      <c r="BI213" s="70"/>
      <c r="BJ213" s="70"/>
      <c r="BK213" s="70"/>
      <c r="BL213" s="70"/>
      <c r="BM213" s="70"/>
      <c r="BN213" s="70"/>
      <c r="BO213" s="70"/>
      <c r="BP213" s="70"/>
      <c r="BQ213" s="70"/>
      <c r="BR213" s="70"/>
      <c r="CX213" s="249" t="s">
        <v>19</v>
      </c>
      <c r="DA213" t="s">
        <v>639</v>
      </c>
      <c r="DB213">
        <f>tabbermsp!G420</f>
        <v>7</v>
      </c>
      <c r="DD213" s="138" t="str">
        <f t="shared" si="138"/>
        <v>ITALIEN (ITA)</v>
      </c>
      <c r="DE213" s="138" t="str">
        <f t="shared" si="119"/>
        <v/>
      </c>
      <c r="DH213" s="138"/>
      <c r="DN213">
        <v>10</v>
      </c>
      <c r="DO213" s="249">
        <v>1</v>
      </c>
      <c r="DP213" s="249">
        <v>0</v>
      </c>
      <c r="DQ213" s="249">
        <v>0</v>
      </c>
      <c r="DR213" s="249" t="b">
        <v>1</v>
      </c>
      <c r="DS213" s="138"/>
      <c r="DT213" s="138" t="str">
        <f t="shared" si="144"/>
        <v/>
      </c>
      <c r="DU213" t="s">
        <v>23</v>
      </c>
      <c r="DV213" s="287" t="e">
        <f t="shared" si="145"/>
        <v>#N/A</v>
      </c>
      <c r="DW213" s="287" t="str">
        <f t="shared" si="129"/>
        <v/>
      </c>
      <c r="DX213" s="212">
        <f>IF(LEN(DW213)=0,0,INDEX(daten!$O$9:$O$32,DW213))</f>
        <v>0</v>
      </c>
      <c r="DZ213" s="138" t="str">
        <f t="shared" si="120"/>
        <v/>
      </c>
      <c r="EB213" s="212">
        <f>COUNTIF(DZ$199:DZ212,"="&amp;DZ213)+IF(DX213=0,0,COUNTIF($DX$211:$DX212,"="&amp;DX213))</f>
        <v>0</v>
      </c>
      <c r="EC213">
        <f t="shared" si="130"/>
        <v>0</v>
      </c>
      <c r="ED213" s="138" t="str">
        <f t="shared" si="121"/>
        <v/>
      </c>
      <c r="EF213" s="285" t="str">
        <f t="shared" si="132"/>
        <v/>
      </c>
      <c r="EH213" s="138">
        <f t="shared" si="139"/>
        <v>0</v>
      </c>
      <c r="EJ213">
        <v>0</v>
      </c>
      <c r="EK213" s="57">
        <f t="shared" si="140"/>
        <v>0</v>
      </c>
      <c r="EM213">
        <f t="shared" si="141"/>
        <v>0</v>
      </c>
      <c r="EN213">
        <v>36</v>
      </c>
      <c r="EO213" s="65">
        <f t="shared" si="142"/>
        <v>0</v>
      </c>
      <c r="EP213" s="65">
        <f t="shared" si="143"/>
        <v>0</v>
      </c>
      <c r="EQ213" s="65">
        <v>1</v>
      </c>
      <c r="ER213" s="65">
        <v>240</v>
      </c>
      <c r="ES213" s="65">
        <v>240</v>
      </c>
      <c r="ET213" s="286">
        <v>0</v>
      </c>
      <c r="EU213" s="249" t="b">
        <v>1</v>
      </c>
      <c r="EV213" s="288" t="str">
        <f t="shared" si="146"/>
        <v/>
      </c>
      <c r="EW213" t="s">
        <v>23</v>
      </c>
    </row>
    <row r="214" spans="19:153" ht="12.9" hidden="1" customHeight="1" thickBot="1" x14ac:dyDescent="0.25">
      <c r="S214" s="70"/>
      <c r="T214" s="304"/>
      <c r="U214" s="305"/>
      <c r="V214" s="305"/>
      <c r="W214" s="306"/>
      <c r="X214" s="307" t="s">
        <v>59</v>
      </c>
      <c r="Y214" s="639"/>
      <c r="Z214" s="640"/>
      <c r="AA214" s="640"/>
      <c r="AB214" s="640"/>
      <c r="AC214" s="640"/>
      <c r="AD214" s="641"/>
      <c r="AE214" s="283" t="str">
        <f t="shared" si="136"/>
        <v>ˣ</v>
      </c>
      <c r="AF214" s="393" t="str">
        <f t="shared" si="137"/>
        <v>SERBIEN (SRB)</v>
      </c>
      <c r="AG214" s="394"/>
      <c r="AH214" s="394"/>
      <c r="AI214" s="394"/>
      <c r="AJ214" s="394"/>
      <c r="AK214" s="394"/>
      <c r="AL214" s="394"/>
      <c r="AM214" s="394"/>
      <c r="AN214" s="394"/>
      <c r="AO214" s="442" t="str">
        <f t="shared" si="134"/>
        <v>KEINE PRÜFUNG</v>
      </c>
      <c r="AP214" s="442"/>
      <c r="AQ214" s="442"/>
      <c r="AR214" s="442"/>
      <c r="AS214" s="442"/>
      <c r="AT214" s="442"/>
      <c r="AU214" s="442"/>
      <c r="AV214" s="442"/>
      <c r="AW214" s="394"/>
      <c r="AX214" s="395"/>
      <c r="AY214" s="395"/>
      <c r="AZ214" s="394"/>
      <c r="BA214" s="394"/>
      <c r="BB214" s="395" t="str">
        <f t="shared" si="135"/>
        <v>0 PKT.</v>
      </c>
      <c r="BC214" s="70"/>
      <c r="BD214" s="70"/>
      <c r="BE214" s="70"/>
      <c r="BF214" s="70"/>
      <c r="BG214" s="70"/>
      <c r="BH214" s="70"/>
      <c r="BI214" s="70"/>
      <c r="BJ214" s="70"/>
      <c r="BK214" s="70"/>
      <c r="BL214" s="70"/>
      <c r="BM214" s="70"/>
      <c r="BN214" s="70"/>
      <c r="BO214" s="70"/>
      <c r="BP214" s="70"/>
      <c r="BQ214" s="70"/>
      <c r="BR214" s="70"/>
      <c r="CX214" s="249" t="s">
        <v>19</v>
      </c>
      <c r="DA214" t="s">
        <v>648</v>
      </c>
      <c r="DB214">
        <f>tabbermsp!G421</f>
        <v>11</v>
      </c>
      <c r="DD214" s="138" t="str">
        <f t="shared" si="138"/>
        <v>SERBIEN (SRB)</v>
      </c>
      <c r="DE214" s="138" t="str">
        <f t="shared" si="119"/>
        <v/>
      </c>
      <c r="DH214" s="138"/>
      <c r="DN214">
        <v>10</v>
      </c>
      <c r="DO214" s="249">
        <v>1</v>
      </c>
      <c r="DP214" s="249">
        <v>0</v>
      </c>
      <c r="DQ214" s="249">
        <v>0</v>
      </c>
      <c r="DR214" s="249" t="b">
        <v>1</v>
      </c>
      <c r="DS214" s="138"/>
      <c r="DT214" s="138" t="str">
        <f t="shared" si="144"/>
        <v/>
      </c>
      <c r="DU214" t="s">
        <v>23</v>
      </c>
      <c r="DV214" s="287" t="e">
        <f t="shared" si="145"/>
        <v>#N/A</v>
      </c>
      <c r="DW214" s="287" t="str">
        <f t="shared" si="129"/>
        <v/>
      </c>
      <c r="DX214" s="303">
        <f>IF(LEN(DW214)=0,0,INDEX(daten!$O$9:$O$32,DW214))</f>
        <v>0</v>
      </c>
      <c r="DZ214" s="138" t="str">
        <f t="shared" si="120"/>
        <v/>
      </c>
      <c r="EB214" s="303">
        <f>COUNTIF(DZ$199:DZ213,"="&amp;DZ214)+IF(DX214=0,0,COUNTIF($DX$211:$DX213,"="&amp;DX214))</f>
        <v>0</v>
      </c>
      <c r="EC214">
        <f t="shared" si="130"/>
        <v>0</v>
      </c>
      <c r="ED214" s="138" t="str">
        <f t="shared" si="121"/>
        <v/>
      </c>
      <c r="EF214" s="285" t="str">
        <f t="shared" si="132"/>
        <v/>
      </c>
      <c r="EH214" s="138">
        <f t="shared" si="139"/>
        <v>0</v>
      </c>
      <c r="EJ214">
        <v>0</v>
      </c>
      <c r="EK214" s="57">
        <f t="shared" si="140"/>
        <v>0</v>
      </c>
      <c r="EM214">
        <f t="shared" si="141"/>
        <v>0</v>
      </c>
      <c r="EN214">
        <v>37</v>
      </c>
      <c r="EO214" s="65">
        <f t="shared" si="142"/>
        <v>0</v>
      </c>
      <c r="EP214" s="65">
        <f t="shared" si="143"/>
        <v>0</v>
      </c>
      <c r="EQ214" s="65">
        <v>1</v>
      </c>
      <c r="ER214" s="65">
        <v>241</v>
      </c>
      <c r="ES214" s="65">
        <v>241</v>
      </c>
      <c r="ET214" s="286">
        <v>0</v>
      </c>
      <c r="EU214" s="249" t="b">
        <v>1</v>
      </c>
      <c r="EV214" s="288" t="str">
        <f t="shared" si="146"/>
        <v/>
      </c>
      <c r="EW214" t="s">
        <v>23</v>
      </c>
    </row>
    <row r="215" spans="19:153" ht="12.9" hidden="1" customHeight="1" thickBot="1" x14ac:dyDescent="0.25">
      <c r="S215" s="70"/>
      <c r="T215" s="280" t="s">
        <v>291</v>
      </c>
      <c r="U215" s="308"/>
      <c r="V215" s="308"/>
      <c r="W215" s="308"/>
      <c r="X215" s="309"/>
      <c r="Y215" s="648"/>
      <c r="Z215" s="649"/>
      <c r="AA215" s="649"/>
      <c r="AB215" s="649"/>
      <c r="AC215" s="649"/>
      <c r="AD215" s="650"/>
      <c r="AE215" s="283" t="str">
        <f t="shared" si="136"/>
        <v>ˣ</v>
      </c>
      <c r="AF215" s="393" t="str">
        <f t="shared" si="137"/>
        <v>DEUTSCHLAND (GER)</v>
      </c>
      <c r="AG215" s="394"/>
      <c r="AH215" s="394"/>
      <c r="AI215" s="394"/>
      <c r="AJ215" s="394"/>
      <c r="AK215" s="394"/>
      <c r="AL215" s="394"/>
      <c r="AM215" s="394"/>
      <c r="AN215" s="394"/>
      <c r="AO215" s="442" t="str">
        <f t="shared" si="134"/>
        <v>KEINE PRÜFUNG</v>
      </c>
      <c r="AP215" s="442"/>
      <c r="AQ215" s="442"/>
      <c r="AR215" s="442"/>
      <c r="AS215" s="442"/>
      <c r="AT215" s="442"/>
      <c r="AU215" s="442"/>
      <c r="AV215" s="442"/>
      <c r="AW215" s="394"/>
      <c r="AX215" s="395"/>
      <c r="AY215" s="395"/>
      <c r="AZ215" s="394"/>
      <c r="BA215" s="394"/>
      <c r="BB215" s="395" t="str">
        <f t="shared" si="135"/>
        <v>0 PKT.</v>
      </c>
      <c r="BC215" s="70"/>
      <c r="BD215" s="70"/>
      <c r="BE215" s="70"/>
      <c r="BF215" s="70"/>
      <c r="BG215" s="70"/>
      <c r="BH215" s="70"/>
      <c r="BI215" s="70"/>
      <c r="BJ215" s="70"/>
      <c r="BK215" s="70"/>
      <c r="BL215" s="70"/>
      <c r="BM215" s="70"/>
      <c r="BN215" s="70"/>
      <c r="BO215" s="70"/>
      <c r="BP215" s="70"/>
      <c r="BQ215" s="70"/>
      <c r="BR215" s="70"/>
      <c r="CX215" s="249" t="s">
        <v>19</v>
      </c>
      <c r="DA215" t="s">
        <v>599</v>
      </c>
      <c r="DB215">
        <f>VLOOKUP(DA215,tabbermsp!$B$335:$C$358,2,FALSE)</f>
        <v>1</v>
      </c>
      <c r="DD215" s="138" t="str">
        <f t="shared" si="138"/>
        <v>DEUTSCHLAND (GER)</v>
      </c>
      <c r="DE215" s="138" t="str">
        <f t="shared" si="119"/>
        <v/>
      </c>
      <c r="DH215" s="138"/>
      <c r="DL215" t="s">
        <v>60</v>
      </c>
      <c r="DN215">
        <v>11</v>
      </c>
      <c r="DO215" s="249">
        <v>1</v>
      </c>
      <c r="DP215" s="249">
        <v>0</v>
      </c>
      <c r="DQ215" s="249">
        <v>0</v>
      </c>
      <c r="DR215" s="249" t="b">
        <v>1</v>
      </c>
      <c r="DS215" s="138"/>
      <c r="DT215" s="138" t="str">
        <f t="shared" si="144"/>
        <v/>
      </c>
      <c r="DU215" t="s">
        <v>38</v>
      </c>
      <c r="DV215" s="287" t="e">
        <f t="shared" si="145"/>
        <v>#N/A</v>
      </c>
      <c r="DW215" s="287" t="str">
        <f t="shared" si="129"/>
        <v/>
      </c>
      <c r="DZ215" s="138" t="str">
        <f t="shared" si="120"/>
        <v/>
      </c>
      <c r="EB215">
        <v>0</v>
      </c>
      <c r="EC215">
        <f t="shared" si="130"/>
        <v>0</v>
      </c>
      <c r="ED215" s="138" t="str">
        <f t="shared" si="121"/>
        <v/>
      </c>
      <c r="EF215" s="285" t="str">
        <f t="shared" si="132"/>
        <v/>
      </c>
      <c r="EH215" s="138">
        <f t="shared" si="139"/>
        <v>0</v>
      </c>
      <c r="EJ215">
        <v>0</v>
      </c>
      <c r="EK215" s="57">
        <f t="shared" si="140"/>
        <v>0</v>
      </c>
      <c r="EM215">
        <f t="shared" si="141"/>
        <v>0</v>
      </c>
      <c r="EN215">
        <v>38</v>
      </c>
      <c r="EO215" s="65">
        <f t="shared" si="142"/>
        <v>0</v>
      </c>
      <c r="EP215" s="65">
        <f t="shared" si="143"/>
        <v>0</v>
      </c>
      <c r="EQ215" s="65">
        <v>1</v>
      </c>
      <c r="ER215" s="65">
        <v>242</v>
      </c>
      <c r="ES215" s="65">
        <v>242</v>
      </c>
      <c r="ET215" s="286">
        <v>0</v>
      </c>
      <c r="EU215" s="249" t="b">
        <v>1</v>
      </c>
      <c r="EV215" s="288" t="str">
        <f t="shared" si="146"/>
        <v/>
      </c>
      <c r="EW215" t="s">
        <v>38</v>
      </c>
    </row>
    <row r="216" spans="19:153" ht="12.9" hidden="1" customHeight="1" thickBot="1" x14ac:dyDescent="0.25">
      <c r="S216" s="70"/>
      <c r="T216" s="280" t="s">
        <v>292</v>
      </c>
      <c r="U216" s="308"/>
      <c r="V216" s="308"/>
      <c r="W216" s="308"/>
      <c r="X216" s="309"/>
      <c r="Y216" s="648"/>
      <c r="Z216" s="649"/>
      <c r="AA216" s="649"/>
      <c r="AB216" s="649"/>
      <c r="AC216" s="649"/>
      <c r="AD216" s="650"/>
      <c r="AE216" s="283" t="str">
        <f t="shared" si="136"/>
        <v>ˣ</v>
      </c>
      <c r="AF216" s="393" t="str">
        <f t="shared" si="137"/>
        <v>SPANIEN (ESP)</v>
      </c>
      <c r="AG216" s="394"/>
      <c r="AH216" s="394"/>
      <c r="AI216" s="394"/>
      <c r="AJ216" s="394"/>
      <c r="AK216" s="394"/>
      <c r="AL216" s="394"/>
      <c r="AM216" s="394"/>
      <c r="AN216" s="394"/>
      <c r="AO216" s="442" t="str">
        <f t="shared" si="134"/>
        <v>KEINE PRÜFUNG</v>
      </c>
      <c r="AP216" s="442"/>
      <c r="AQ216" s="442"/>
      <c r="AR216" s="442"/>
      <c r="AS216" s="442"/>
      <c r="AT216" s="442"/>
      <c r="AU216" s="442"/>
      <c r="AV216" s="442"/>
      <c r="AW216" s="394"/>
      <c r="AX216" s="395"/>
      <c r="AY216" s="395"/>
      <c r="AZ216" s="394"/>
      <c r="BA216" s="394"/>
      <c r="BB216" s="395" t="str">
        <f t="shared" si="135"/>
        <v>0 PKT.</v>
      </c>
      <c r="BC216" s="70"/>
      <c r="BD216" s="70"/>
      <c r="BE216" s="70"/>
      <c r="BF216" s="70"/>
      <c r="BG216" s="70"/>
      <c r="BH216" s="70"/>
      <c r="BI216" s="70"/>
      <c r="BJ216" s="70"/>
      <c r="BK216" s="70"/>
      <c r="BL216" s="70"/>
      <c r="BM216" s="70"/>
      <c r="BN216" s="70"/>
      <c r="BO216" s="70"/>
      <c r="BP216" s="70"/>
      <c r="BQ216" s="70"/>
      <c r="BR216" s="70"/>
      <c r="CX216" s="249" t="s">
        <v>19</v>
      </c>
      <c r="DA216" t="s">
        <v>615</v>
      </c>
      <c r="DB216">
        <f>VLOOKUP(DA216,tabbermsp!$B$335:$C$358,2,FALSE)</f>
        <v>5</v>
      </c>
      <c r="DD216" s="138" t="str">
        <f t="shared" si="138"/>
        <v>SPANIEN (ESP)</v>
      </c>
      <c r="DE216" s="138" t="str">
        <f t="shared" si="119"/>
        <v/>
      </c>
      <c r="DH216" s="138"/>
      <c r="DL216" t="s">
        <v>61</v>
      </c>
      <c r="DN216">
        <v>12</v>
      </c>
      <c r="DO216" s="249">
        <v>1</v>
      </c>
      <c r="DP216" s="249">
        <v>0</v>
      </c>
      <c r="DQ216" s="249">
        <v>0</v>
      </c>
      <c r="DR216" s="249" t="b">
        <v>1</v>
      </c>
      <c r="DS216" s="138"/>
      <c r="DT216" s="138" t="str">
        <f t="shared" si="144"/>
        <v/>
      </c>
      <c r="DU216" t="s">
        <v>41</v>
      </c>
      <c r="DV216" s="287" t="e">
        <f t="shared" si="145"/>
        <v>#N/A</v>
      </c>
      <c r="DW216" s="287" t="str">
        <f t="shared" si="129"/>
        <v/>
      </c>
      <c r="DZ216" s="138" t="str">
        <f t="shared" si="120"/>
        <v/>
      </c>
      <c r="EB216">
        <v>0</v>
      </c>
      <c r="EC216">
        <f t="shared" si="130"/>
        <v>0</v>
      </c>
      <c r="ED216" s="138" t="str">
        <f t="shared" si="121"/>
        <v/>
      </c>
      <c r="EF216" s="285" t="str">
        <f t="shared" si="132"/>
        <v/>
      </c>
      <c r="EH216" s="138">
        <f t="shared" si="139"/>
        <v>0</v>
      </c>
      <c r="EJ216">
        <v>0</v>
      </c>
      <c r="EK216" s="57">
        <f t="shared" si="140"/>
        <v>0</v>
      </c>
      <c r="EM216">
        <f t="shared" si="141"/>
        <v>0</v>
      </c>
      <c r="EN216">
        <v>39</v>
      </c>
      <c r="EO216" s="65">
        <f t="shared" si="142"/>
        <v>0</v>
      </c>
      <c r="EP216" s="65">
        <f t="shared" si="143"/>
        <v>0</v>
      </c>
      <c r="EQ216" s="65">
        <v>1</v>
      </c>
      <c r="ER216" s="65">
        <v>243</v>
      </c>
      <c r="ES216" s="65">
        <v>243</v>
      </c>
      <c r="ET216" s="286">
        <v>0</v>
      </c>
      <c r="EU216" s="249" t="b">
        <v>1</v>
      </c>
      <c r="EV216" s="288" t="str">
        <f t="shared" si="146"/>
        <v/>
      </c>
      <c r="EW216" t="s">
        <v>41</v>
      </c>
    </row>
    <row r="217" spans="19:153" ht="12.9" hidden="1" customHeight="1" thickBot="1" x14ac:dyDescent="0.25">
      <c r="S217" s="70"/>
      <c r="T217" s="280" t="s">
        <v>293</v>
      </c>
      <c r="U217" s="308"/>
      <c r="V217" s="308"/>
      <c r="W217" s="308"/>
      <c r="X217" s="309"/>
      <c r="Y217" s="648"/>
      <c r="Z217" s="649"/>
      <c r="AA217" s="649"/>
      <c r="AB217" s="649"/>
      <c r="AC217" s="649"/>
      <c r="AD217" s="650"/>
      <c r="AE217" s="283" t="str">
        <f t="shared" si="136"/>
        <v>ˣ</v>
      </c>
      <c r="AF217" s="393" t="str">
        <f t="shared" si="137"/>
        <v>SLOWENIEN (SLO)</v>
      </c>
      <c r="AG217" s="394"/>
      <c r="AH217" s="394"/>
      <c r="AI217" s="394"/>
      <c r="AJ217" s="394"/>
      <c r="AK217" s="394"/>
      <c r="AL217" s="394"/>
      <c r="AM217" s="394"/>
      <c r="AN217" s="394"/>
      <c r="AO217" s="442" t="str">
        <f t="shared" si="134"/>
        <v>KEINE PRÜFUNG</v>
      </c>
      <c r="AP217" s="442"/>
      <c r="AQ217" s="442"/>
      <c r="AR217" s="442"/>
      <c r="AS217" s="442"/>
      <c r="AT217" s="442"/>
      <c r="AU217" s="442"/>
      <c r="AV217" s="442"/>
      <c r="AW217" s="394"/>
      <c r="AX217" s="395"/>
      <c r="AY217" s="395"/>
      <c r="AZ217" s="394"/>
      <c r="BA217" s="394"/>
      <c r="BB217" s="395" t="str">
        <f t="shared" si="135"/>
        <v>0 PKT.</v>
      </c>
      <c r="BC217" s="70"/>
      <c r="BD217" s="70"/>
      <c r="BE217" s="70"/>
      <c r="BF217" s="70"/>
      <c r="BG217" s="70"/>
      <c r="BH217" s="70"/>
      <c r="BI217" s="70"/>
      <c r="BJ217" s="70"/>
      <c r="BK217" s="70"/>
      <c r="BL217" s="70"/>
      <c r="BM217" s="70"/>
      <c r="BN217" s="70"/>
      <c r="BO217" s="70"/>
      <c r="BP217" s="70"/>
      <c r="BQ217" s="70"/>
      <c r="BR217" s="70"/>
      <c r="CX217" s="249" t="s">
        <v>19</v>
      </c>
      <c r="DA217" t="s">
        <v>630</v>
      </c>
      <c r="DB217">
        <f>VLOOKUP(DA217,tabbermsp!$B$335:$C$358,2,FALSE)</f>
        <v>9</v>
      </c>
      <c r="DD217" s="138" t="str">
        <f t="shared" si="138"/>
        <v>SLOWENIEN (SLO)</v>
      </c>
      <c r="DE217" s="138" t="str">
        <f t="shared" si="119"/>
        <v/>
      </c>
      <c r="DH217" s="138"/>
      <c r="DL217" t="s">
        <v>62</v>
      </c>
      <c r="DN217">
        <v>13</v>
      </c>
      <c r="DO217" s="249">
        <v>1</v>
      </c>
      <c r="DP217" s="249">
        <v>0</v>
      </c>
      <c r="DQ217" s="249">
        <v>0</v>
      </c>
      <c r="DR217" s="249" t="b">
        <v>1</v>
      </c>
      <c r="DS217" s="138"/>
      <c r="DT217" s="138" t="str">
        <f t="shared" si="144"/>
        <v/>
      </c>
      <c r="DU217" t="s">
        <v>46</v>
      </c>
      <c r="DV217" s="287" t="e">
        <f t="shared" si="145"/>
        <v>#N/A</v>
      </c>
      <c r="DW217" s="287" t="str">
        <f t="shared" si="129"/>
        <v/>
      </c>
      <c r="DZ217" s="138" t="str">
        <f t="shared" si="120"/>
        <v/>
      </c>
      <c r="EB217">
        <v>0</v>
      </c>
      <c r="EC217">
        <f t="shared" si="130"/>
        <v>0</v>
      </c>
      <c r="ED217" s="138" t="str">
        <f t="shared" si="121"/>
        <v/>
      </c>
      <c r="EF217" s="285" t="str">
        <f t="shared" si="132"/>
        <v/>
      </c>
      <c r="EH217" s="138">
        <f t="shared" si="139"/>
        <v>0</v>
      </c>
      <c r="EJ217">
        <v>0</v>
      </c>
      <c r="EK217" s="57">
        <f t="shared" si="140"/>
        <v>0</v>
      </c>
      <c r="EM217">
        <f t="shared" si="141"/>
        <v>0</v>
      </c>
      <c r="EN217">
        <v>40</v>
      </c>
      <c r="EO217" s="65">
        <f t="shared" si="142"/>
        <v>0</v>
      </c>
      <c r="EP217" s="65">
        <f t="shared" si="143"/>
        <v>0</v>
      </c>
      <c r="EQ217" s="65">
        <v>1</v>
      </c>
      <c r="ER217" s="65">
        <v>244</v>
      </c>
      <c r="ES217" s="65">
        <v>244</v>
      </c>
      <c r="ET217" s="286">
        <v>0</v>
      </c>
      <c r="EU217" s="249" t="b">
        <v>1</v>
      </c>
      <c r="EV217" s="288" t="str">
        <f t="shared" si="146"/>
        <v/>
      </c>
      <c r="EW217" t="s">
        <v>46</v>
      </c>
    </row>
    <row r="218" spans="19:153" ht="12.9" hidden="1" customHeight="1" thickBot="1" x14ac:dyDescent="0.25">
      <c r="S218" s="70"/>
      <c r="T218" s="280" t="s">
        <v>294</v>
      </c>
      <c r="U218" s="308"/>
      <c r="V218" s="308"/>
      <c r="W218" s="308"/>
      <c r="X218" s="309"/>
      <c r="Y218" s="648"/>
      <c r="Z218" s="649"/>
      <c r="AA218" s="649"/>
      <c r="AB218" s="649"/>
      <c r="AC218" s="649"/>
      <c r="AD218" s="650"/>
      <c r="AE218" s="283" t="str">
        <f t="shared" si="136"/>
        <v>ˣ</v>
      </c>
      <c r="AF218" s="393" t="str">
        <f t="shared" si="137"/>
        <v>POLEN (POL)</v>
      </c>
      <c r="AG218" s="394"/>
      <c r="AH218" s="394"/>
      <c r="AI218" s="394"/>
      <c r="AJ218" s="394"/>
      <c r="AK218" s="394"/>
      <c r="AL218" s="394"/>
      <c r="AM218" s="394"/>
      <c r="AN218" s="394"/>
      <c r="AO218" s="442" t="str">
        <f t="shared" si="134"/>
        <v>KEINE PRÜFUNG</v>
      </c>
      <c r="AP218" s="442"/>
      <c r="AQ218" s="442"/>
      <c r="AR218" s="442"/>
      <c r="AS218" s="442"/>
      <c r="AT218" s="442"/>
      <c r="AU218" s="442"/>
      <c r="AV218" s="442"/>
      <c r="AW218" s="394"/>
      <c r="AX218" s="395"/>
      <c r="AY218" s="395"/>
      <c r="AZ218" s="394"/>
      <c r="BA218" s="394"/>
      <c r="BB218" s="395" t="str">
        <f t="shared" si="135"/>
        <v>0 PKT.</v>
      </c>
      <c r="BC218" s="70"/>
      <c r="BD218" s="70"/>
      <c r="BE218" s="70"/>
      <c r="BF218" s="70"/>
      <c r="BG218" s="70"/>
      <c r="BH218" s="70"/>
      <c r="BI218" s="70"/>
      <c r="BJ218" s="70"/>
      <c r="BK218" s="70"/>
      <c r="BL218" s="70"/>
      <c r="BM218" s="70"/>
      <c r="BN218" s="70"/>
      <c r="BO218" s="70"/>
      <c r="BP218" s="70"/>
      <c r="BQ218" s="70"/>
      <c r="BR218" s="70"/>
      <c r="CX218" s="249" t="s">
        <v>19</v>
      </c>
      <c r="DA218" t="s">
        <v>643</v>
      </c>
      <c r="DB218">
        <f>VLOOKUP(DA218,tabbermsp!$B$335:$C$358,2,FALSE)</f>
        <v>13</v>
      </c>
      <c r="DD218" s="138" t="str">
        <f t="shared" si="138"/>
        <v>POLEN (POL)</v>
      </c>
      <c r="DE218" s="138" t="str">
        <f t="shared" si="119"/>
        <v/>
      </c>
      <c r="DH218" s="138"/>
      <c r="DL218" t="s">
        <v>63</v>
      </c>
      <c r="DN218">
        <v>14</v>
      </c>
      <c r="DO218" s="249">
        <v>1</v>
      </c>
      <c r="DP218" s="249">
        <v>0</v>
      </c>
      <c r="DQ218" s="249">
        <v>0</v>
      </c>
      <c r="DR218" s="249" t="b">
        <v>1</v>
      </c>
      <c r="DS218" s="138"/>
      <c r="DT218" s="138" t="str">
        <f t="shared" si="144"/>
        <v/>
      </c>
      <c r="DU218" t="s">
        <v>50</v>
      </c>
      <c r="DV218" s="287" t="e">
        <f t="shared" si="145"/>
        <v>#N/A</v>
      </c>
      <c r="DW218" s="287" t="str">
        <f t="shared" si="129"/>
        <v/>
      </c>
      <c r="DZ218" s="138" t="str">
        <f t="shared" si="120"/>
        <v/>
      </c>
      <c r="EB218">
        <v>0</v>
      </c>
      <c r="EC218">
        <f t="shared" si="130"/>
        <v>0</v>
      </c>
      <c r="ED218" s="138" t="str">
        <f t="shared" si="121"/>
        <v/>
      </c>
      <c r="EF218" s="285" t="str">
        <f t="shared" si="132"/>
        <v/>
      </c>
      <c r="EH218" s="138">
        <f t="shared" si="139"/>
        <v>0</v>
      </c>
      <c r="EJ218">
        <v>0</v>
      </c>
      <c r="EK218" s="57">
        <f t="shared" si="140"/>
        <v>0</v>
      </c>
      <c r="EM218">
        <f t="shared" si="141"/>
        <v>0</v>
      </c>
      <c r="EN218">
        <v>41</v>
      </c>
      <c r="EO218" s="65">
        <f t="shared" si="142"/>
        <v>0</v>
      </c>
      <c r="EP218" s="65">
        <f t="shared" si="143"/>
        <v>0</v>
      </c>
      <c r="EQ218" s="65">
        <v>1</v>
      </c>
      <c r="ER218" s="65">
        <v>245</v>
      </c>
      <c r="ES218" s="65">
        <v>245</v>
      </c>
      <c r="ET218" s="286">
        <v>0</v>
      </c>
      <c r="EU218" s="249" t="b">
        <v>1</v>
      </c>
      <c r="EV218" s="288" t="str">
        <f t="shared" si="146"/>
        <v/>
      </c>
      <c r="EW218" t="s">
        <v>50</v>
      </c>
    </row>
    <row r="219" spans="19:153" ht="12.9" hidden="1" customHeight="1" thickBot="1" x14ac:dyDescent="0.25">
      <c r="S219" s="70"/>
      <c r="T219" s="280" t="s">
        <v>295</v>
      </c>
      <c r="U219" s="308"/>
      <c r="V219" s="308"/>
      <c r="W219" s="308"/>
      <c r="X219" s="309"/>
      <c r="Y219" s="648"/>
      <c r="Z219" s="649"/>
      <c r="AA219" s="649"/>
      <c r="AB219" s="649"/>
      <c r="AC219" s="649"/>
      <c r="AD219" s="650"/>
      <c r="AE219" s="283" t="str">
        <f t="shared" si="136"/>
        <v>ˣ</v>
      </c>
      <c r="AF219" s="393" t="str">
        <f t="shared" si="137"/>
        <v>BELGIEN (BEL)</v>
      </c>
      <c r="AG219" s="394"/>
      <c r="AH219" s="394"/>
      <c r="AI219" s="394"/>
      <c r="AJ219" s="394"/>
      <c r="AK219" s="394"/>
      <c r="AL219" s="394"/>
      <c r="AM219" s="394"/>
      <c r="AN219" s="394"/>
      <c r="AO219" s="442" t="str">
        <f t="shared" si="134"/>
        <v>KEINE PRÜFUNG</v>
      </c>
      <c r="AP219" s="442"/>
      <c r="AQ219" s="442"/>
      <c r="AR219" s="442"/>
      <c r="AS219" s="442"/>
      <c r="AT219" s="442"/>
      <c r="AU219" s="442"/>
      <c r="AV219" s="442"/>
      <c r="AW219" s="394"/>
      <c r="AX219" s="395"/>
      <c r="AY219" s="395"/>
      <c r="AZ219" s="394"/>
      <c r="BA219" s="394"/>
      <c r="BB219" s="395" t="str">
        <f t="shared" si="135"/>
        <v>0 PKT.</v>
      </c>
      <c r="BC219" s="70"/>
      <c r="BD219" s="70"/>
      <c r="BE219" s="70"/>
      <c r="BF219" s="70"/>
      <c r="BG219" s="70"/>
      <c r="BH219" s="70"/>
      <c r="BI219" s="70"/>
      <c r="BJ219" s="70"/>
      <c r="BK219" s="70"/>
      <c r="BL219" s="70"/>
      <c r="BM219" s="70"/>
      <c r="BN219" s="70"/>
      <c r="BO219" s="70"/>
      <c r="BP219" s="70"/>
      <c r="BQ219" s="70"/>
      <c r="BR219" s="70"/>
      <c r="CX219" s="249" t="s">
        <v>19</v>
      </c>
      <c r="DA219" t="s">
        <v>652</v>
      </c>
      <c r="DB219">
        <f>VLOOKUP(DA219,tabbermsp!$B$335:$C$358,2,FALSE)</f>
        <v>17</v>
      </c>
      <c r="DD219" s="138" t="str">
        <f t="shared" si="138"/>
        <v>BELGIEN (BEL)</v>
      </c>
      <c r="DE219" s="138" t="str">
        <f t="shared" si="119"/>
        <v/>
      </c>
      <c r="DH219" s="138"/>
      <c r="DL219" t="s">
        <v>64</v>
      </c>
      <c r="DN219">
        <v>15</v>
      </c>
      <c r="DO219" s="249">
        <v>1</v>
      </c>
      <c r="DP219" s="249">
        <v>0</v>
      </c>
      <c r="DQ219" s="249">
        <v>0</v>
      </c>
      <c r="DR219" s="249" t="b">
        <v>1</v>
      </c>
      <c r="DS219" s="138"/>
      <c r="DT219" s="138" t="str">
        <f t="shared" si="144"/>
        <v/>
      </c>
      <c r="DU219" t="s">
        <v>54</v>
      </c>
      <c r="DV219" s="287" t="e">
        <f t="shared" si="145"/>
        <v>#N/A</v>
      </c>
      <c r="DW219" s="287" t="str">
        <f t="shared" si="129"/>
        <v/>
      </c>
      <c r="DZ219" s="138" t="str">
        <f t="shared" si="120"/>
        <v/>
      </c>
      <c r="EB219">
        <v>0</v>
      </c>
      <c r="EC219">
        <f t="shared" si="130"/>
        <v>0</v>
      </c>
      <c r="ED219" s="138" t="str">
        <f t="shared" si="121"/>
        <v/>
      </c>
      <c r="EF219" s="285" t="str">
        <f t="shared" si="132"/>
        <v/>
      </c>
      <c r="EH219" s="138">
        <f t="shared" si="139"/>
        <v>0</v>
      </c>
      <c r="EJ219">
        <v>0</v>
      </c>
      <c r="EK219" s="57">
        <f t="shared" si="140"/>
        <v>0</v>
      </c>
      <c r="EM219">
        <f t="shared" si="141"/>
        <v>0</v>
      </c>
      <c r="EN219">
        <v>42</v>
      </c>
      <c r="EO219" s="65">
        <f t="shared" si="142"/>
        <v>0</v>
      </c>
      <c r="EP219" s="65">
        <f t="shared" si="143"/>
        <v>0</v>
      </c>
      <c r="EQ219" s="65">
        <v>1</v>
      </c>
      <c r="ER219" s="65">
        <v>246</v>
      </c>
      <c r="ES219" s="65">
        <v>246</v>
      </c>
      <c r="ET219" s="286">
        <v>0</v>
      </c>
      <c r="EU219" s="249" t="b">
        <v>1</v>
      </c>
      <c r="EV219" s="288" t="str">
        <f t="shared" si="146"/>
        <v/>
      </c>
      <c r="EW219" t="s">
        <v>54</v>
      </c>
    </row>
    <row r="220" spans="19:153" ht="12.9" hidden="1" customHeight="1" thickBot="1" x14ac:dyDescent="0.25">
      <c r="S220" s="70"/>
      <c r="T220" s="280" t="s">
        <v>296</v>
      </c>
      <c r="U220" s="308"/>
      <c r="V220" s="308"/>
      <c r="W220" s="308"/>
      <c r="X220" s="309"/>
      <c r="Y220" s="648"/>
      <c r="Z220" s="649"/>
      <c r="AA220" s="649"/>
      <c r="AB220" s="649"/>
      <c r="AC220" s="649"/>
      <c r="AD220" s="650"/>
      <c r="AE220" s="283" t="str">
        <f t="shared" si="136"/>
        <v>ˣ</v>
      </c>
      <c r="AF220" s="393" t="str">
        <f t="shared" si="137"/>
        <v>TÜRKEI (TUR)</v>
      </c>
      <c r="AG220" s="394"/>
      <c r="AH220" s="394"/>
      <c r="AI220" s="394"/>
      <c r="AJ220" s="394"/>
      <c r="AK220" s="394"/>
      <c r="AL220" s="394"/>
      <c r="AM220" s="394"/>
      <c r="AN220" s="394"/>
      <c r="AO220" s="442" t="str">
        <f t="shared" si="134"/>
        <v>KEINE PRÜFUNG</v>
      </c>
      <c r="AP220" s="442"/>
      <c r="AQ220" s="442"/>
      <c r="AR220" s="442"/>
      <c r="AS220" s="442"/>
      <c r="AT220" s="442"/>
      <c r="AU220" s="442"/>
      <c r="AV220" s="442"/>
      <c r="AW220" s="394"/>
      <c r="AX220" s="395"/>
      <c r="AY220" s="395"/>
      <c r="AZ220" s="394"/>
      <c r="BA220" s="394"/>
      <c r="BB220" s="395" t="str">
        <f t="shared" si="135"/>
        <v>0 PKT.</v>
      </c>
      <c r="BC220" s="70"/>
      <c r="BD220" s="70"/>
      <c r="BE220" s="70"/>
      <c r="BF220" s="70"/>
      <c r="BG220" s="70"/>
      <c r="BH220" s="70"/>
      <c r="BI220" s="70"/>
      <c r="BJ220" s="70"/>
      <c r="BK220" s="70"/>
      <c r="BL220" s="70"/>
      <c r="BM220" s="70"/>
      <c r="BN220" s="70"/>
      <c r="BO220" s="70"/>
      <c r="BP220" s="70"/>
      <c r="BQ220" s="70"/>
      <c r="BR220" s="70"/>
      <c r="CX220" s="249" t="s">
        <v>19</v>
      </c>
      <c r="DA220" t="s">
        <v>661</v>
      </c>
      <c r="DB220">
        <f>VLOOKUP(DA220,tabbermsp!$B$335:$C$358,2,FALSE)</f>
        <v>21</v>
      </c>
      <c r="DD220" s="138" t="str">
        <f t="shared" si="138"/>
        <v>TÜRKEI (TUR)</v>
      </c>
      <c r="DE220" s="138" t="str">
        <f t="shared" si="119"/>
        <v/>
      </c>
      <c r="DH220" s="138"/>
      <c r="DL220" t="s">
        <v>65</v>
      </c>
      <c r="DN220">
        <v>16</v>
      </c>
      <c r="DO220" s="249">
        <v>1</v>
      </c>
      <c r="DP220" s="249">
        <v>0</v>
      </c>
      <c r="DQ220" s="249">
        <v>0</v>
      </c>
      <c r="DR220" s="249" t="b">
        <v>1</v>
      </c>
      <c r="DS220" s="138"/>
      <c r="DT220" s="138" t="str">
        <f t="shared" si="144"/>
        <v/>
      </c>
      <c r="DU220" t="s">
        <v>57</v>
      </c>
      <c r="DV220" s="287" t="e">
        <f t="shared" si="145"/>
        <v>#N/A</v>
      </c>
      <c r="DW220" s="287" t="str">
        <f t="shared" si="129"/>
        <v/>
      </c>
      <c r="DZ220" s="138" t="str">
        <f t="shared" si="120"/>
        <v/>
      </c>
      <c r="EB220">
        <v>0</v>
      </c>
      <c r="EC220">
        <f t="shared" si="130"/>
        <v>0</v>
      </c>
      <c r="ED220" s="138" t="str">
        <f t="shared" si="121"/>
        <v/>
      </c>
      <c r="EF220" s="285" t="str">
        <f t="shared" si="132"/>
        <v/>
      </c>
      <c r="EH220" s="138">
        <f t="shared" si="139"/>
        <v>0</v>
      </c>
      <c r="EJ220">
        <v>0</v>
      </c>
      <c r="EK220" s="57">
        <f t="shared" si="140"/>
        <v>0</v>
      </c>
      <c r="EM220">
        <f t="shared" si="141"/>
        <v>0</v>
      </c>
      <c r="EN220">
        <v>43</v>
      </c>
      <c r="EO220" s="65">
        <f t="shared" si="142"/>
        <v>0</v>
      </c>
      <c r="EP220" s="65">
        <f t="shared" si="143"/>
        <v>0</v>
      </c>
      <c r="EQ220" s="65">
        <v>1</v>
      </c>
      <c r="ER220" s="65">
        <v>247</v>
      </c>
      <c r="ES220" s="65">
        <v>247</v>
      </c>
      <c r="ET220" s="286">
        <v>0</v>
      </c>
      <c r="EU220" s="249" t="b">
        <v>1</v>
      </c>
      <c r="EV220" s="288" t="str">
        <f t="shared" si="146"/>
        <v/>
      </c>
      <c r="EW220" t="s">
        <v>57</v>
      </c>
    </row>
    <row r="221" spans="19:153" ht="12.9" hidden="1" customHeight="1" thickBot="1" x14ac:dyDescent="0.25">
      <c r="S221" s="70"/>
      <c r="T221" s="280" t="s">
        <v>297</v>
      </c>
      <c r="U221" s="308"/>
      <c r="V221" s="308"/>
      <c r="W221" s="308"/>
      <c r="X221" s="309"/>
      <c r="Y221" s="648"/>
      <c r="Z221" s="649"/>
      <c r="AA221" s="649"/>
      <c r="AB221" s="649"/>
      <c r="AC221" s="649"/>
      <c r="AD221" s="650"/>
      <c r="AE221" s="283" t="str">
        <f t="shared" si="136"/>
        <v>ˣ</v>
      </c>
      <c r="AF221" s="393" t="str">
        <f t="shared" si="137"/>
        <v>SCHOTTLAND (SCO)</v>
      </c>
      <c r="AG221" s="394"/>
      <c r="AH221" s="394"/>
      <c r="AI221" s="394"/>
      <c r="AJ221" s="394"/>
      <c r="AK221" s="394"/>
      <c r="AL221" s="394"/>
      <c r="AM221" s="394"/>
      <c r="AN221" s="394"/>
      <c r="AO221" s="442" t="str">
        <f t="shared" si="134"/>
        <v>KEINE PRÜFUNG</v>
      </c>
      <c r="AP221" s="442"/>
      <c r="AQ221" s="442"/>
      <c r="AR221" s="442"/>
      <c r="AS221" s="442"/>
      <c r="AT221" s="442"/>
      <c r="AU221" s="442"/>
      <c r="AV221" s="442"/>
      <c r="AW221" s="394"/>
      <c r="AX221" s="395"/>
      <c r="AY221" s="395"/>
      <c r="AZ221" s="394"/>
      <c r="BA221" s="394"/>
      <c r="BB221" s="395" t="str">
        <f t="shared" si="135"/>
        <v>0 PKT.</v>
      </c>
      <c r="BC221" s="70"/>
      <c r="BD221" s="70"/>
      <c r="BE221" s="70"/>
      <c r="BF221" s="70"/>
      <c r="BG221" s="70"/>
      <c r="BH221" s="70"/>
      <c r="BI221" s="70"/>
      <c r="BJ221" s="70"/>
      <c r="BK221" s="70"/>
      <c r="BL221" s="70"/>
      <c r="BM221" s="70"/>
      <c r="BN221" s="70"/>
      <c r="BO221" s="70"/>
      <c r="BP221" s="70"/>
      <c r="BQ221" s="70"/>
      <c r="BR221" s="70"/>
      <c r="CX221" s="249" t="s">
        <v>19</v>
      </c>
      <c r="DA221" t="s">
        <v>603</v>
      </c>
      <c r="DB221">
        <f>VLOOKUP(DA221,tabbermsp!$B$335:$C$358,2,FALSE)</f>
        <v>2</v>
      </c>
      <c r="DD221" s="138" t="str">
        <f t="shared" si="138"/>
        <v>SCHOTTLAND (SCO)</v>
      </c>
      <c r="DE221" s="138" t="str">
        <f t="shared" si="119"/>
        <v/>
      </c>
      <c r="DH221" s="138"/>
      <c r="DL221" t="s">
        <v>66</v>
      </c>
      <c r="DN221">
        <v>17</v>
      </c>
      <c r="DO221" s="249">
        <v>1</v>
      </c>
      <c r="DP221" s="249">
        <v>0</v>
      </c>
      <c r="DQ221" s="249">
        <v>0</v>
      </c>
      <c r="DR221" s="249" t="b">
        <v>1</v>
      </c>
      <c r="DS221" s="138"/>
      <c r="DT221" s="138" t="str">
        <f t="shared" si="144"/>
        <v/>
      </c>
      <c r="DU221" t="s">
        <v>38</v>
      </c>
      <c r="DV221" s="287" t="e">
        <f t="shared" si="145"/>
        <v>#N/A</v>
      </c>
      <c r="DW221" s="287" t="str">
        <f t="shared" si="129"/>
        <v/>
      </c>
      <c r="DZ221" s="138" t="str">
        <f t="shared" si="120"/>
        <v/>
      </c>
      <c r="EB221" s="289">
        <f>IF(COUNTIF(DW$215:DW220,"="&amp;DW221)&gt;0,1,0)</f>
        <v>0</v>
      </c>
      <c r="EC221">
        <f t="shared" si="130"/>
        <v>0</v>
      </c>
      <c r="ED221" s="138" t="str">
        <f t="shared" si="121"/>
        <v/>
      </c>
      <c r="EF221" s="285" t="str">
        <f t="shared" si="132"/>
        <v/>
      </c>
      <c r="EH221" s="138">
        <f t="shared" si="139"/>
        <v>0</v>
      </c>
      <c r="EJ221">
        <v>0</v>
      </c>
      <c r="EK221" s="57">
        <f t="shared" si="140"/>
        <v>0</v>
      </c>
      <c r="EM221">
        <f t="shared" si="141"/>
        <v>0</v>
      </c>
      <c r="EN221">
        <v>44</v>
      </c>
      <c r="EO221" s="65">
        <f t="shared" si="142"/>
        <v>0</v>
      </c>
      <c r="EP221" s="65">
        <f t="shared" si="143"/>
        <v>0</v>
      </c>
      <c r="EQ221" s="65">
        <v>1</v>
      </c>
      <c r="ER221" s="65">
        <v>248</v>
      </c>
      <c r="ES221" s="65">
        <v>248</v>
      </c>
      <c r="ET221" s="286">
        <v>0</v>
      </c>
      <c r="EU221" s="249" t="b">
        <v>1</v>
      </c>
      <c r="EV221" s="288" t="str">
        <f t="shared" si="146"/>
        <v/>
      </c>
      <c r="EW221" t="s">
        <v>38</v>
      </c>
    </row>
    <row r="222" spans="19:153" ht="12.9" hidden="1" customHeight="1" thickBot="1" x14ac:dyDescent="0.25">
      <c r="S222" s="70"/>
      <c r="T222" s="280" t="s">
        <v>298</v>
      </c>
      <c r="U222" s="308"/>
      <c r="V222" s="308"/>
      <c r="W222" s="308"/>
      <c r="X222" s="309"/>
      <c r="Y222" s="648"/>
      <c r="Z222" s="649"/>
      <c r="AA222" s="649"/>
      <c r="AB222" s="649"/>
      <c r="AC222" s="649"/>
      <c r="AD222" s="650"/>
      <c r="AE222" s="283" t="str">
        <f t="shared" si="136"/>
        <v>ˣ</v>
      </c>
      <c r="AF222" s="393" t="str">
        <f t="shared" si="137"/>
        <v>KROATIEN (CRO)</v>
      </c>
      <c r="AG222" s="394"/>
      <c r="AH222" s="394"/>
      <c r="AI222" s="394"/>
      <c r="AJ222" s="394"/>
      <c r="AK222" s="394"/>
      <c r="AL222" s="394"/>
      <c r="AM222" s="394"/>
      <c r="AN222" s="394"/>
      <c r="AO222" s="442" t="str">
        <f t="shared" si="134"/>
        <v>KEINE PRÜFUNG</v>
      </c>
      <c r="AP222" s="442"/>
      <c r="AQ222" s="442"/>
      <c r="AR222" s="442"/>
      <c r="AS222" s="442"/>
      <c r="AT222" s="442"/>
      <c r="AU222" s="442"/>
      <c r="AV222" s="442"/>
      <c r="AW222" s="394"/>
      <c r="AX222" s="395"/>
      <c r="AY222" s="395"/>
      <c r="AZ222" s="394"/>
      <c r="BA222" s="394"/>
      <c r="BB222" s="395" t="str">
        <f t="shared" si="135"/>
        <v>0 PKT.</v>
      </c>
      <c r="BC222" s="70"/>
      <c r="BD222" s="70"/>
      <c r="BE222" s="70"/>
      <c r="BF222" s="70"/>
      <c r="BG222" s="70"/>
      <c r="BH222" s="70"/>
      <c r="BI222" s="70"/>
      <c r="BJ222" s="70"/>
      <c r="BK222" s="70"/>
      <c r="BL222" s="70"/>
      <c r="BM222" s="70"/>
      <c r="BN222" s="70"/>
      <c r="BO222" s="70"/>
      <c r="BP222" s="70"/>
      <c r="BQ222" s="70"/>
      <c r="BR222" s="70"/>
      <c r="CX222" s="249" t="s">
        <v>19</v>
      </c>
      <c r="DA222" t="s">
        <v>619</v>
      </c>
      <c r="DB222">
        <f>VLOOKUP(DA222,tabbermsp!$B$335:$C$358,2,FALSE)</f>
        <v>6</v>
      </c>
      <c r="DD222" s="138" t="str">
        <f t="shared" si="138"/>
        <v>KROATIEN (CRO)</v>
      </c>
      <c r="DE222" s="138" t="str">
        <f t="shared" si="119"/>
        <v/>
      </c>
      <c r="DH222" s="138"/>
      <c r="DL222" t="s">
        <v>67</v>
      </c>
      <c r="DN222">
        <v>18</v>
      </c>
      <c r="DO222" s="249">
        <v>1</v>
      </c>
      <c r="DP222" s="249">
        <v>0</v>
      </c>
      <c r="DQ222" s="249">
        <v>0</v>
      </c>
      <c r="DR222" s="249" t="b">
        <v>1</v>
      </c>
      <c r="DS222" s="138"/>
      <c r="DT222" s="138" t="str">
        <f t="shared" si="144"/>
        <v/>
      </c>
      <c r="DU222" t="s">
        <v>41</v>
      </c>
      <c r="DV222" s="287" t="e">
        <f t="shared" si="145"/>
        <v>#N/A</v>
      </c>
      <c r="DW222" s="287" t="str">
        <f t="shared" si="129"/>
        <v/>
      </c>
      <c r="DZ222" s="138" t="str">
        <f t="shared" si="120"/>
        <v/>
      </c>
      <c r="EB222" s="291">
        <f>IF(COUNTIF(DW$215:DW221,"="&amp;DW222)&gt;0,1,0)</f>
        <v>0</v>
      </c>
      <c r="EC222">
        <f t="shared" si="130"/>
        <v>0</v>
      </c>
      <c r="ED222" s="138" t="str">
        <f t="shared" si="121"/>
        <v/>
      </c>
      <c r="EF222" s="285" t="str">
        <f t="shared" si="132"/>
        <v/>
      </c>
      <c r="EH222" s="138">
        <f t="shared" si="139"/>
        <v>0</v>
      </c>
      <c r="EJ222">
        <v>0</v>
      </c>
      <c r="EK222" s="57">
        <f t="shared" si="140"/>
        <v>0</v>
      </c>
      <c r="EM222">
        <f t="shared" si="141"/>
        <v>0</v>
      </c>
      <c r="EN222">
        <v>45</v>
      </c>
      <c r="EO222" s="65">
        <f t="shared" si="142"/>
        <v>0</v>
      </c>
      <c r="EP222" s="65">
        <f t="shared" si="143"/>
        <v>0</v>
      </c>
      <c r="EQ222" s="65">
        <v>1</v>
      </c>
      <c r="ER222" s="65">
        <v>249</v>
      </c>
      <c r="ES222" s="65">
        <v>249</v>
      </c>
      <c r="ET222" s="286">
        <v>0</v>
      </c>
      <c r="EU222" s="249" t="b">
        <v>1</v>
      </c>
      <c r="EV222" s="288" t="str">
        <f t="shared" si="146"/>
        <v/>
      </c>
      <c r="EW222" t="s">
        <v>41</v>
      </c>
    </row>
    <row r="223" spans="19:153" ht="12.9" hidden="1" customHeight="1" thickBot="1" x14ac:dyDescent="0.25">
      <c r="S223" s="70"/>
      <c r="T223" s="280" t="s">
        <v>299</v>
      </c>
      <c r="U223" s="308"/>
      <c r="V223" s="308"/>
      <c r="W223" s="308"/>
      <c r="X223" s="309"/>
      <c r="Y223" s="648"/>
      <c r="Z223" s="649"/>
      <c r="AA223" s="649"/>
      <c r="AB223" s="649"/>
      <c r="AC223" s="649"/>
      <c r="AD223" s="650"/>
      <c r="AE223" s="283" t="str">
        <f t="shared" si="136"/>
        <v>ˣ</v>
      </c>
      <c r="AF223" s="393" t="str">
        <f t="shared" si="137"/>
        <v>DÄNEMARK (DEN)</v>
      </c>
      <c r="AG223" s="394"/>
      <c r="AH223" s="394"/>
      <c r="AI223" s="394"/>
      <c r="AJ223" s="394"/>
      <c r="AK223" s="394"/>
      <c r="AL223" s="394"/>
      <c r="AM223" s="394"/>
      <c r="AN223" s="394"/>
      <c r="AO223" s="442" t="str">
        <f t="shared" si="134"/>
        <v>KEINE PRÜFUNG</v>
      </c>
      <c r="AP223" s="442"/>
      <c r="AQ223" s="442"/>
      <c r="AR223" s="442"/>
      <c r="AS223" s="442"/>
      <c r="AT223" s="442"/>
      <c r="AU223" s="442"/>
      <c r="AV223" s="442"/>
      <c r="AW223" s="394"/>
      <c r="AX223" s="395"/>
      <c r="AY223" s="395"/>
      <c r="AZ223" s="394"/>
      <c r="BA223" s="394"/>
      <c r="BB223" s="395" t="str">
        <f t="shared" si="135"/>
        <v>0 PKT.</v>
      </c>
      <c r="BC223" s="70"/>
      <c r="BD223" s="70"/>
      <c r="BE223" s="70"/>
      <c r="BF223" s="70"/>
      <c r="BG223" s="70"/>
      <c r="BH223" s="70"/>
      <c r="BI223" s="70"/>
      <c r="BJ223" s="70"/>
      <c r="BK223" s="70"/>
      <c r="BL223" s="70"/>
      <c r="BM223" s="70"/>
      <c r="BN223" s="70"/>
      <c r="BO223" s="70"/>
      <c r="BP223" s="70"/>
      <c r="BQ223" s="70"/>
      <c r="BR223" s="70"/>
      <c r="CX223" s="249" t="s">
        <v>19</v>
      </c>
      <c r="DA223" t="s">
        <v>634</v>
      </c>
      <c r="DB223">
        <f>VLOOKUP(DA223,tabbermsp!$B$335:$C$358,2,FALSE)</f>
        <v>10</v>
      </c>
      <c r="DD223" s="138" t="str">
        <f t="shared" si="138"/>
        <v>DÄNEMARK (DEN)</v>
      </c>
      <c r="DE223" s="138" t="str">
        <f t="shared" si="119"/>
        <v/>
      </c>
      <c r="DH223" s="138"/>
      <c r="DL223" t="s">
        <v>68</v>
      </c>
      <c r="DN223">
        <v>19</v>
      </c>
      <c r="DO223" s="249">
        <v>1</v>
      </c>
      <c r="DP223" s="249">
        <v>0</v>
      </c>
      <c r="DQ223" s="249">
        <v>0</v>
      </c>
      <c r="DR223" s="249" t="b">
        <v>1</v>
      </c>
      <c r="DS223" s="138"/>
      <c r="DT223" s="138" t="str">
        <f t="shared" si="144"/>
        <v/>
      </c>
      <c r="DU223" t="s">
        <v>46</v>
      </c>
      <c r="DV223" s="287" t="e">
        <f t="shared" si="145"/>
        <v>#N/A</v>
      </c>
      <c r="DW223" s="287" t="str">
        <f t="shared" si="129"/>
        <v/>
      </c>
      <c r="DZ223" s="138" t="str">
        <f t="shared" si="120"/>
        <v/>
      </c>
      <c r="EB223" s="291">
        <f>IF(COUNTIF(DW$215:DW222,"="&amp;DW223)&gt;0,1,0)</f>
        <v>0</v>
      </c>
      <c r="EC223">
        <f t="shared" si="130"/>
        <v>0</v>
      </c>
      <c r="ED223" s="138" t="str">
        <f t="shared" si="121"/>
        <v/>
      </c>
      <c r="EF223" s="285" t="str">
        <f t="shared" si="132"/>
        <v/>
      </c>
      <c r="EH223" s="138">
        <f t="shared" si="139"/>
        <v>0</v>
      </c>
      <c r="EJ223">
        <v>0</v>
      </c>
      <c r="EK223" s="57">
        <f t="shared" si="140"/>
        <v>0</v>
      </c>
      <c r="EM223">
        <f t="shared" si="141"/>
        <v>0</v>
      </c>
      <c r="EN223">
        <v>46</v>
      </c>
      <c r="EO223" s="65">
        <f t="shared" si="142"/>
        <v>0</v>
      </c>
      <c r="EP223" s="65">
        <f t="shared" si="143"/>
        <v>0</v>
      </c>
      <c r="EQ223" s="65">
        <v>1</v>
      </c>
      <c r="ER223" s="65">
        <v>250</v>
      </c>
      <c r="ES223" s="65">
        <v>250</v>
      </c>
      <c r="ET223" s="286">
        <v>0</v>
      </c>
      <c r="EU223" s="249" t="b">
        <v>1</v>
      </c>
      <c r="EV223" s="288" t="str">
        <f t="shared" si="146"/>
        <v/>
      </c>
      <c r="EW223" t="s">
        <v>46</v>
      </c>
    </row>
    <row r="224" spans="19:153" ht="12.9" hidden="1" customHeight="1" thickBot="1" x14ac:dyDescent="0.25">
      <c r="S224" s="70"/>
      <c r="T224" s="280" t="s">
        <v>300</v>
      </c>
      <c r="U224" s="308"/>
      <c r="V224" s="308"/>
      <c r="W224" s="308"/>
      <c r="X224" s="309"/>
      <c r="Y224" s="648"/>
      <c r="Z224" s="649"/>
      <c r="AA224" s="649"/>
      <c r="AB224" s="649"/>
      <c r="AC224" s="649"/>
      <c r="AD224" s="650"/>
      <c r="AE224" s="283" t="str">
        <f t="shared" si="136"/>
        <v>ˣ</v>
      </c>
      <c r="AF224" s="393" t="str">
        <f t="shared" si="137"/>
        <v>NIEDERLANDE (NED)</v>
      </c>
      <c r="AG224" s="394"/>
      <c r="AH224" s="394"/>
      <c r="AI224" s="394"/>
      <c r="AJ224" s="394"/>
      <c r="AK224" s="394"/>
      <c r="AL224" s="394"/>
      <c r="AM224" s="394"/>
      <c r="AN224" s="394"/>
      <c r="AO224" s="442" t="str">
        <f t="shared" si="134"/>
        <v>KEINE PRÜFUNG</v>
      </c>
      <c r="AP224" s="442"/>
      <c r="AQ224" s="442"/>
      <c r="AR224" s="442"/>
      <c r="AS224" s="442"/>
      <c r="AT224" s="442"/>
      <c r="AU224" s="442"/>
      <c r="AV224" s="442"/>
      <c r="AW224" s="394"/>
      <c r="AX224" s="395"/>
      <c r="AY224" s="395"/>
      <c r="AZ224" s="394"/>
      <c r="BA224" s="394"/>
      <c r="BB224" s="395" t="str">
        <f t="shared" si="135"/>
        <v>0 PKT.</v>
      </c>
      <c r="BC224" s="70"/>
      <c r="BD224" s="70"/>
      <c r="BE224" s="70"/>
      <c r="BF224" s="70"/>
      <c r="BG224" s="70"/>
      <c r="BH224" s="70"/>
      <c r="BI224" s="70"/>
      <c r="BJ224" s="70"/>
      <c r="BK224" s="70"/>
      <c r="BL224" s="70"/>
      <c r="BM224" s="70"/>
      <c r="BN224" s="70"/>
      <c r="BO224" s="70"/>
      <c r="BP224" s="70"/>
      <c r="BQ224" s="70"/>
      <c r="BR224" s="70"/>
      <c r="CX224" s="249" t="s">
        <v>19</v>
      </c>
      <c r="DA224" t="s">
        <v>646</v>
      </c>
      <c r="DB224">
        <f>VLOOKUP(DA224,tabbermsp!$B$335:$C$358,2,FALSE)</f>
        <v>14</v>
      </c>
      <c r="DD224" s="138" t="str">
        <f t="shared" si="138"/>
        <v>NIEDERLANDE (NED)</v>
      </c>
      <c r="DE224" s="138" t="str">
        <f t="shared" si="119"/>
        <v/>
      </c>
      <c r="DH224" s="138"/>
      <c r="DL224" t="s">
        <v>69</v>
      </c>
      <c r="DN224">
        <v>20</v>
      </c>
      <c r="DO224" s="249">
        <v>1</v>
      </c>
      <c r="DP224" s="249">
        <v>0</v>
      </c>
      <c r="DQ224" s="249">
        <v>0</v>
      </c>
      <c r="DR224" s="249" t="b">
        <v>1</v>
      </c>
      <c r="DS224" s="138"/>
      <c r="DT224" s="138" t="str">
        <f t="shared" si="144"/>
        <v/>
      </c>
      <c r="DU224" t="s">
        <v>50</v>
      </c>
      <c r="DV224" s="287" t="e">
        <f t="shared" si="145"/>
        <v>#N/A</v>
      </c>
      <c r="DW224" s="287" t="str">
        <f t="shared" si="129"/>
        <v/>
      </c>
      <c r="DZ224" s="138" t="str">
        <f t="shared" si="120"/>
        <v/>
      </c>
      <c r="EB224" s="291">
        <f>IF(COUNTIF(DW$215:DW223,"="&amp;DW224)&gt;0,1,0)</f>
        <v>0</v>
      </c>
      <c r="EC224">
        <f t="shared" si="130"/>
        <v>0</v>
      </c>
      <c r="ED224" s="138" t="str">
        <f t="shared" si="121"/>
        <v/>
      </c>
      <c r="EF224" s="285" t="str">
        <f t="shared" si="132"/>
        <v/>
      </c>
      <c r="EH224" s="138">
        <f t="shared" si="139"/>
        <v>0</v>
      </c>
      <c r="EJ224">
        <v>0</v>
      </c>
      <c r="EK224" s="57">
        <f t="shared" si="140"/>
        <v>0</v>
      </c>
      <c r="EM224">
        <f t="shared" si="141"/>
        <v>0</v>
      </c>
      <c r="EN224">
        <v>47</v>
      </c>
      <c r="EO224" s="65">
        <f t="shared" si="142"/>
        <v>0</v>
      </c>
      <c r="EP224" s="65">
        <f t="shared" si="143"/>
        <v>0</v>
      </c>
      <c r="EQ224" s="65">
        <v>1</v>
      </c>
      <c r="ER224" s="65">
        <v>251</v>
      </c>
      <c r="ES224" s="65">
        <v>251</v>
      </c>
      <c r="ET224" s="286">
        <v>0</v>
      </c>
      <c r="EU224" s="249" t="b">
        <v>1</v>
      </c>
      <c r="EV224" s="288" t="str">
        <f t="shared" si="146"/>
        <v/>
      </c>
      <c r="EW224" t="s">
        <v>50</v>
      </c>
    </row>
    <row r="225" spans="19:153" ht="12.9" hidden="1" customHeight="1" thickBot="1" x14ac:dyDescent="0.25">
      <c r="S225" s="70"/>
      <c r="T225" s="280" t="s">
        <v>301</v>
      </c>
      <c r="U225" s="308"/>
      <c r="V225" s="308"/>
      <c r="W225" s="308"/>
      <c r="X225" s="309"/>
      <c r="Y225" s="648"/>
      <c r="Z225" s="649"/>
      <c r="AA225" s="649"/>
      <c r="AB225" s="649"/>
      <c r="AC225" s="649"/>
      <c r="AD225" s="650"/>
      <c r="AE225" s="283" t="str">
        <f t="shared" si="136"/>
        <v>ˣ</v>
      </c>
      <c r="AF225" s="393" t="str">
        <f t="shared" si="137"/>
        <v>SLOWAKEI (SVK)</v>
      </c>
      <c r="AG225" s="394"/>
      <c r="AH225" s="394"/>
      <c r="AI225" s="394"/>
      <c r="AJ225" s="394"/>
      <c r="AK225" s="394"/>
      <c r="AL225" s="394"/>
      <c r="AM225" s="394"/>
      <c r="AN225" s="394"/>
      <c r="AO225" s="442" t="str">
        <f t="shared" si="134"/>
        <v>KEINE PRÜFUNG</v>
      </c>
      <c r="AP225" s="442"/>
      <c r="AQ225" s="442"/>
      <c r="AR225" s="442"/>
      <c r="AS225" s="442"/>
      <c r="AT225" s="442"/>
      <c r="AU225" s="442"/>
      <c r="AV225" s="442"/>
      <c r="AW225" s="394"/>
      <c r="AX225" s="395"/>
      <c r="AY225" s="395"/>
      <c r="AZ225" s="394"/>
      <c r="BA225" s="394"/>
      <c r="BB225" s="395" t="str">
        <f t="shared" si="135"/>
        <v>0 PKT.</v>
      </c>
      <c r="BC225" s="70"/>
      <c r="BD225" s="70"/>
      <c r="BE225" s="70"/>
      <c r="BF225" s="70"/>
      <c r="BG225" s="70"/>
      <c r="BH225" s="70"/>
      <c r="BI225" s="70"/>
      <c r="BJ225" s="70"/>
      <c r="BK225" s="70"/>
      <c r="BL225" s="70"/>
      <c r="BM225" s="70"/>
      <c r="BN225" s="70"/>
      <c r="BO225" s="70"/>
      <c r="BP225" s="70"/>
      <c r="BQ225" s="70"/>
      <c r="BR225" s="70"/>
      <c r="CX225" s="249" t="s">
        <v>19</v>
      </c>
      <c r="DA225" t="s">
        <v>654</v>
      </c>
      <c r="DB225">
        <f>VLOOKUP(DA225,tabbermsp!$B$335:$C$358,2,FALSE)</f>
        <v>18</v>
      </c>
      <c r="DD225" s="138" t="str">
        <f t="shared" si="138"/>
        <v>SLOWAKEI (SVK)</v>
      </c>
      <c r="DE225" s="138" t="str">
        <f t="shared" si="119"/>
        <v/>
      </c>
      <c r="DH225" s="138"/>
      <c r="DL225" t="s">
        <v>70</v>
      </c>
      <c r="DN225">
        <v>21</v>
      </c>
      <c r="DO225" s="249">
        <v>1</v>
      </c>
      <c r="DP225" s="249">
        <v>0</v>
      </c>
      <c r="DQ225" s="249">
        <v>0</v>
      </c>
      <c r="DR225" s="249" t="b">
        <v>1</v>
      </c>
      <c r="DS225" s="138"/>
      <c r="DT225" s="138" t="str">
        <f t="shared" si="144"/>
        <v/>
      </c>
      <c r="DU225" t="s">
        <v>54</v>
      </c>
      <c r="DV225" s="287" t="e">
        <f t="shared" si="145"/>
        <v>#N/A</v>
      </c>
      <c r="DW225" s="287" t="str">
        <f t="shared" si="129"/>
        <v/>
      </c>
      <c r="DZ225" s="138" t="str">
        <f t="shared" si="120"/>
        <v/>
      </c>
      <c r="EB225" s="291">
        <f>IF(COUNTIF(DW$215:DW224,"="&amp;DW225)&gt;0,1,0)</f>
        <v>0</v>
      </c>
      <c r="EC225">
        <f t="shared" si="130"/>
        <v>0</v>
      </c>
      <c r="ED225" s="138" t="str">
        <f t="shared" si="121"/>
        <v/>
      </c>
      <c r="EF225" s="285" t="str">
        <f t="shared" si="132"/>
        <v/>
      </c>
      <c r="EH225" s="138">
        <f t="shared" si="139"/>
        <v>0</v>
      </c>
      <c r="EJ225">
        <v>0</v>
      </c>
      <c r="EK225" s="57">
        <f t="shared" si="140"/>
        <v>0</v>
      </c>
      <c r="EM225">
        <f t="shared" si="141"/>
        <v>0</v>
      </c>
      <c r="EN225">
        <v>48</v>
      </c>
      <c r="EO225" s="65">
        <f t="shared" si="142"/>
        <v>0</v>
      </c>
      <c r="EP225" s="65">
        <f t="shared" si="143"/>
        <v>0</v>
      </c>
      <c r="EQ225" s="65">
        <v>1</v>
      </c>
      <c r="ER225" s="65">
        <v>252</v>
      </c>
      <c r="ES225" s="65">
        <v>252</v>
      </c>
      <c r="ET225" s="286">
        <v>0</v>
      </c>
      <c r="EU225" s="249" t="b">
        <v>1</v>
      </c>
      <c r="EV225" s="288" t="str">
        <f t="shared" si="146"/>
        <v/>
      </c>
      <c r="EW225" t="s">
        <v>54</v>
      </c>
    </row>
    <row r="226" spans="19:153" ht="12.9" hidden="1" customHeight="1" thickBot="1" x14ac:dyDescent="0.25">
      <c r="S226" s="70"/>
      <c r="T226" s="280" t="s">
        <v>302</v>
      </c>
      <c r="U226" s="308"/>
      <c r="V226" s="308"/>
      <c r="W226" s="308"/>
      <c r="X226" s="309"/>
      <c r="Y226" s="648"/>
      <c r="Z226" s="649"/>
      <c r="AA226" s="649"/>
      <c r="AB226" s="649"/>
      <c r="AC226" s="649"/>
      <c r="AD226" s="650"/>
      <c r="AE226" s="283" t="str">
        <f t="shared" si="136"/>
        <v>ˣ</v>
      </c>
      <c r="AF226" s="393" t="str">
        <f t="shared" si="137"/>
        <v>GEORGIEN (GEO)</v>
      </c>
      <c r="AG226" s="394"/>
      <c r="AH226" s="394"/>
      <c r="AI226" s="394"/>
      <c r="AJ226" s="394"/>
      <c r="AK226" s="394"/>
      <c r="AL226" s="394"/>
      <c r="AM226" s="394"/>
      <c r="AN226" s="394"/>
      <c r="AO226" s="442" t="str">
        <f t="shared" si="134"/>
        <v>KEINE PRÜFUNG</v>
      </c>
      <c r="AP226" s="442"/>
      <c r="AQ226" s="442"/>
      <c r="AR226" s="442"/>
      <c r="AS226" s="442"/>
      <c r="AT226" s="442"/>
      <c r="AU226" s="442"/>
      <c r="AV226" s="442"/>
      <c r="AW226" s="394"/>
      <c r="AX226" s="395"/>
      <c r="AY226" s="395"/>
      <c r="AZ226" s="394"/>
      <c r="BA226" s="394"/>
      <c r="BB226" s="395" t="str">
        <f t="shared" si="135"/>
        <v>0 PKT.</v>
      </c>
      <c r="BC226" s="70"/>
      <c r="BD226" s="70"/>
      <c r="BE226" s="70"/>
      <c r="BF226" s="70"/>
      <c r="BG226" s="70"/>
      <c r="BH226" s="70"/>
      <c r="BI226" s="70"/>
      <c r="BJ226" s="70"/>
      <c r="BK226" s="70"/>
      <c r="BL226" s="70"/>
      <c r="BM226" s="70"/>
      <c r="BN226" s="70"/>
      <c r="BO226" s="70"/>
      <c r="BP226" s="70"/>
      <c r="BQ226" s="70"/>
      <c r="BR226" s="70"/>
      <c r="CX226" s="249" t="s">
        <v>19</v>
      </c>
      <c r="DA226" t="s">
        <v>663</v>
      </c>
      <c r="DB226">
        <f>VLOOKUP(DA226,tabbermsp!$B$335:$C$358,2,FALSE)</f>
        <v>22</v>
      </c>
      <c r="DD226" s="138" t="str">
        <f t="shared" si="138"/>
        <v>GEORGIEN (GEO)</v>
      </c>
      <c r="DE226" s="138" t="str">
        <f t="shared" si="119"/>
        <v/>
      </c>
      <c r="DH226" s="138"/>
      <c r="DL226" t="s">
        <v>71</v>
      </c>
      <c r="DN226">
        <v>22</v>
      </c>
      <c r="DO226" s="249">
        <v>1</v>
      </c>
      <c r="DP226" s="249">
        <v>0</v>
      </c>
      <c r="DQ226" s="249">
        <v>0</v>
      </c>
      <c r="DR226" s="249" t="b">
        <v>1</v>
      </c>
      <c r="DS226" s="138"/>
      <c r="DT226" s="138" t="str">
        <f t="shared" si="144"/>
        <v/>
      </c>
      <c r="DU226" t="s">
        <v>57</v>
      </c>
      <c r="DV226" s="287" t="e">
        <f t="shared" si="145"/>
        <v>#N/A</v>
      </c>
      <c r="DW226" s="287" t="str">
        <f t="shared" si="129"/>
        <v/>
      </c>
      <c r="DZ226" s="138" t="str">
        <f t="shared" si="120"/>
        <v/>
      </c>
      <c r="EB226" s="291">
        <f>IF(COUNTIF(DW$215:DW225,"="&amp;DW226)&gt;0,1,0)</f>
        <v>0</v>
      </c>
      <c r="EC226">
        <f t="shared" si="130"/>
        <v>0</v>
      </c>
      <c r="ED226" s="138" t="str">
        <f t="shared" si="121"/>
        <v/>
      </c>
      <c r="EF226" s="285" t="str">
        <f t="shared" si="132"/>
        <v/>
      </c>
      <c r="EH226" s="138">
        <f t="shared" si="139"/>
        <v>0</v>
      </c>
      <c r="EJ226">
        <v>0</v>
      </c>
      <c r="EK226" s="57">
        <f t="shared" si="140"/>
        <v>0</v>
      </c>
      <c r="EM226">
        <f t="shared" si="141"/>
        <v>0</v>
      </c>
      <c r="EN226">
        <v>49</v>
      </c>
      <c r="EO226" s="65">
        <f t="shared" si="142"/>
        <v>0</v>
      </c>
      <c r="EP226" s="65">
        <f t="shared" si="143"/>
        <v>0</v>
      </c>
      <c r="EQ226" s="65">
        <v>1</v>
      </c>
      <c r="ER226" s="65">
        <v>253</v>
      </c>
      <c r="ES226" s="65">
        <v>253</v>
      </c>
      <c r="ET226" s="286">
        <v>0</v>
      </c>
      <c r="EU226" s="249" t="b">
        <v>1</v>
      </c>
      <c r="EV226" s="288" t="str">
        <f t="shared" si="146"/>
        <v/>
      </c>
      <c r="EW226" t="s">
        <v>57</v>
      </c>
    </row>
    <row r="227" spans="19:153" ht="12.9" hidden="1" customHeight="1" thickBot="1" x14ac:dyDescent="0.25">
      <c r="S227" s="70"/>
      <c r="T227" s="280" t="s">
        <v>303</v>
      </c>
      <c r="U227" s="308"/>
      <c r="V227" s="308"/>
      <c r="W227" s="308"/>
      <c r="X227" s="309"/>
      <c r="Y227" s="648"/>
      <c r="Z227" s="649"/>
      <c r="AA227" s="649"/>
      <c r="AB227" s="649"/>
      <c r="AC227" s="649"/>
      <c r="AD227" s="650"/>
      <c r="AE227" s="283" t="str">
        <f t="shared" si="136"/>
        <v>ˣ</v>
      </c>
      <c r="AF227" s="393" t="str">
        <f t="shared" si="137"/>
        <v>UNGARN (HUN)</v>
      </c>
      <c r="AG227" s="394"/>
      <c r="AH227" s="394"/>
      <c r="AI227" s="394"/>
      <c r="AJ227" s="394"/>
      <c r="AK227" s="394"/>
      <c r="AL227" s="394"/>
      <c r="AM227" s="394"/>
      <c r="AN227" s="394"/>
      <c r="AO227" s="442" t="str">
        <f t="shared" si="134"/>
        <v>KEINE PRÜFUNG</v>
      </c>
      <c r="AP227" s="442"/>
      <c r="AQ227" s="442"/>
      <c r="AR227" s="442"/>
      <c r="AS227" s="442"/>
      <c r="AT227" s="442"/>
      <c r="AU227" s="442"/>
      <c r="AV227" s="442"/>
      <c r="AW227" s="394"/>
      <c r="AX227" s="395"/>
      <c r="AY227" s="395"/>
      <c r="AZ227" s="394"/>
      <c r="BA227" s="394"/>
      <c r="BB227" s="395" t="str">
        <f t="shared" si="135"/>
        <v>0 PKT.</v>
      </c>
      <c r="BC227" s="70"/>
      <c r="BD227" s="70"/>
      <c r="BE227" s="70"/>
      <c r="BF227" s="70"/>
      <c r="BG227" s="70"/>
      <c r="BH227" s="70"/>
      <c r="BI227" s="70"/>
      <c r="BJ227" s="70"/>
      <c r="BK227" s="70"/>
      <c r="BL227" s="70"/>
      <c r="BM227" s="70"/>
      <c r="BN227" s="70"/>
      <c r="BO227" s="70"/>
      <c r="BP227" s="70"/>
      <c r="BQ227" s="70"/>
      <c r="BR227" s="70"/>
      <c r="CX227" s="249" t="s">
        <v>19</v>
      </c>
      <c r="DA227" t="s">
        <v>606</v>
      </c>
      <c r="DB227">
        <f>VLOOKUP(DA227,tabbermsp!$B$335:$C$358,2,FALSE)</f>
        <v>3</v>
      </c>
      <c r="DD227" s="138" t="str">
        <f t="shared" si="138"/>
        <v>UNGARN (HUN)</v>
      </c>
      <c r="DE227" s="138" t="str">
        <f t="shared" si="119"/>
        <v/>
      </c>
      <c r="DH227" s="138"/>
      <c r="DL227" t="s">
        <v>72</v>
      </c>
      <c r="DN227">
        <v>23</v>
      </c>
      <c r="DO227" s="249">
        <v>1</v>
      </c>
      <c r="DP227" s="249">
        <v>0</v>
      </c>
      <c r="DQ227" s="249">
        <v>0</v>
      </c>
      <c r="DR227" s="249" t="b">
        <v>1</v>
      </c>
      <c r="DS227" s="138"/>
      <c r="DT227" s="138" t="str">
        <f t="shared" si="144"/>
        <v/>
      </c>
      <c r="DU227" t="s">
        <v>38</v>
      </c>
      <c r="DV227" s="287" t="e">
        <f t="shared" si="145"/>
        <v>#N/A</v>
      </c>
      <c r="DW227" s="287" t="str">
        <f t="shared" si="129"/>
        <v/>
      </c>
      <c r="DZ227" s="138" t="str">
        <f t="shared" si="120"/>
        <v/>
      </c>
      <c r="EB227" s="291">
        <f>IF(COUNTIF(DW$215:DW226,"="&amp;DW227)&gt;0,1,0)</f>
        <v>0</v>
      </c>
      <c r="EC227">
        <f t="shared" si="130"/>
        <v>0</v>
      </c>
      <c r="ED227" s="138" t="str">
        <f t="shared" si="121"/>
        <v/>
      </c>
      <c r="EF227" s="285" t="str">
        <f t="shared" si="132"/>
        <v/>
      </c>
      <c r="EH227" s="138">
        <f t="shared" si="139"/>
        <v>0</v>
      </c>
      <c r="EJ227">
        <v>0</v>
      </c>
      <c r="EK227" s="57">
        <f t="shared" si="140"/>
        <v>0</v>
      </c>
      <c r="EM227">
        <f t="shared" si="141"/>
        <v>0</v>
      </c>
      <c r="EN227">
        <v>50</v>
      </c>
      <c r="EO227" s="65">
        <f t="shared" si="142"/>
        <v>0</v>
      </c>
      <c r="EP227" s="65">
        <f t="shared" si="143"/>
        <v>0</v>
      </c>
      <c r="EQ227" s="65">
        <v>1</v>
      </c>
      <c r="ER227" s="65">
        <v>254</v>
      </c>
      <c r="ES227" s="65">
        <v>254</v>
      </c>
      <c r="ET227" s="286">
        <v>0</v>
      </c>
      <c r="EU227" s="249" t="b">
        <v>1</v>
      </c>
      <c r="EV227" s="288" t="str">
        <f t="shared" si="146"/>
        <v/>
      </c>
      <c r="EW227" t="s">
        <v>38</v>
      </c>
    </row>
    <row r="228" spans="19:153" ht="12.9" hidden="1" customHeight="1" thickBot="1" x14ac:dyDescent="0.25">
      <c r="S228" s="70"/>
      <c r="T228" s="280" t="s">
        <v>304</v>
      </c>
      <c r="U228" s="308"/>
      <c r="V228" s="308"/>
      <c r="W228" s="308"/>
      <c r="X228" s="309"/>
      <c r="Y228" s="648"/>
      <c r="Z228" s="649"/>
      <c r="AA228" s="649"/>
      <c r="AB228" s="649"/>
      <c r="AC228" s="649"/>
      <c r="AD228" s="650"/>
      <c r="AE228" s="283" t="str">
        <f t="shared" si="136"/>
        <v>ˣ</v>
      </c>
      <c r="AF228" s="393" t="str">
        <f t="shared" si="137"/>
        <v>ITALIEN (ITA)</v>
      </c>
      <c r="AG228" s="394"/>
      <c r="AH228" s="394"/>
      <c r="AI228" s="394"/>
      <c r="AJ228" s="394"/>
      <c r="AK228" s="394"/>
      <c r="AL228" s="394"/>
      <c r="AM228" s="394"/>
      <c r="AN228" s="394"/>
      <c r="AO228" s="442" t="str">
        <f t="shared" si="134"/>
        <v>KEINE PRÜFUNG</v>
      </c>
      <c r="AP228" s="442"/>
      <c r="AQ228" s="442"/>
      <c r="AR228" s="442"/>
      <c r="AS228" s="442"/>
      <c r="AT228" s="442"/>
      <c r="AU228" s="442"/>
      <c r="AV228" s="442"/>
      <c r="AW228" s="394"/>
      <c r="AX228" s="395"/>
      <c r="AY228" s="395"/>
      <c r="AZ228" s="394"/>
      <c r="BA228" s="394"/>
      <c r="BB228" s="395" t="str">
        <f t="shared" si="135"/>
        <v>0 PKT.</v>
      </c>
      <c r="BC228" s="70"/>
      <c r="BD228" s="70"/>
      <c r="BE228" s="70"/>
      <c r="BF228" s="70"/>
      <c r="BG228" s="70"/>
      <c r="BH228" s="70"/>
      <c r="BI228" s="70"/>
      <c r="BJ228" s="70"/>
      <c r="BK228" s="70"/>
      <c r="BL228" s="70"/>
      <c r="BM228" s="70"/>
      <c r="BN228" s="70"/>
      <c r="BO228" s="70"/>
      <c r="BP228" s="70"/>
      <c r="BQ228" s="70"/>
      <c r="BR228" s="70"/>
      <c r="CX228" s="249" t="s">
        <v>19</v>
      </c>
      <c r="DA228" t="s">
        <v>623</v>
      </c>
      <c r="DB228">
        <f>VLOOKUP(DA228,tabbermsp!$B$335:$C$358,2,FALSE)</f>
        <v>7</v>
      </c>
      <c r="DD228" s="138" t="str">
        <f t="shared" si="138"/>
        <v>ITALIEN (ITA)</v>
      </c>
      <c r="DE228" s="138" t="str">
        <f t="shared" si="119"/>
        <v/>
      </c>
      <c r="DH228" s="138"/>
      <c r="DL228" t="s">
        <v>73</v>
      </c>
      <c r="DN228">
        <v>24</v>
      </c>
      <c r="DO228" s="249">
        <v>1</v>
      </c>
      <c r="DP228" s="249">
        <v>0</v>
      </c>
      <c r="DQ228" s="249">
        <v>0</v>
      </c>
      <c r="DR228" s="249" t="b">
        <v>1</v>
      </c>
      <c r="DS228" s="138"/>
      <c r="DT228" s="138" t="str">
        <f t="shared" si="144"/>
        <v/>
      </c>
      <c r="DU228" t="s">
        <v>41</v>
      </c>
      <c r="DV228" s="287" t="e">
        <f t="shared" si="145"/>
        <v>#N/A</v>
      </c>
      <c r="DW228" s="287" t="str">
        <f t="shared" si="129"/>
        <v/>
      </c>
      <c r="DZ228" s="138" t="str">
        <f t="shared" si="120"/>
        <v/>
      </c>
      <c r="EB228" s="291">
        <f>IF(COUNTIF(DW$215:DW227,"="&amp;DW228)&gt;0,1,0)</f>
        <v>0</v>
      </c>
      <c r="EC228">
        <f t="shared" si="130"/>
        <v>0</v>
      </c>
      <c r="ED228" s="138" t="str">
        <f t="shared" si="121"/>
        <v/>
      </c>
      <c r="EF228" s="285" t="str">
        <f t="shared" si="132"/>
        <v/>
      </c>
      <c r="EH228" s="138">
        <f t="shared" si="139"/>
        <v>0</v>
      </c>
      <c r="EJ228">
        <v>0</v>
      </c>
      <c r="EK228" s="57">
        <f t="shared" si="140"/>
        <v>0</v>
      </c>
      <c r="EM228">
        <f t="shared" si="141"/>
        <v>0</v>
      </c>
      <c r="EN228">
        <v>51</v>
      </c>
      <c r="EO228" s="65">
        <f t="shared" si="142"/>
        <v>0</v>
      </c>
      <c r="EP228" s="65">
        <f t="shared" si="143"/>
        <v>0</v>
      </c>
      <c r="EQ228" s="65">
        <v>1</v>
      </c>
      <c r="ER228" s="65">
        <v>255</v>
      </c>
      <c r="ES228" s="65">
        <v>255</v>
      </c>
      <c r="ET228" s="286">
        <v>0</v>
      </c>
      <c r="EU228" s="249" t="b">
        <v>1</v>
      </c>
      <c r="EV228" s="288" t="str">
        <f t="shared" si="146"/>
        <v/>
      </c>
      <c r="EW228" t="s">
        <v>41</v>
      </c>
    </row>
    <row r="229" spans="19:153" ht="12.9" hidden="1" customHeight="1" thickBot="1" x14ac:dyDescent="0.25">
      <c r="S229" s="70"/>
      <c r="T229" s="280" t="s">
        <v>305</v>
      </c>
      <c r="U229" s="308"/>
      <c r="V229" s="308"/>
      <c r="W229" s="308"/>
      <c r="X229" s="309"/>
      <c r="Y229" s="648"/>
      <c r="Z229" s="649"/>
      <c r="AA229" s="649"/>
      <c r="AB229" s="649"/>
      <c r="AC229" s="649"/>
      <c r="AD229" s="650"/>
      <c r="AE229" s="283" t="str">
        <f t="shared" si="136"/>
        <v>ˣ</v>
      </c>
      <c r="AF229" s="393" t="str">
        <f t="shared" si="137"/>
        <v>SERBIEN (SRB)</v>
      </c>
      <c r="AG229" s="394"/>
      <c r="AH229" s="394"/>
      <c r="AI229" s="394"/>
      <c r="AJ229" s="394"/>
      <c r="AK229" s="394"/>
      <c r="AL229" s="394"/>
      <c r="AM229" s="394"/>
      <c r="AN229" s="394"/>
      <c r="AO229" s="442" t="str">
        <f t="shared" si="134"/>
        <v>KEINE PRÜFUNG</v>
      </c>
      <c r="AP229" s="442"/>
      <c r="AQ229" s="442"/>
      <c r="AR229" s="442"/>
      <c r="AS229" s="442"/>
      <c r="AT229" s="442"/>
      <c r="AU229" s="442"/>
      <c r="AV229" s="442"/>
      <c r="AW229" s="394"/>
      <c r="AX229" s="395"/>
      <c r="AY229" s="395"/>
      <c r="AZ229" s="394"/>
      <c r="BA229" s="394"/>
      <c r="BB229" s="395" t="str">
        <f t="shared" si="135"/>
        <v>0 PKT.</v>
      </c>
      <c r="BC229" s="70"/>
      <c r="BD229" s="70"/>
      <c r="BE229" s="70"/>
      <c r="BF229" s="70"/>
      <c r="BG229" s="70"/>
      <c r="BH229" s="70"/>
      <c r="BI229" s="70"/>
      <c r="BJ229" s="70"/>
      <c r="BK229" s="70"/>
      <c r="BL229" s="70"/>
      <c r="BM229" s="70"/>
      <c r="BN229" s="70"/>
      <c r="BO229" s="70"/>
      <c r="BP229" s="70"/>
      <c r="BQ229" s="70"/>
      <c r="BR229" s="70"/>
      <c r="CX229" s="249" t="s">
        <v>19</v>
      </c>
      <c r="DA229" t="s">
        <v>639</v>
      </c>
      <c r="DB229">
        <f>VLOOKUP(DA229,tabbermsp!$B$335:$C$358,2,FALSE)</f>
        <v>11</v>
      </c>
      <c r="DD229" s="138" t="str">
        <f t="shared" si="138"/>
        <v>SERBIEN (SRB)</v>
      </c>
      <c r="DE229" s="138" t="str">
        <f t="shared" si="119"/>
        <v/>
      </c>
      <c r="DH229" s="138"/>
      <c r="DL229" t="s">
        <v>74</v>
      </c>
      <c r="DN229">
        <v>25</v>
      </c>
      <c r="DO229" s="249">
        <v>1</v>
      </c>
      <c r="DP229" s="249">
        <v>0</v>
      </c>
      <c r="DQ229" s="249">
        <v>0</v>
      </c>
      <c r="DR229" s="249" t="b">
        <v>1</v>
      </c>
      <c r="DS229" s="138"/>
      <c r="DT229" s="138" t="str">
        <f t="shared" si="144"/>
        <v/>
      </c>
      <c r="DU229" t="s">
        <v>46</v>
      </c>
      <c r="DV229" s="287" t="e">
        <f t="shared" si="145"/>
        <v>#N/A</v>
      </c>
      <c r="DW229" s="287" t="str">
        <f t="shared" si="129"/>
        <v/>
      </c>
      <c r="DZ229" s="138" t="str">
        <f t="shared" si="120"/>
        <v/>
      </c>
      <c r="EB229" s="291">
        <f>IF(COUNTIF(DW$215:DW228,"="&amp;DW229)&gt;0,1,0)</f>
        <v>0</v>
      </c>
      <c r="EC229">
        <f t="shared" si="130"/>
        <v>0</v>
      </c>
      <c r="ED229" s="138" t="str">
        <f t="shared" si="121"/>
        <v/>
      </c>
      <c r="EF229" s="285" t="str">
        <f t="shared" si="132"/>
        <v/>
      </c>
      <c r="EH229" s="138">
        <f t="shared" si="139"/>
        <v>0</v>
      </c>
      <c r="EJ229">
        <v>0</v>
      </c>
      <c r="EK229" s="57">
        <f t="shared" si="140"/>
        <v>0</v>
      </c>
      <c r="EM229">
        <f t="shared" si="141"/>
        <v>0</v>
      </c>
      <c r="EN229">
        <v>52</v>
      </c>
      <c r="EO229" s="65">
        <f t="shared" si="142"/>
        <v>0</v>
      </c>
      <c r="EP229" s="65">
        <f t="shared" si="143"/>
        <v>0</v>
      </c>
      <c r="EQ229" s="65">
        <v>1</v>
      </c>
      <c r="ER229" s="65">
        <v>256</v>
      </c>
      <c r="ES229" s="65">
        <v>256</v>
      </c>
      <c r="ET229" s="286">
        <v>0</v>
      </c>
      <c r="EU229" s="249" t="b">
        <v>1</v>
      </c>
      <c r="EV229" s="288" t="str">
        <f t="shared" si="146"/>
        <v/>
      </c>
      <c r="EW229" t="s">
        <v>46</v>
      </c>
    </row>
    <row r="230" spans="19:153" ht="12.9" hidden="1" customHeight="1" thickBot="1" x14ac:dyDescent="0.25">
      <c r="S230" s="70"/>
      <c r="T230" s="280" t="s">
        <v>306</v>
      </c>
      <c r="U230" s="308"/>
      <c r="V230" s="308"/>
      <c r="W230" s="308"/>
      <c r="X230" s="309"/>
      <c r="Y230" s="648"/>
      <c r="Z230" s="649"/>
      <c r="AA230" s="649"/>
      <c r="AB230" s="649"/>
      <c r="AC230" s="649"/>
      <c r="AD230" s="650"/>
      <c r="AE230" s="283" t="str">
        <f t="shared" si="136"/>
        <v>ˣ</v>
      </c>
      <c r="AF230" s="393" t="str">
        <f t="shared" si="137"/>
        <v>ÖSTERREICH (AUT)</v>
      </c>
      <c r="AG230" s="394"/>
      <c r="AH230" s="394"/>
      <c r="AI230" s="394"/>
      <c r="AJ230" s="394"/>
      <c r="AK230" s="394"/>
      <c r="AL230" s="394"/>
      <c r="AM230" s="394"/>
      <c r="AN230" s="394"/>
      <c r="AO230" s="442" t="str">
        <f t="shared" si="134"/>
        <v>KEINE PRÜFUNG</v>
      </c>
      <c r="AP230" s="442"/>
      <c r="AQ230" s="442"/>
      <c r="AR230" s="442"/>
      <c r="AS230" s="442"/>
      <c r="AT230" s="442"/>
      <c r="AU230" s="442"/>
      <c r="AV230" s="442"/>
      <c r="AW230" s="394"/>
      <c r="AX230" s="395"/>
      <c r="AY230" s="395"/>
      <c r="AZ230" s="394"/>
      <c r="BA230" s="394"/>
      <c r="BB230" s="395" t="str">
        <f t="shared" si="135"/>
        <v>0 PKT.</v>
      </c>
      <c r="BC230" s="70"/>
      <c r="BD230" s="70"/>
      <c r="BE230" s="70"/>
      <c r="BF230" s="70"/>
      <c r="BG230" s="70"/>
      <c r="BH230" s="70"/>
      <c r="BI230" s="70"/>
      <c r="BJ230" s="70"/>
      <c r="BK230" s="70"/>
      <c r="BL230" s="70"/>
      <c r="BM230" s="70"/>
      <c r="BN230" s="70"/>
      <c r="BO230" s="70"/>
      <c r="BP230" s="70"/>
      <c r="BQ230" s="70"/>
      <c r="BR230" s="70"/>
      <c r="CX230" s="249" t="s">
        <v>19</v>
      </c>
      <c r="DA230" t="s">
        <v>648</v>
      </c>
      <c r="DB230">
        <f>VLOOKUP(DA230,tabbermsp!$B$335:$C$358,2,FALSE)</f>
        <v>15</v>
      </c>
      <c r="DD230" s="138" t="str">
        <f t="shared" si="138"/>
        <v>ÖSTERREICH (AUT)</v>
      </c>
      <c r="DE230" s="138" t="str">
        <f t="shared" si="119"/>
        <v/>
      </c>
      <c r="DH230" s="138"/>
      <c r="DL230" t="s">
        <v>75</v>
      </c>
      <c r="DN230">
        <v>26</v>
      </c>
      <c r="DO230" s="249">
        <v>1</v>
      </c>
      <c r="DP230" s="249">
        <v>0</v>
      </c>
      <c r="DQ230" s="249">
        <v>0</v>
      </c>
      <c r="DR230" s="249" t="b">
        <v>1</v>
      </c>
      <c r="DS230" s="138"/>
      <c r="DT230" s="138" t="str">
        <f t="shared" si="144"/>
        <v/>
      </c>
      <c r="DU230" t="s">
        <v>50</v>
      </c>
      <c r="DV230" s="287" t="e">
        <f t="shared" si="145"/>
        <v>#N/A</v>
      </c>
      <c r="DW230" s="287" t="str">
        <f t="shared" si="129"/>
        <v/>
      </c>
      <c r="DZ230" s="138" t="str">
        <f t="shared" si="120"/>
        <v/>
      </c>
      <c r="EB230" s="291">
        <f>IF(COUNTIF(DW$215:DW229,"="&amp;DW230)&gt;0,1,0)</f>
        <v>0</v>
      </c>
      <c r="EC230">
        <f t="shared" si="130"/>
        <v>0</v>
      </c>
      <c r="ED230" s="138" t="str">
        <f t="shared" si="121"/>
        <v/>
      </c>
      <c r="EF230" s="285" t="str">
        <f t="shared" si="132"/>
        <v/>
      </c>
      <c r="EH230" s="138">
        <f t="shared" si="139"/>
        <v>0</v>
      </c>
      <c r="EJ230">
        <v>0</v>
      </c>
      <c r="EK230" s="57">
        <f t="shared" si="140"/>
        <v>0</v>
      </c>
      <c r="EM230">
        <f t="shared" si="141"/>
        <v>0</v>
      </c>
      <c r="EN230">
        <v>53</v>
      </c>
      <c r="EO230" s="65">
        <f t="shared" si="142"/>
        <v>0</v>
      </c>
      <c r="EP230" s="65">
        <f t="shared" si="143"/>
        <v>0</v>
      </c>
      <c r="EQ230" s="65">
        <v>1</v>
      </c>
      <c r="ER230" s="65">
        <v>257</v>
      </c>
      <c r="ES230" s="65">
        <v>257</v>
      </c>
      <c r="ET230" s="286">
        <v>0</v>
      </c>
      <c r="EU230" s="249" t="b">
        <v>1</v>
      </c>
      <c r="EV230" s="288" t="str">
        <f t="shared" si="146"/>
        <v/>
      </c>
      <c r="EW230" t="s">
        <v>50</v>
      </c>
    </row>
    <row r="231" spans="19:153" ht="12.9" hidden="1" customHeight="1" thickBot="1" x14ac:dyDescent="0.25">
      <c r="S231" s="70"/>
      <c r="T231" s="280" t="s">
        <v>307</v>
      </c>
      <c r="U231" s="308"/>
      <c r="V231" s="308"/>
      <c r="W231" s="308"/>
      <c r="X231" s="309"/>
      <c r="Y231" s="648"/>
      <c r="Z231" s="649"/>
      <c r="AA231" s="649"/>
      <c r="AB231" s="649"/>
      <c r="AC231" s="649"/>
      <c r="AD231" s="650"/>
      <c r="AE231" s="283" t="str">
        <f t="shared" si="136"/>
        <v>ˣ</v>
      </c>
      <c r="AF231" s="393" t="str">
        <f t="shared" si="137"/>
        <v>RUMÄNIEN (ROM)</v>
      </c>
      <c r="AG231" s="394"/>
      <c r="AH231" s="394"/>
      <c r="AI231" s="394"/>
      <c r="AJ231" s="394"/>
      <c r="AK231" s="394"/>
      <c r="AL231" s="394"/>
      <c r="AM231" s="394"/>
      <c r="AN231" s="394"/>
      <c r="AO231" s="442" t="str">
        <f t="shared" ref="AO231:AO262" si="147">UPPER(INDEX($AU$292:$AU$301,DO231))</f>
        <v>KEINE PRÜFUNG</v>
      </c>
      <c r="AP231" s="442"/>
      <c r="AQ231" s="442"/>
      <c r="AR231" s="442"/>
      <c r="AS231" s="442"/>
      <c r="AT231" s="442"/>
      <c r="AU231" s="442"/>
      <c r="AV231" s="442"/>
      <c r="AW231" s="394"/>
      <c r="AX231" s="395"/>
      <c r="AY231" s="395"/>
      <c r="AZ231" s="394"/>
      <c r="BA231" s="394"/>
      <c r="BB231" s="395" t="str">
        <f t="shared" ref="BB231:BB262" si="148">UPPER(CX231)</f>
        <v>0 PKT.</v>
      </c>
      <c r="BC231" s="70"/>
      <c r="BD231" s="70"/>
      <c r="BE231" s="70"/>
      <c r="BF231" s="70"/>
      <c r="BG231" s="70"/>
      <c r="BH231" s="70"/>
      <c r="BI231" s="70"/>
      <c r="BJ231" s="70"/>
      <c r="BK231" s="70"/>
      <c r="BL231" s="70"/>
      <c r="BM231" s="70"/>
      <c r="BN231" s="70"/>
      <c r="BO231" s="70"/>
      <c r="BP231" s="70"/>
      <c r="BQ231" s="70"/>
      <c r="BR231" s="70"/>
      <c r="CX231" s="249" t="s">
        <v>19</v>
      </c>
      <c r="DA231" t="s">
        <v>657</v>
      </c>
      <c r="DB231">
        <f>VLOOKUP(DA231,tabbermsp!$B$335:$C$358,2,FALSE)</f>
        <v>19</v>
      </c>
      <c r="DD231" s="138" t="str">
        <f t="shared" si="138"/>
        <v>RUMÄNIEN (ROM)</v>
      </c>
      <c r="DE231" s="138" t="str">
        <f t="shared" si="119"/>
        <v/>
      </c>
      <c r="DH231" s="138"/>
      <c r="DL231" t="s">
        <v>76</v>
      </c>
      <c r="DN231">
        <v>27</v>
      </c>
      <c r="DO231" s="249">
        <v>1</v>
      </c>
      <c r="DP231" s="249">
        <v>0</v>
      </c>
      <c r="DQ231" s="249">
        <v>0</v>
      </c>
      <c r="DR231" s="249" t="b">
        <v>1</v>
      </c>
      <c r="DS231" s="138"/>
      <c r="DT231" s="138" t="str">
        <f t="shared" si="144"/>
        <v/>
      </c>
      <c r="DU231" t="s">
        <v>54</v>
      </c>
      <c r="DV231" s="287" t="e">
        <f t="shared" si="145"/>
        <v>#N/A</v>
      </c>
      <c r="DW231" s="287" t="str">
        <f t="shared" si="129"/>
        <v/>
      </c>
      <c r="DZ231" s="138" t="str">
        <f t="shared" si="120"/>
        <v/>
      </c>
      <c r="EB231" s="291">
        <f>IF(COUNTIF(DW$215:DW230,"="&amp;DW231)&gt;0,1,0)</f>
        <v>0</v>
      </c>
      <c r="EC231">
        <f t="shared" si="130"/>
        <v>0</v>
      </c>
      <c r="ED231" s="138" t="str">
        <f t="shared" si="121"/>
        <v/>
      </c>
      <c r="EF231" s="285" t="str">
        <f t="shared" si="132"/>
        <v/>
      </c>
      <c r="EH231" s="138">
        <f t="shared" si="139"/>
        <v>0</v>
      </c>
      <c r="EJ231">
        <v>0</v>
      </c>
      <c r="EK231" s="57">
        <f t="shared" si="140"/>
        <v>0</v>
      </c>
      <c r="EL231" s="310"/>
      <c r="EM231">
        <f t="shared" si="141"/>
        <v>0</v>
      </c>
      <c r="EN231">
        <v>54</v>
      </c>
      <c r="EO231" s="65">
        <f t="shared" si="142"/>
        <v>0</v>
      </c>
      <c r="EP231" s="65">
        <f t="shared" si="143"/>
        <v>0</v>
      </c>
      <c r="EQ231" s="65">
        <v>1</v>
      </c>
      <c r="ER231" s="65">
        <v>258</v>
      </c>
      <c r="ES231" s="65">
        <v>258</v>
      </c>
      <c r="ET231" s="286">
        <v>0</v>
      </c>
      <c r="EU231" s="249" t="b">
        <v>1</v>
      </c>
      <c r="EV231" s="288" t="str">
        <f t="shared" si="146"/>
        <v/>
      </c>
      <c r="EW231" t="s">
        <v>54</v>
      </c>
    </row>
    <row r="232" spans="19:153" ht="12.9" hidden="1" customHeight="1" thickBot="1" x14ac:dyDescent="0.25">
      <c r="S232" s="70"/>
      <c r="T232" s="280" t="s">
        <v>308</v>
      </c>
      <c r="U232" s="308"/>
      <c r="V232" s="308"/>
      <c r="W232" s="308"/>
      <c r="X232" s="309"/>
      <c r="Y232" s="648"/>
      <c r="Z232" s="649"/>
      <c r="AA232" s="649"/>
      <c r="AB232" s="649"/>
      <c r="AC232" s="649"/>
      <c r="AD232" s="650"/>
      <c r="AE232" s="283" t="str">
        <f t="shared" si="136"/>
        <v>ˣ</v>
      </c>
      <c r="AF232" s="393" t="str">
        <f t="shared" si="137"/>
        <v>PORTUGAL (POR)</v>
      </c>
      <c r="AG232" s="394"/>
      <c r="AH232" s="394"/>
      <c r="AI232" s="394"/>
      <c r="AJ232" s="394"/>
      <c r="AK232" s="394"/>
      <c r="AL232" s="394"/>
      <c r="AM232" s="394"/>
      <c r="AN232" s="394"/>
      <c r="AO232" s="442" t="str">
        <f t="shared" si="147"/>
        <v>KEINE PRÜFUNG</v>
      </c>
      <c r="AP232" s="442"/>
      <c r="AQ232" s="442"/>
      <c r="AR232" s="442"/>
      <c r="AS232" s="442"/>
      <c r="AT232" s="442"/>
      <c r="AU232" s="442"/>
      <c r="AV232" s="442"/>
      <c r="AW232" s="394"/>
      <c r="AX232" s="395"/>
      <c r="AY232" s="395"/>
      <c r="AZ232" s="394"/>
      <c r="BA232" s="394"/>
      <c r="BB232" s="395" t="str">
        <f t="shared" si="148"/>
        <v>0 PKT.</v>
      </c>
      <c r="BC232" s="70"/>
      <c r="BD232" s="70"/>
      <c r="BE232" s="70"/>
      <c r="BF232" s="70"/>
      <c r="BG232" s="70"/>
      <c r="BH232" s="70"/>
      <c r="BI232" s="70"/>
      <c r="BJ232" s="70"/>
      <c r="BK232" s="70"/>
      <c r="BL232" s="70"/>
      <c r="BM232" s="70"/>
      <c r="BN232" s="70"/>
      <c r="BO232" s="70"/>
      <c r="BP232" s="70"/>
      <c r="BQ232" s="70"/>
      <c r="BR232" s="70"/>
      <c r="CX232" s="249" t="s">
        <v>19</v>
      </c>
      <c r="DA232" t="s">
        <v>665</v>
      </c>
      <c r="DB232">
        <f>VLOOKUP(DA232,tabbermsp!$B$335:$C$358,2,FALSE)</f>
        <v>23</v>
      </c>
      <c r="DD232" s="138" t="str">
        <f t="shared" si="138"/>
        <v>PORTUGAL (POR)</v>
      </c>
      <c r="DE232" s="138" t="str">
        <f t="shared" si="119"/>
        <v/>
      </c>
      <c r="DH232" s="138"/>
      <c r="DL232" t="s">
        <v>77</v>
      </c>
      <c r="DN232">
        <v>28</v>
      </c>
      <c r="DO232" s="249">
        <v>1</v>
      </c>
      <c r="DP232" s="249">
        <v>0</v>
      </c>
      <c r="DQ232" s="249">
        <v>0</v>
      </c>
      <c r="DR232" s="249" t="b">
        <v>1</v>
      </c>
      <c r="DS232" s="138"/>
      <c r="DT232" s="138" t="str">
        <f t="shared" si="144"/>
        <v/>
      </c>
      <c r="DU232" t="s">
        <v>57</v>
      </c>
      <c r="DV232" s="287" t="e">
        <f t="shared" si="145"/>
        <v>#N/A</v>
      </c>
      <c r="DW232" s="287" t="str">
        <f t="shared" si="129"/>
        <v/>
      </c>
      <c r="DZ232" s="138" t="str">
        <f t="shared" si="120"/>
        <v/>
      </c>
      <c r="EB232" s="291">
        <f>IF(COUNTIF(DW$215:DW231,"="&amp;DW232)&gt;0,1,0)</f>
        <v>0</v>
      </c>
      <c r="EC232">
        <f t="shared" si="130"/>
        <v>0</v>
      </c>
      <c r="ED232" s="138" t="str">
        <f t="shared" si="121"/>
        <v/>
      </c>
      <c r="EF232" s="285" t="str">
        <f t="shared" si="132"/>
        <v/>
      </c>
      <c r="EH232" s="138">
        <f t="shared" si="139"/>
        <v>0</v>
      </c>
      <c r="EJ232">
        <v>0</v>
      </c>
      <c r="EK232" s="57">
        <f t="shared" si="140"/>
        <v>0</v>
      </c>
      <c r="EM232">
        <f t="shared" si="141"/>
        <v>0</v>
      </c>
      <c r="EN232">
        <v>55</v>
      </c>
      <c r="EO232" s="65">
        <f t="shared" si="142"/>
        <v>0</v>
      </c>
      <c r="EP232" s="65">
        <f t="shared" si="143"/>
        <v>0</v>
      </c>
      <c r="EQ232" s="65">
        <v>1</v>
      </c>
      <c r="ER232" s="65">
        <v>259</v>
      </c>
      <c r="ES232" s="65">
        <v>259</v>
      </c>
      <c r="ET232" s="286">
        <v>0</v>
      </c>
      <c r="EU232" s="249" t="b">
        <v>1</v>
      </c>
      <c r="EV232" s="288" t="str">
        <f t="shared" si="146"/>
        <v/>
      </c>
      <c r="EW232" t="s">
        <v>57</v>
      </c>
    </row>
    <row r="233" spans="19:153" ht="12.9" hidden="1" customHeight="1" thickBot="1" x14ac:dyDescent="0.25">
      <c r="S233" s="70"/>
      <c r="T233" s="280" t="s">
        <v>309</v>
      </c>
      <c r="U233" s="308"/>
      <c r="V233" s="308"/>
      <c r="W233" s="308"/>
      <c r="X233" s="309"/>
      <c r="Y233" s="648"/>
      <c r="Z233" s="649"/>
      <c r="AA233" s="649"/>
      <c r="AB233" s="649"/>
      <c r="AC233" s="649"/>
      <c r="AD233" s="650"/>
      <c r="AE233" s="283" t="str">
        <f t="shared" si="136"/>
        <v>ˣ</v>
      </c>
      <c r="AF233" s="393" t="str">
        <f t="shared" si="137"/>
        <v>SCHWEIZ (SUI)</v>
      </c>
      <c r="AG233" s="394"/>
      <c r="AH233" s="394"/>
      <c r="AI233" s="394"/>
      <c r="AJ233" s="394"/>
      <c r="AK233" s="394"/>
      <c r="AL233" s="394"/>
      <c r="AM233" s="394"/>
      <c r="AN233" s="394"/>
      <c r="AO233" s="442" t="str">
        <f t="shared" si="147"/>
        <v>KEINE PRÜFUNG</v>
      </c>
      <c r="AP233" s="442"/>
      <c r="AQ233" s="442"/>
      <c r="AR233" s="442"/>
      <c r="AS233" s="442"/>
      <c r="AT233" s="442"/>
      <c r="AU233" s="442"/>
      <c r="AV233" s="442"/>
      <c r="AW233" s="394"/>
      <c r="AX233" s="395"/>
      <c r="AY233" s="395"/>
      <c r="AZ233" s="394"/>
      <c r="BA233" s="394"/>
      <c r="BB233" s="395" t="str">
        <f t="shared" si="148"/>
        <v>0 PKT.</v>
      </c>
      <c r="BC233" s="70"/>
      <c r="BD233" s="70"/>
      <c r="BE233" s="70"/>
      <c r="BF233" s="70"/>
      <c r="BG233" s="70"/>
      <c r="BH233" s="70"/>
      <c r="BI233" s="70"/>
      <c r="BJ233" s="70"/>
      <c r="BK233" s="70"/>
      <c r="BL233" s="70"/>
      <c r="BM233" s="70"/>
      <c r="BN233" s="70"/>
      <c r="BO233" s="70"/>
      <c r="BP233" s="70"/>
      <c r="BQ233" s="70"/>
      <c r="BR233" s="70"/>
      <c r="CX233" s="249" t="s">
        <v>19</v>
      </c>
      <c r="DA233" t="s">
        <v>611</v>
      </c>
      <c r="DB233">
        <f>VLOOKUP(DA233,tabbermsp!$B$335:$C$358,2,FALSE)</f>
        <v>4</v>
      </c>
      <c r="DD233" s="138" t="str">
        <f t="shared" si="138"/>
        <v>SCHWEIZ (SUI)</v>
      </c>
      <c r="DE233" s="138" t="str">
        <f t="shared" si="119"/>
        <v/>
      </c>
      <c r="DH233" s="138"/>
      <c r="DL233" t="s">
        <v>78</v>
      </c>
      <c r="DN233">
        <v>29</v>
      </c>
      <c r="DO233" s="249">
        <v>1</v>
      </c>
      <c r="DP233" s="249">
        <v>0</v>
      </c>
      <c r="DQ233" s="249">
        <v>0</v>
      </c>
      <c r="DR233" s="249" t="b">
        <v>1</v>
      </c>
      <c r="DS233" s="138"/>
      <c r="DT233" s="138" t="str">
        <f t="shared" si="144"/>
        <v/>
      </c>
      <c r="DU233" t="s">
        <v>38</v>
      </c>
      <c r="DV233" s="287" t="e">
        <f t="shared" si="145"/>
        <v>#N/A</v>
      </c>
      <c r="DW233" s="287" t="str">
        <f t="shared" si="129"/>
        <v/>
      </c>
      <c r="DZ233" s="138" t="str">
        <f t="shared" si="120"/>
        <v/>
      </c>
      <c r="EB233" s="291">
        <f>IF(COUNTIF(DW$215:DW232,"="&amp;DW233)&gt;0,1,0)</f>
        <v>0</v>
      </c>
      <c r="EC233">
        <f t="shared" si="130"/>
        <v>0</v>
      </c>
      <c r="ED233" s="138" t="str">
        <f t="shared" si="121"/>
        <v/>
      </c>
      <c r="EF233" s="285" t="str">
        <f t="shared" si="132"/>
        <v/>
      </c>
      <c r="EH233" s="138">
        <f t="shared" si="139"/>
        <v>0</v>
      </c>
      <c r="EJ233">
        <v>0</v>
      </c>
      <c r="EK233" s="57">
        <f t="shared" si="140"/>
        <v>0</v>
      </c>
      <c r="EM233">
        <f t="shared" si="141"/>
        <v>0</v>
      </c>
      <c r="EN233">
        <v>56</v>
      </c>
      <c r="EO233" s="65">
        <f t="shared" si="142"/>
        <v>0</v>
      </c>
      <c r="EP233" s="65">
        <f t="shared" si="143"/>
        <v>0</v>
      </c>
      <c r="EQ233" s="65">
        <v>1</v>
      </c>
      <c r="ER233" s="65">
        <v>260</v>
      </c>
      <c r="ES233" s="65">
        <v>260</v>
      </c>
      <c r="ET233" s="286">
        <v>0</v>
      </c>
      <c r="EU233" s="249" t="b">
        <v>1</v>
      </c>
      <c r="EV233" s="288" t="str">
        <f t="shared" si="146"/>
        <v/>
      </c>
      <c r="EW233" t="s">
        <v>38</v>
      </c>
    </row>
    <row r="234" spans="19:153" ht="12.9" hidden="1" customHeight="1" thickBot="1" x14ac:dyDescent="0.25">
      <c r="S234" s="70"/>
      <c r="T234" s="280" t="s">
        <v>310</v>
      </c>
      <c r="U234" s="308"/>
      <c r="V234" s="308"/>
      <c r="W234" s="308"/>
      <c r="X234" s="309"/>
      <c r="Y234" s="648"/>
      <c r="Z234" s="649"/>
      <c r="AA234" s="649"/>
      <c r="AB234" s="649"/>
      <c r="AC234" s="649"/>
      <c r="AD234" s="650"/>
      <c r="AE234" s="283" t="str">
        <f t="shared" si="136"/>
        <v>ˣ</v>
      </c>
      <c r="AF234" s="393" t="str">
        <f t="shared" si="137"/>
        <v>ALBANIEN (ALB)</v>
      </c>
      <c r="AG234" s="394"/>
      <c r="AH234" s="394"/>
      <c r="AI234" s="394"/>
      <c r="AJ234" s="394"/>
      <c r="AK234" s="394"/>
      <c r="AL234" s="394"/>
      <c r="AM234" s="394"/>
      <c r="AN234" s="394"/>
      <c r="AO234" s="442" t="str">
        <f t="shared" si="147"/>
        <v>KEINE PRÜFUNG</v>
      </c>
      <c r="AP234" s="442"/>
      <c r="AQ234" s="442"/>
      <c r="AR234" s="442"/>
      <c r="AS234" s="442"/>
      <c r="AT234" s="442"/>
      <c r="AU234" s="442"/>
      <c r="AV234" s="442"/>
      <c r="AW234" s="394"/>
      <c r="AX234" s="395"/>
      <c r="AY234" s="395"/>
      <c r="AZ234" s="394"/>
      <c r="BA234" s="394"/>
      <c r="BB234" s="395" t="str">
        <f t="shared" si="148"/>
        <v>0 PKT.</v>
      </c>
      <c r="BC234" s="70"/>
      <c r="BD234" s="70"/>
      <c r="BE234" s="70"/>
      <c r="BF234" s="70"/>
      <c r="BG234" s="70"/>
      <c r="BH234" s="70"/>
      <c r="BI234" s="70"/>
      <c r="BJ234" s="70"/>
      <c r="BK234" s="70"/>
      <c r="BL234" s="70"/>
      <c r="BM234" s="70"/>
      <c r="BN234" s="70"/>
      <c r="BO234" s="70"/>
      <c r="BP234" s="70"/>
      <c r="BQ234" s="70"/>
      <c r="BR234" s="70"/>
      <c r="CX234" s="249" t="s">
        <v>19</v>
      </c>
      <c r="DA234" t="s">
        <v>626</v>
      </c>
      <c r="DB234">
        <f>VLOOKUP(DA234,tabbermsp!$B$335:$C$358,2,FALSE)</f>
        <v>8</v>
      </c>
      <c r="DD234" s="138" t="str">
        <f t="shared" si="138"/>
        <v>ALBANIEN (ALB)</v>
      </c>
      <c r="DE234" s="138" t="str">
        <f t="shared" si="119"/>
        <v/>
      </c>
      <c r="DH234" s="138"/>
      <c r="DL234" t="s">
        <v>79</v>
      </c>
      <c r="DN234">
        <v>30</v>
      </c>
      <c r="DO234" s="249">
        <v>1</v>
      </c>
      <c r="DP234" s="249">
        <v>0</v>
      </c>
      <c r="DQ234" s="249">
        <v>0</v>
      </c>
      <c r="DR234" s="249" t="b">
        <v>1</v>
      </c>
      <c r="DS234" s="138"/>
      <c r="DT234" s="138" t="str">
        <f t="shared" si="144"/>
        <v/>
      </c>
      <c r="DU234" t="s">
        <v>41</v>
      </c>
      <c r="DV234" s="287" t="e">
        <f t="shared" si="145"/>
        <v>#N/A</v>
      </c>
      <c r="DW234" s="287" t="str">
        <f t="shared" si="129"/>
        <v/>
      </c>
      <c r="DZ234" s="138" t="str">
        <f t="shared" si="120"/>
        <v/>
      </c>
      <c r="EB234" s="291">
        <f>IF(COUNTIF(DW$215:DW233,"="&amp;DW234)&gt;0,1,0)</f>
        <v>0</v>
      </c>
      <c r="EC234">
        <f t="shared" si="130"/>
        <v>0</v>
      </c>
      <c r="ED234" s="138" t="str">
        <f t="shared" si="121"/>
        <v/>
      </c>
      <c r="EF234" s="285" t="str">
        <f t="shared" si="132"/>
        <v/>
      </c>
      <c r="EH234" s="138">
        <f t="shared" si="139"/>
        <v>0</v>
      </c>
      <c r="EJ234">
        <v>0</v>
      </c>
      <c r="EK234" s="57">
        <f t="shared" si="140"/>
        <v>0</v>
      </c>
      <c r="EM234">
        <f t="shared" si="141"/>
        <v>0</v>
      </c>
      <c r="EN234">
        <v>57</v>
      </c>
      <c r="EO234" s="65">
        <f t="shared" si="142"/>
        <v>0</v>
      </c>
      <c r="EP234" s="65">
        <f t="shared" si="143"/>
        <v>0</v>
      </c>
      <c r="EQ234" s="65">
        <v>1</v>
      </c>
      <c r="ER234" s="65">
        <v>261</v>
      </c>
      <c r="ES234" s="65">
        <v>261</v>
      </c>
      <c r="ET234" s="286">
        <v>0</v>
      </c>
      <c r="EU234" s="249" t="b">
        <v>1</v>
      </c>
      <c r="EV234" s="288" t="str">
        <f t="shared" si="146"/>
        <v/>
      </c>
      <c r="EW234" t="s">
        <v>41</v>
      </c>
    </row>
    <row r="235" spans="19:153" ht="12.9" hidden="1" customHeight="1" thickBot="1" x14ac:dyDescent="0.25">
      <c r="S235" s="70"/>
      <c r="T235" s="280" t="s">
        <v>311</v>
      </c>
      <c r="U235" s="308"/>
      <c r="V235" s="308"/>
      <c r="W235" s="308"/>
      <c r="X235" s="309"/>
      <c r="Y235" s="648"/>
      <c r="Z235" s="649"/>
      <c r="AA235" s="649"/>
      <c r="AB235" s="649"/>
      <c r="AC235" s="649"/>
      <c r="AD235" s="650"/>
      <c r="AE235" s="283" t="str">
        <f t="shared" si="136"/>
        <v>ˣ</v>
      </c>
      <c r="AF235" s="393" t="str">
        <f t="shared" si="137"/>
        <v>ENGLAND (ENG)</v>
      </c>
      <c r="AG235" s="394"/>
      <c r="AH235" s="394"/>
      <c r="AI235" s="394"/>
      <c r="AJ235" s="394"/>
      <c r="AK235" s="394"/>
      <c r="AL235" s="394"/>
      <c r="AM235" s="394"/>
      <c r="AN235" s="394"/>
      <c r="AO235" s="442" t="str">
        <f t="shared" si="147"/>
        <v>KEINE PRÜFUNG</v>
      </c>
      <c r="AP235" s="442"/>
      <c r="AQ235" s="442"/>
      <c r="AR235" s="442"/>
      <c r="AS235" s="442"/>
      <c r="AT235" s="442"/>
      <c r="AU235" s="442"/>
      <c r="AV235" s="442"/>
      <c r="AW235" s="394"/>
      <c r="AX235" s="395"/>
      <c r="AY235" s="395"/>
      <c r="AZ235" s="394"/>
      <c r="BA235" s="394"/>
      <c r="BB235" s="395" t="str">
        <f t="shared" si="148"/>
        <v>0 PKT.</v>
      </c>
      <c r="BC235" s="70"/>
      <c r="BD235" s="70"/>
      <c r="BE235" s="70"/>
      <c r="BF235" s="70"/>
      <c r="BG235" s="70"/>
      <c r="BH235" s="70"/>
      <c r="BI235" s="70"/>
      <c r="BJ235" s="70"/>
      <c r="BK235" s="70"/>
      <c r="BL235" s="70"/>
      <c r="BM235" s="70"/>
      <c r="BN235" s="70"/>
      <c r="BO235" s="70"/>
      <c r="BP235" s="70"/>
      <c r="BQ235" s="70"/>
      <c r="BR235" s="70"/>
      <c r="CX235" s="249" t="s">
        <v>19</v>
      </c>
      <c r="DA235" t="s">
        <v>641</v>
      </c>
      <c r="DB235">
        <f>VLOOKUP(DA235,tabbermsp!$B$335:$C$358,2,FALSE)</f>
        <v>12</v>
      </c>
      <c r="DD235" s="138" t="str">
        <f t="shared" si="138"/>
        <v>ENGLAND (ENG)</v>
      </c>
      <c r="DE235" s="138" t="str">
        <f t="shared" si="119"/>
        <v/>
      </c>
      <c r="DH235" s="138"/>
      <c r="DL235" t="s">
        <v>80</v>
      </c>
      <c r="DN235">
        <v>31</v>
      </c>
      <c r="DO235" s="249">
        <v>1</v>
      </c>
      <c r="DP235" s="249">
        <v>0</v>
      </c>
      <c r="DQ235" s="249">
        <v>0</v>
      </c>
      <c r="DR235" s="249" t="b">
        <v>1</v>
      </c>
      <c r="DS235" s="138"/>
      <c r="DT235" s="138" t="str">
        <f t="shared" si="144"/>
        <v/>
      </c>
      <c r="DU235" t="s">
        <v>46</v>
      </c>
      <c r="DV235" s="287" t="e">
        <f t="shared" si="145"/>
        <v>#N/A</v>
      </c>
      <c r="DW235" s="287" t="str">
        <f t="shared" si="129"/>
        <v/>
      </c>
      <c r="DZ235" s="138" t="str">
        <f t="shared" si="120"/>
        <v/>
      </c>
      <c r="EB235" s="291">
        <f>IF(COUNTIF(DW$215:DW234,"="&amp;DW235)&gt;0,1,0)</f>
        <v>0</v>
      </c>
      <c r="EC235">
        <f t="shared" si="130"/>
        <v>0</v>
      </c>
      <c r="ED235" s="138" t="str">
        <f t="shared" si="121"/>
        <v/>
      </c>
      <c r="EF235" s="285" t="str">
        <f t="shared" si="132"/>
        <v/>
      </c>
      <c r="EH235" s="138">
        <f t="shared" si="139"/>
        <v>0</v>
      </c>
      <c r="EJ235">
        <v>0</v>
      </c>
      <c r="EK235" s="57">
        <f t="shared" si="140"/>
        <v>0</v>
      </c>
      <c r="EL235" s="227"/>
      <c r="EM235">
        <f t="shared" si="141"/>
        <v>0</v>
      </c>
      <c r="EN235">
        <v>58</v>
      </c>
      <c r="EO235" s="65">
        <f t="shared" si="142"/>
        <v>0</v>
      </c>
      <c r="EP235" s="65">
        <f t="shared" si="143"/>
        <v>0</v>
      </c>
      <c r="EQ235" s="65">
        <v>1</v>
      </c>
      <c r="ER235" s="65">
        <v>262</v>
      </c>
      <c r="ES235" s="65">
        <v>262</v>
      </c>
      <c r="ET235" s="286">
        <v>0</v>
      </c>
      <c r="EU235" s="249" t="b">
        <v>1</v>
      </c>
      <c r="EV235" s="288" t="str">
        <f t="shared" si="146"/>
        <v/>
      </c>
      <c r="EW235" t="s">
        <v>46</v>
      </c>
    </row>
    <row r="236" spans="19:153" ht="12.9" hidden="1" customHeight="1" thickBot="1" x14ac:dyDescent="0.25">
      <c r="S236" s="70"/>
      <c r="T236" s="280" t="s">
        <v>312</v>
      </c>
      <c r="U236" s="308"/>
      <c r="V236" s="308"/>
      <c r="W236" s="308"/>
      <c r="X236" s="309"/>
      <c r="Y236" s="648"/>
      <c r="Z236" s="649"/>
      <c r="AA236" s="649"/>
      <c r="AB236" s="649"/>
      <c r="AC236" s="649"/>
      <c r="AD236" s="650"/>
      <c r="AE236" s="283" t="str">
        <f t="shared" si="136"/>
        <v>ˣ</v>
      </c>
      <c r="AF236" s="393" t="str">
        <f t="shared" si="137"/>
        <v>FRANKREICH (FRA)</v>
      </c>
      <c r="AG236" s="394"/>
      <c r="AH236" s="394"/>
      <c r="AI236" s="394"/>
      <c r="AJ236" s="394"/>
      <c r="AK236" s="394"/>
      <c r="AL236" s="394"/>
      <c r="AM236" s="394"/>
      <c r="AN236" s="394"/>
      <c r="AO236" s="442" t="str">
        <f t="shared" si="147"/>
        <v>KEINE PRÜFUNG</v>
      </c>
      <c r="AP236" s="442"/>
      <c r="AQ236" s="442"/>
      <c r="AR236" s="442"/>
      <c r="AS236" s="442"/>
      <c r="AT236" s="442"/>
      <c r="AU236" s="442"/>
      <c r="AV236" s="442"/>
      <c r="AW236" s="394"/>
      <c r="AX236" s="395"/>
      <c r="AY236" s="395"/>
      <c r="AZ236" s="394"/>
      <c r="BA236" s="394"/>
      <c r="BB236" s="395" t="str">
        <f t="shared" si="148"/>
        <v>0 PKT.</v>
      </c>
      <c r="BC236" s="70"/>
      <c r="BD236" s="70"/>
      <c r="BE236" s="70"/>
      <c r="BF236" s="70"/>
      <c r="BG236" s="70"/>
      <c r="BH236" s="70"/>
      <c r="BI236" s="70"/>
      <c r="BJ236" s="70"/>
      <c r="BK236" s="70"/>
      <c r="BL236" s="70"/>
      <c r="BM236" s="70"/>
      <c r="BN236" s="70"/>
      <c r="BO236" s="70"/>
      <c r="BP236" s="70"/>
      <c r="BQ236" s="70"/>
      <c r="BR236" s="70"/>
      <c r="CX236" s="249" t="s">
        <v>19</v>
      </c>
      <c r="DA236" t="s">
        <v>650</v>
      </c>
      <c r="DB236">
        <f>VLOOKUP(DA236,tabbermsp!$B$335:$C$358,2,FALSE)</f>
        <v>16</v>
      </c>
      <c r="DD236" s="138" t="str">
        <f t="shared" si="138"/>
        <v>FRANKREICH (FRA)</v>
      </c>
      <c r="DE236" s="138" t="str">
        <f t="shared" si="119"/>
        <v/>
      </c>
      <c r="DH236" s="138"/>
      <c r="DL236" t="s">
        <v>81</v>
      </c>
      <c r="DN236">
        <v>32</v>
      </c>
      <c r="DO236" s="249">
        <v>1</v>
      </c>
      <c r="DP236" s="249">
        <v>0</v>
      </c>
      <c r="DQ236" s="249">
        <v>0</v>
      </c>
      <c r="DR236" s="249" t="b">
        <v>1</v>
      </c>
      <c r="DS236" s="138"/>
      <c r="DT236" s="138" t="str">
        <f t="shared" si="144"/>
        <v/>
      </c>
      <c r="DU236" t="s">
        <v>50</v>
      </c>
      <c r="DV236" s="287" t="e">
        <f t="shared" si="145"/>
        <v>#N/A</v>
      </c>
      <c r="DW236" s="287" t="str">
        <f t="shared" si="129"/>
        <v/>
      </c>
      <c r="DZ236" s="138" t="str">
        <f t="shared" si="120"/>
        <v/>
      </c>
      <c r="EB236" s="291">
        <f>IF(COUNTIF(DW$215:DW235,"="&amp;DW236)&gt;0,1,0)</f>
        <v>0</v>
      </c>
      <c r="EC236">
        <f t="shared" si="130"/>
        <v>0</v>
      </c>
      <c r="ED236" s="138" t="str">
        <f t="shared" si="121"/>
        <v/>
      </c>
      <c r="EF236" s="285" t="str">
        <f t="shared" si="132"/>
        <v/>
      </c>
      <c r="EH236" s="138">
        <f t="shared" si="139"/>
        <v>0</v>
      </c>
      <c r="EJ236">
        <v>0</v>
      </c>
      <c r="EK236" s="57">
        <f t="shared" si="140"/>
        <v>0</v>
      </c>
      <c r="EM236">
        <f t="shared" si="141"/>
        <v>0</v>
      </c>
      <c r="EN236">
        <v>59</v>
      </c>
      <c r="EO236" s="65">
        <f t="shared" si="142"/>
        <v>0</v>
      </c>
      <c r="EP236" s="65">
        <f t="shared" si="143"/>
        <v>0</v>
      </c>
      <c r="EQ236" s="65">
        <v>1</v>
      </c>
      <c r="ER236" s="65">
        <v>263</v>
      </c>
      <c r="ES236" s="65">
        <v>263</v>
      </c>
      <c r="ET236" s="286">
        <v>0</v>
      </c>
      <c r="EU236" s="249" t="b">
        <v>1</v>
      </c>
      <c r="EV236" s="288" t="str">
        <f t="shared" si="146"/>
        <v/>
      </c>
      <c r="EW236" t="s">
        <v>50</v>
      </c>
    </row>
    <row r="237" spans="19:153" ht="12.9" hidden="1" customHeight="1" thickBot="1" x14ac:dyDescent="0.25">
      <c r="S237" s="70"/>
      <c r="T237" s="280" t="s">
        <v>313</v>
      </c>
      <c r="U237" s="308"/>
      <c r="V237" s="308"/>
      <c r="W237" s="308"/>
      <c r="X237" s="309"/>
      <c r="Y237" s="648"/>
      <c r="Z237" s="649"/>
      <c r="AA237" s="649"/>
      <c r="AB237" s="649"/>
      <c r="AC237" s="649"/>
      <c r="AD237" s="650"/>
      <c r="AE237" s="283" t="str">
        <f t="shared" si="136"/>
        <v>ˣ</v>
      </c>
      <c r="AF237" s="393" t="str">
        <f t="shared" si="137"/>
        <v>UKRAINE (UKR)</v>
      </c>
      <c r="AG237" s="394"/>
      <c r="AH237" s="394"/>
      <c r="AI237" s="394"/>
      <c r="AJ237" s="394"/>
      <c r="AK237" s="394"/>
      <c r="AL237" s="394"/>
      <c r="AM237" s="394"/>
      <c r="AN237" s="394"/>
      <c r="AO237" s="442" t="str">
        <f t="shared" si="147"/>
        <v>KEINE PRÜFUNG</v>
      </c>
      <c r="AP237" s="442"/>
      <c r="AQ237" s="442"/>
      <c r="AR237" s="442"/>
      <c r="AS237" s="442"/>
      <c r="AT237" s="442"/>
      <c r="AU237" s="442"/>
      <c r="AV237" s="442"/>
      <c r="AW237" s="394"/>
      <c r="AX237" s="395"/>
      <c r="AY237" s="395"/>
      <c r="AZ237" s="394"/>
      <c r="BA237" s="394"/>
      <c r="BB237" s="395" t="str">
        <f t="shared" si="148"/>
        <v>0 PKT.</v>
      </c>
      <c r="BC237" s="70"/>
      <c r="BD237" s="70"/>
      <c r="BE237" s="70"/>
      <c r="BF237" s="70"/>
      <c r="BG237" s="70"/>
      <c r="BH237" s="70"/>
      <c r="BI237" s="70"/>
      <c r="BJ237" s="70"/>
      <c r="BK237" s="70"/>
      <c r="BL237" s="70"/>
      <c r="BM237" s="70"/>
      <c r="BN237" s="70"/>
      <c r="BO237" s="70"/>
      <c r="BP237" s="70"/>
      <c r="BQ237" s="70"/>
      <c r="BR237" s="70"/>
      <c r="CX237" s="249" t="s">
        <v>19</v>
      </c>
      <c r="DA237" t="s">
        <v>659</v>
      </c>
      <c r="DB237">
        <f>VLOOKUP(DA237,tabbermsp!$B$335:$C$358,2,FALSE)</f>
        <v>20</v>
      </c>
      <c r="DD237" s="138" t="str">
        <f t="shared" si="138"/>
        <v>UKRAINE (UKR)</v>
      </c>
      <c r="DE237" s="138" t="str">
        <f t="shared" si="119"/>
        <v/>
      </c>
      <c r="DH237" s="138"/>
      <c r="DL237" t="s">
        <v>82</v>
      </c>
      <c r="DN237">
        <v>33</v>
      </c>
      <c r="DO237" s="249">
        <v>1</v>
      </c>
      <c r="DP237" s="249">
        <v>0</v>
      </c>
      <c r="DQ237" s="249">
        <v>0</v>
      </c>
      <c r="DR237" s="249" t="b">
        <v>1</v>
      </c>
      <c r="DS237" s="138"/>
      <c r="DT237" s="138" t="str">
        <f t="shared" si="144"/>
        <v/>
      </c>
      <c r="DU237" t="s">
        <v>54</v>
      </c>
      <c r="DV237" s="287" t="e">
        <f t="shared" si="145"/>
        <v>#N/A</v>
      </c>
      <c r="DW237" s="287" t="str">
        <f t="shared" si="129"/>
        <v/>
      </c>
      <c r="DZ237" s="138" t="str">
        <f t="shared" si="120"/>
        <v/>
      </c>
      <c r="EB237" s="291">
        <f>IF(COUNTIF(DW$215:DW236,"="&amp;DW237)&gt;0,1,0)</f>
        <v>0</v>
      </c>
      <c r="EC237">
        <f t="shared" si="130"/>
        <v>0</v>
      </c>
      <c r="ED237" s="138" t="str">
        <f t="shared" si="121"/>
        <v/>
      </c>
      <c r="EF237" s="285" t="str">
        <f t="shared" si="132"/>
        <v/>
      </c>
      <c r="EH237" s="138">
        <f t="shared" si="139"/>
        <v>0</v>
      </c>
      <c r="EJ237">
        <v>0</v>
      </c>
      <c r="EK237" s="57">
        <f t="shared" si="140"/>
        <v>0</v>
      </c>
      <c r="EM237">
        <f t="shared" si="141"/>
        <v>0</v>
      </c>
      <c r="EN237">
        <v>60</v>
      </c>
      <c r="EO237" s="65">
        <f t="shared" si="142"/>
        <v>0</v>
      </c>
      <c r="EP237" s="65">
        <f t="shared" si="143"/>
        <v>0</v>
      </c>
      <c r="EQ237" s="65">
        <v>1</v>
      </c>
      <c r="ER237" s="65">
        <v>264</v>
      </c>
      <c r="ES237" s="65">
        <v>264</v>
      </c>
      <c r="ET237" s="286">
        <v>0</v>
      </c>
      <c r="EU237" s="249" t="b">
        <v>1</v>
      </c>
      <c r="EV237" s="288" t="str">
        <f t="shared" si="146"/>
        <v/>
      </c>
      <c r="EW237" t="s">
        <v>54</v>
      </c>
    </row>
    <row r="238" spans="19:153" ht="12.9" hidden="1" customHeight="1" thickBot="1" x14ac:dyDescent="0.25">
      <c r="S238" s="70"/>
      <c r="T238" s="280" t="s">
        <v>314</v>
      </c>
      <c r="U238" s="308"/>
      <c r="V238" s="308"/>
      <c r="W238" s="308"/>
      <c r="X238" s="309"/>
      <c r="Y238" s="648"/>
      <c r="Z238" s="649"/>
      <c r="AA238" s="649"/>
      <c r="AB238" s="649"/>
      <c r="AC238" s="649"/>
      <c r="AD238" s="650"/>
      <c r="AE238" s="283" t="str">
        <f t="shared" si="136"/>
        <v>ˣ</v>
      </c>
      <c r="AF238" s="393" t="str">
        <f t="shared" si="137"/>
        <v>TSCHECHIEN (CZE)</v>
      </c>
      <c r="AG238" s="394"/>
      <c r="AH238" s="394"/>
      <c r="AI238" s="394"/>
      <c r="AJ238" s="394"/>
      <c r="AK238" s="394"/>
      <c r="AL238" s="394"/>
      <c r="AM238" s="394"/>
      <c r="AN238" s="394"/>
      <c r="AO238" s="442" t="str">
        <f t="shared" si="147"/>
        <v>KEINE PRÜFUNG</v>
      </c>
      <c r="AP238" s="442"/>
      <c r="AQ238" s="442"/>
      <c r="AR238" s="442"/>
      <c r="AS238" s="442"/>
      <c r="AT238" s="442"/>
      <c r="AU238" s="442"/>
      <c r="AV238" s="442"/>
      <c r="AW238" s="394"/>
      <c r="AX238" s="395"/>
      <c r="AY238" s="395"/>
      <c r="AZ238" s="394"/>
      <c r="BA238" s="394"/>
      <c r="BB238" s="395" t="str">
        <f t="shared" si="148"/>
        <v>0 PKT.</v>
      </c>
      <c r="BC238" s="70"/>
      <c r="BD238" s="70"/>
      <c r="BE238" s="70"/>
      <c r="BF238" s="70"/>
      <c r="BG238" s="70"/>
      <c r="BH238" s="70"/>
      <c r="BI238" s="70"/>
      <c r="BJ238" s="70"/>
      <c r="BK238" s="70"/>
      <c r="BL238" s="70"/>
      <c r="BM238" s="70"/>
      <c r="BN238" s="70"/>
      <c r="BO238" s="70"/>
      <c r="BP238" s="70"/>
      <c r="BQ238" s="70"/>
      <c r="BR238" s="70"/>
      <c r="CX238" s="249" t="s">
        <v>19</v>
      </c>
      <c r="DA238" t="s">
        <v>430</v>
      </c>
      <c r="DB238">
        <f>VLOOKUP(DA238,tabbermsp!$B$335:$C$358,2,FALSE)</f>
        <v>24</v>
      </c>
      <c r="DD238" s="138" t="str">
        <f t="shared" si="138"/>
        <v>TSCHECHIEN (CZE)</v>
      </c>
      <c r="DE238" s="138" t="str">
        <f t="shared" si="119"/>
        <v/>
      </c>
      <c r="DH238" s="138"/>
      <c r="DL238" t="s">
        <v>83</v>
      </c>
      <c r="DN238">
        <v>34</v>
      </c>
      <c r="DO238" s="249">
        <v>1</v>
      </c>
      <c r="DP238" s="249">
        <v>0</v>
      </c>
      <c r="DQ238" s="249">
        <v>0</v>
      </c>
      <c r="DR238" s="249" t="b">
        <v>1</v>
      </c>
      <c r="DS238" s="138"/>
      <c r="DT238" s="138" t="str">
        <f t="shared" si="144"/>
        <v/>
      </c>
      <c r="DU238" t="s">
        <v>57</v>
      </c>
      <c r="DV238" s="287" t="e">
        <f t="shared" si="145"/>
        <v>#N/A</v>
      </c>
      <c r="DW238" s="311" t="str">
        <f t="shared" si="129"/>
        <v/>
      </c>
      <c r="DZ238" s="138" t="str">
        <f t="shared" si="120"/>
        <v/>
      </c>
      <c r="EB238" s="290">
        <f>IF(COUNTIF(DW$215:DW237,"="&amp;DW238)&gt;0,1,0)</f>
        <v>0</v>
      </c>
      <c r="EC238">
        <f t="shared" si="130"/>
        <v>0</v>
      </c>
      <c r="ED238" s="138" t="str">
        <f t="shared" si="121"/>
        <v/>
      </c>
      <c r="EF238" s="285" t="str">
        <f t="shared" si="132"/>
        <v/>
      </c>
      <c r="EH238" s="138">
        <f t="shared" si="139"/>
        <v>0</v>
      </c>
      <c r="EJ238">
        <v>0</v>
      </c>
      <c r="EK238" s="57">
        <f t="shared" si="140"/>
        <v>0</v>
      </c>
      <c r="EM238">
        <f t="shared" si="141"/>
        <v>0</v>
      </c>
      <c r="EN238">
        <v>61</v>
      </c>
      <c r="EO238" s="65">
        <f t="shared" si="142"/>
        <v>0</v>
      </c>
      <c r="EP238" s="65">
        <f t="shared" si="143"/>
        <v>0</v>
      </c>
      <c r="EQ238" s="65">
        <v>1</v>
      </c>
      <c r="ER238" s="65">
        <v>265</v>
      </c>
      <c r="ES238" s="65">
        <v>265</v>
      </c>
      <c r="ET238" s="286">
        <v>0</v>
      </c>
      <c r="EU238" s="249" t="b">
        <v>1</v>
      </c>
      <c r="EV238" s="288" t="str">
        <f t="shared" si="146"/>
        <v/>
      </c>
      <c r="EW238" t="s">
        <v>57</v>
      </c>
    </row>
    <row r="239" spans="19:153" ht="12.9" hidden="1" customHeight="1" thickBot="1" x14ac:dyDescent="0.25">
      <c r="S239" s="70"/>
      <c r="T239" s="280" t="s">
        <v>315</v>
      </c>
      <c r="U239" s="308"/>
      <c r="V239" s="308"/>
      <c r="W239" s="308"/>
      <c r="X239" s="309"/>
      <c r="Y239" s="648"/>
      <c r="Z239" s="649"/>
      <c r="AA239" s="649"/>
      <c r="AB239" s="649"/>
      <c r="AC239" s="649"/>
      <c r="AD239" s="650"/>
      <c r="AE239" s="283" t="str">
        <f t="shared" si="136"/>
        <v>ˣ</v>
      </c>
      <c r="AF239" s="393" t="str">
        <f t="shared" ca="1" si="137"/>
        <v>DEUTSCHLAND (GER) ( 0 )</v>
      </c>
      <c r="AG239" s="394"/>
      <c r="AH239" s="394"/>
      <c r="AI239" s="394"/>
      <c r="AJ239" s="394"/>
      <c r="AK239" s="394"/>
      <c r="AL239" s="394"/>
      <c r="AM239" s="394"/>
      <c r="AN239" s="394"/>
      <c r="AO239" s="442" t="str">
        <f t="shared" si="147"/>
        <v>KEINE PRÜFUNG</v>
      </c>
      <c r="AP239" s="442"/>
      <c r="AQ239" s="442"/>
      <c r="AR239" s="442"/>
      <c r="AS239" s="442"/>
      <c r="AT239" s="442"/>
      <c r="AU239" s="442"/>
      <c r="AV239" s="442"/>
      <c r="AW239" s="394"/>
      <c r="AX239" s="395"/>
      <c r="AY239" s="395"/>
      <c r="AZ239" s="394"/>
      <c r="BA239" s="394"/>
      <c r="BB239" s="395" t="str">
        <f t="shared" si="148"/>
        <v>0 PKT.</v>
      </c>
      <c r="BC239" s="70"/>
      <c r="BD239" s="70"/>
      <c r="BE239" s="70"/>
      <c r="BF239" s="70"/>
      <c r="BG239" s="70"/>
      <c r="BH239" s="70"/>
      <c r="BI239" s="70"/>
      <c r="BJ239" s="70"/>
      <c r="BK239" s="70"/>
      <c r="BL239" s="70"/>
      <c r="BM239" s="70"/>
      <c r="BN239" s="70"/>
      <c r="BO239" s="70"/>
      <c r="BP239" s="70"/>
      <c r="BQ239" s="70"/>
      <c r="BR239" s="70"/>
      <c r="CX239" s="249" t="s">
        <v>19</v>
      </c>
      <c r="DB239">
        <f ca="1">tabbermsp!M444</f>
        <v>1</v>
      </c>
      <c r="DC239">
        <f ca="1">tabbermsp!L444</f>
        <v>0</v>
      </c>
      <c r="DD239" s="138" t="str">
        <f ca="1">IF(ISERROR(DB239),"Daten fehlen",IF(DB239&lt;=0,"Daten fehlen",INDEX(etauswahl_vgl,DB239)&amp;" ( "&amp;DC239&amp;" )"))</f>
        <v>DEUTSCHLAND (GER) ( 0 )</v>
      </c>
      <c r="DE239" s="138" t="str">
        <f ca="1">IF(OR(DB239&lt;=0,DR239,DP239=0),IF(LEN(DS239)=0,"",DH239),INDEX(etauswahl_vgl,DB239))</f>
        <v/>
      </c>
      <c r="DH239" s="138"/>
      <c r="DL239" t="s">
        <v>84</v>
      </c>
      <c r="DN239">
        <v>35</v>
      </c>
      <c r="DO239" s="249">
        <v>1</v>
      </c>
      <c r="DP239" s="249">
        <v>0</v>
      </c>
      <c r="DQ239" s="249">
        <v>0</v>
      </c>
      <c r="DR239" s="249" t="b">
        <v>1</v>
      </c>
      <c r="DS239" s="138"/>
      <c r="DT239" s="138" t="str">
        <f t="shared" si="144"/>
        <v/>
      </c>
      <c r="DU239" t="s">
        <v>23</v>
      </c>
      <c r="DV239" s="287" t="e">
        <f t="shared" si="145"/>
        <v>#N/A</v>
      </c>
      <c r="DW239" s="311" t="str">
        <f t="shared" si="129"/>
        <v/>
      </c>
      <c r="DZ239" s="138" t="str">
        <f t="shared" si="120"/>
        <v/>
      </c>
      <c r="EB239">
        <v>0</v>
      </c>
      <c r="EC239">
        <f t="shared" si="130"/>
        <v>0</v>
      </c>
      <c r="ED239" s="138" t="str">
        <f t="shared" si="121"/>
        <v/>
      </c>
      <c r="EF239" s="285" t="str">
        <f t="shared" si="132"/>
        <v/>
      </c>
      <c r="EH239" s="138">
        <f t="shared" si="139"/>
        <v>0</v>
      </c>
      <c r="EJ239">
        <v>0</v>
      </c>
      <c r="EK239" s="57">
        <f t="shared" si="140"/>
        <v>0</v>
      </c>
      <c r="EM239">
        <f t="shared" si="141"/>
        <v>0</v>
      </c>
      <c r="EN239">
        <v>62</v>
      </c>
      <c r="EO239" s="65">
        <f t="shared" si="142"/>
        <v>0</v>
      </c>
      <c r="EP239" s="65">
        <f t="shared" si="143"/>
        <v>0</v>
      </c>
      <c r="EQ239" s="65">
        <v>1</v>
      </c>
      <c r="ER239" s="65">
        <v>266</v>
      </c>
      <c r="ES239" s="65">
        <v>266</v>
      </c>
      <c r="ET239" s="286">
        <v>0</v>
      </c>
      <c r="EU239" s="249" t="b">
        <v>1</v>
      </c>
      <c r="EV239" s="288" t="str">
        <f t="shared" si="146"/>
        <v/>
      </c>
      <c r="EW239" t="s">
        <v>23</v>
      </c>
    </row>
    <row r="240" spans="19:153" ht="12.9" hidden="1" customHeight="1" thickBot="1" x14ac:dyDescent="0.25">
      <c r="S240" s="70"/>
      <c r="T240" s="280" t="s">
        <v>317</v>
      </c>
      <c r="U240" s="308"/>
      <c r="V240" s="308"/>
      <c r="W240" s="308"/>
      <c r="X240" s="309"/>
      <c r="Y240" s="648"/>
      <c r="Z240" s="649"/>
      <c r="AA240" s="649"/>
      <c r="AB240" s="649"/>
      <c r="AC240" s="649"/>
      <c r="AD240" s="650"/>
      <c r="AE240" s="283" t="str">
        <f t="shared" si="136"/>
        <v>ˣ</v>
      </c>
      <c r="AF240" s="393" t="str">
        <f t="shared" si="137"/>
        <v>DEUTSCHLAND (GER) ( 0 )</v>
      </c>
      <c r="AG240" s="394"/>
      <c r="AH240" s="394"/>
      <c r="AI240" s="394"/>
      <c r="AJ240" s="394"/>
      <c r="AK240" s="394"/>
      <c r="AL240" s="394"/>
      <c r="AM240" s="394"/>
      <c r="AN240" s="394"/>
      <c r="AO240" s="442" t="str">
        <f t="shared" si="147"/>
        <v>KEINE PRÜFUNG</v>
      </c>
      <c r="AP240" s="442"/>
      <c r="AQ240" s="442"/>
      <c r="AR240" s="442"/>
      <c r="AS240" s="442"/>
      <c r="AT240" s="442"/>
      <c r="AU240" s="442"/>
      <c r="AV240" s="442"/>
      <c r="AW240" s="394"/>
      <c r="AX240" s="395"/>
      <c r="AY240" s="395"/>
      <c r="AZ240" s="394"/>
      <c r="BA240" s="394"/>
      <c r="BB240" s="395" t="str">
        <f t="shared" si="148"/>
        <v>0 PKT.</v>
      </c>
      <c r="BC240" s="70"/>
      <c r="BD240" s="70"/>
      <c r="BE240" s="70"/>
      <c r="BF240" s="70"/>
      <c r="BG240" s="70"/>
      <c r="BH240" s="70"/>
      <c r="BI240" s="70"/>
      <c r="BJ240" s="70"/>
      <c r="BK240" s="70"/>
      <c r="BL240" s="70"/>
      <c r="BM240" s="70"/>
      <c r="BN240" s="70"/>
      <c r="BO240" s="70"/>
      <c r="BP240" s="70"/>
      <c r="BQ240" s="70"/>
      <c r="BR240" s="70"/>
      <c r="CX240" s="249" t="s">
        <v>19</v>
      </c>
      <c r="DB240">
        <f>tabbermsp!M430</f>
        <v>1</v>
      </c>
      <c r="DC240">
        <f>tabbermsp!L430</f>
        <v>0</v>
      </c>
      <c r="DD240" s="138" t="str">
        <f>IF(ISERROR(DB240),"Daten fehlen",IF(DB240&lt;=0,"Daten fehlen",INDEX(etauswahl_vgl,DB240)&amp;" ( "&amp;DC240&amp;" )"))</f>
        <v>DEUTSCHLAND (GER) ( 0 )</v>
      </c>
      <c r="DE240" s="138" t="str">
        <f>IF(OR(DB240&lt;=0,DR240,DP240=0),IF(LEN(DS240)=0,"",DH240),INDEX(etauswahl_vgl,DB240))</f>
        <v/>
      </c>
      <c r="DH240" s="138"/>
      <c r="DL240" t="s">
        <v>85</v>
      </c>
      <c r="DN240">
        <v>36</v>
      </c>
      <c r="DO240" s="249">
        <v>1</v>
      </c>
      <c r="DP240" s="249">
        <v>0</v>
      </c>
      <c r="DQ240" s="249">
        <v>0</v>
      </c>
      <c r="DR240" s="249" t="b">
        <v>1</v>
      </c>
      <c r="DS240" s="138"/>
      <c r="DT240" s="138" t="str">
        <f t="shared" si="144"/>
        <v/>
      </c>
      <c r="DU240" t="s">
        <v>23</v>
      </c>
      <c r="DV240" s="287" t="e">
        <f t="shared" si="145"/>
        <v>#N/A</v>
      </c>
      <c r="DW240" s="311" t="str">
        <f t="shared" si="129"/>
        <v/>
      </c>
      <c r="DZ240" s="138" t="str">
        <f t="shared" si="120"/>
        <v/>
      </c>
      <c r="EB240">
        <v>0</v>
      </c>
      <c r="EC240">
        <f t="shared" si="130"/>
        <v>0</v>
      </c>
      <c r="ED240" s="138" t="str">
        <f t="shared" si="121"/>
        <v/>
      </c>
      <c r="EF240" s="285" t="str">
        <f t="shared" si="132"/>
        <v/>
      </c>
      <c r="EH240" s="138">
        <f t="shared" si="139"/>
        <v>0</v>
      </c>
      <c r="EJ240">
        <v>0</v>
      </c>
      <c r="EK240" s="57">
        <f t="shared" si="140"/>
        <v>0</v>
      </c>
      <c r="EM240">
        <f t="shared" si="141"/>
        <v>0</v>
      </c>
      <c r="EN240">
        <v>63</v>
      </c>
      <c r="EO240" s="65">
        <f t="shared" si="142"/>
        <v>0</v>
      </c>
      <c r="EP240" s="65">
        <f t="shared" si="143"/>
        <v>0</v>
      </c>
      <c r="EQ240" s="65">
        <v>1</v>
      </c>
      <c r="ER240" s="65">
        <v>267</v>
      </c>
      <c r="ES240" s="65">
        <v>267</v>
      </c>
      <c r="ET240" s="286">
        <v>0</v>
      </c>
      <c r="EU240" s="249" t="b">
        <v>1</v>
      </c>
      <c r="EV240" s="288" t="str">
        <f t="shared" si="146"/>
        <v/>
      </c>
      <c r="EW240" t="s">
        <v>23</v>
      </c>
    </row>
    <row r="241" spans="19:153" ht="12.9" hidden="1" customHeight="1" thickBot="1" x14ac:dyDescent="0.25">
      <c r="S241" s="70"/>
      <c r="T241" s="280" t="s">
        <v>319</v>
      </c>
      <c r="U241" s="308"/>
      <c r="V241" s="308"/>
      <c r="W241" s="308"/>
      <c r="X241" s="309"/>
      <c r="Y241" s="648"/>
      <c r="Z241" s="649"/>
      <c r="AA241" s="649"/>
      <c r="AB241" s="649"/>
      <c r="AC241" s="649"/>
      <c r="AD241" s="650"/>
      <c r="AE241" s="283" t="str">
        <f t="shared" si="136"/>
        <v>ˣ</v>
      </c>
      <c r="AF241" s="393" t="str">
        <f t="shared" si="137"/>
        <v>DEUTSCHLAND (GER) ( 0 )</v>
      </c>
      <c r="AG241" s="394"/>
      <c r="AH241" s="394"/>
      <c r="AI241" s="394"/>
      <c r="AJ241" s="394"/>
      <c r="AK241" s="394"/>
      <c r="AL241" s="394"/>
      <c r="AM241" s="394"/>
      <c r="AN241" s="394"/>
      <c r="AO241" s="442" t="str">
        <f t="shared" si="147"/>
        <v>KEINE PRÜFUNG</v>
      </c>
      <c r="AP241" s="442"/>
      <c r="AQ241" s="442"/>
      <c r="AR241" s="442"/>
      <c r="AS241" s="442"/>
      <c r="AT241" s="442"/>
      <c r="AU241" s="442"/>
      <c r="AV241" s="442"/>
      <c r="AW241" s="394"/>
      <c r="AX241" s="395"/>
      <c r="AY241" s="395"/>
      <c r="AZ241" s="394"/>
      <c r="BA241" s="394"/>
      <c r="BB241" s="395" t="str">
        <f t="shared" si="148"/>
        <v>0 PKT.</v>
      </c>
      <c r="BC241" s="70"/>
      <c r="BD241" s="70"/>
      <c r="BE241" s="70"/>
      <c r="BF241" s="70"/>
      <c r="BG241" s="70"/>
      <c r="BH241" s="70"/>
      <c r="BI241" s="70"/>
      <c r="BJ241" s="70"/>
      <c r="BK241" s="70"/>
      <c r="BL241" s="70"/>
      <c r="BM241" s="70"/>
      <c r="BN241" s="70"/>
      <c r="BO241" s="70"/>
      <c r="BP241" s="70"/>
      <c r="BQ241" s="70"/>
      <c r="BR241" s="70"/>
      <c r="CX241" s="249" t="s">
        <v>19</v>
      </c>
      <c r="DB241">
        <f>tabbermsp!M431</f>
        <v>1</v>
      </c>
      <c r="DC241">
        <f>tabbermsp!L431</f>
        <v>0</v>
      </c>
      <c r="DD241" s="138" t="str">
        <f>IF(ISERROR(DB241),"Daten fehlen",IF(DB241&lt;=0,"Daten fehlen",INDEX(etauswahl_vgl,DB241)&amp;" ( "&amp;DC241&amp;" )"))</f>
        <v>DEUTSCHLAND (GER) ( 0 )</v>
      </c>
      <c r="DE241" s="138" t="str">
        <f>IF(OR(DB241&lt;=0,DR241,DP241=0),IF(LEN(DS241)=0,"",DH241),INDEX(etauswahl_vgl,DB241))</f>
        <v/>
      </c>
      <c r="DH241" s="138"/>
      <c r="DL241" t="s">
        <v>86</v>
      </c>
      <c r="DN241">
        <v>37</v>
      </c>
      <c r="DO241" s="249">
        <v>1</v>
      </c>
      <c r="DP241" s="249">
        <v>0</v>
      </c>
      <c r="DQ241" s="249">
        <v>0</v>
      </c>
      <c r="DR241" s="249" t="b">
        <v>1</v>
      </c>
      <c r="DS241" s="138"/>
      <c r="DT241" s="138" t="str">
        <f t="shared" si="144"/>
        <v/>
      </c>
      <c r="DU241" t="s">
        <v>23</v>
      </c>
      <c r="DV241" s="287" t="e">
        <f t="shared" si="145"/>
        <v>#N/A</v>
      </c>
      <c r="DW241" s="311" t="str">
        <f t="shared" si="129"/>
        <v/>
      </c>
      <c r="DZ241" s="138" t="str">
        <f t="shared" si="120"/>
        <v/>
      </c>
      <c r="EB241">
        <v>0</v>
      </c>
      <c r="EC241">
        <f t="shared" si="130"/>
        <v>0</v>
      </c>
      <c r="ED241" s="138" t="str">
        <f t="shared" si="121"/>
        <v/>
      </c>
      <c r="EF241" s="285" t="str">
        <f t="shared" si="132"/>
        <v/>
      </c>
      <c r="EH241" s="138">
        <f t="shared" si="139"/>
        <v>0</v>
      </c>
      <c r="EJ241">
        <v>0</v>
      </c>
      <c r="EK241" s="57">
        <f t="shared" si="140"/>
        <v>0</v>
      </c>
      <c r="EM241">
        <f t="shared" si="141"/>
        <v>0</v>
      </c>
      <c r="EN241">
        <v>64</v>
      </c>
      <c r="EO241" s="65">
        <f t="shared" si="142"/>
        <v>0</v>
      </c>
      <c r="EP241" s="65">
        <f t="shared" si="143"/>
        <v>0</v>
      </c>
      <c r="EQ241" s="65">
        <v>1</v>
      </c>
      <c r="ER241" s="65">
        <v>268</v>
      </c>
      <c r="ES241" s="65">
        <v>268</v>
      </c>
      <c r="ET241" s="286">
        <v>0</v>
      </c>
      <c r="EU241" s="249" t="b">
        <v>1</v>
      </c>
      <c r="EV241" s="288" t="str">
        <f t="shared" si="146"/>
        <v/>
      </c>
      <c r="EW241" t="s">
        <v>23</v>
      </c>
    </row>
    <row r="242" spans="19:153" ht="12.9" hidden="1" customHeight="1" thickBot="1" x14ac:dyDescent="0.25">
      <c r="S242" s="70"/>
      <c r="T242" s="280" t="s">
        <v>320</v>
      </c>
      <c r="U242" s="308"/>
      <c r="V242" s="308"/>
      <c r="W242" s="308"/>
      <c r="X242" s="309"/>
      <c r="Y242" s="648"/>
      <c r="Z242" s="649"/>
      <c r="AA242" s="649"/>
      <c r="AB242" s="649"/>
      <c r="AC242" s="649"/>
      <c r="AD242" s="650"/>
      <c r="AE242" s="283" t="str">
        <f t="shared" ref="AE242:AE278" si="149">IF(DR242,zeichen_gesperrt,"")</f>
        <v>ˣ</v>
      </c>
      <c r="AF242" s="393" t="str">
        <f t="shared" ref="AF242:AF278" si="150">IF($C$2&lt;=0,"",UPPER(DD242))</f>
        <v>DEUTSCHLAND (GER) ( 0 )</v>
      </c>
      <c r="AG242" s="394"/>
      <c r="AH242" s="394"/>
      <c r="AI242" s="394"/>
      <c r="AJ242" s="394"/>
      <c r="AK242" s="394"/>
      <c r="AL242" s="394"/>
      <c r="AM242" s="394"/>
      <c r="AN242" s="394"/>
      <c r="AO242" s="442" t="str">
        <f t="shared" si="147"/>
        <v>KEINE PRÜFUNG</v>
      </c>
      <c r="AP242" s="442"/>
      <c r="AQ242" s="442"/>
      <c r="AR242" s="442"/>
      <c r="AS242" s="442"/>
      <c r="AT242" s="442"/>
      <c r="AU242" s="442"/>
      <c r="AV242" s="442"/>
      <c r="AW242" s="394"/>
      <c r="AX242" s="395"/>
      <c r="AY242" s="395"/>
      <c r="AZ242" s="394"/>
      <c r="BA242" s="394"/>
      <c r="BB242" s="395" t="str">
        <f t="shared" si="148"/>
        <v>0 PKT.</v>
      </c>
      <c r="BC242" s="70"/>
      <c r="BD242" s="70"/>
      <c r="BE242" s="70"/>
      <c r="BF242" s="70"/>
      <c r="BG242" s="70"/>
      <c r="BH242" s="70"/>
      <c r="BI242" s="70"/>
      <c r="BJ242" s="70"/>
      <c r="BK242" s="70"/>
      <c r="BL242" s="70"/>
      <c r="BM242" s="70"/>
      <c r="BN242" s="70"/>
      <c r="BO242" s="70"/>
      <c r="BP242" s="70"/>
      <c r="BQ242" s="70"/>
      <c r="BR242" s="70"/>
      <c r="CX242" s="249" t="s">
        <v>19</v>
      </c>
      <c r="DB242">
        <f>tabbermsp!M432</f>
        <v>1</v>
      </c>
      <c r="DC242">
        <f>tabbermsp!L432</f>
        <v>0</v>
      </c>
      <c r="DD242" s="138" t="str">
        <f>IF(ISERROR(DB242),"Daten fehlen",IF(DB242&lt;=0,"Daten fehlen",INDEX(etauswahl_vgl,DB242)&amp;" ( "&amp;DC242&amp;" )"))</f>
        <v>DEUTSCHLAND (GER) ( 0 )</v>
      </c>
      <c r="DE242" s="138" t="str">
        <f>IF(OR(DB242&lt;=0,DR242,DP242=0),IF(LEN(DS242)=0,"",DH242),INDEX(etauswahl_vgl,DB242))</f>
        <v/>
      </c>
      <c r="DH242" s="138"/>
      <c r="DL242" t="s">
        <v>87</v>
      </c>
      <c r="DN242">
        <v>38</v>
      </c>
      <c r="DO242" s="249">
        <v>1</v>
      </c>
      <c r="DP242" s="249">
        <v>0</v>
      </c>
      <c r="DQ242" s="249">
        <v>0</v>
      </c>
      <c r="DR242" s="249" t="b">
        <v>1</v>
      </c>
      <c r="DS242" s="138"/>
      <c r="DT242" s="138" t="str">
        <f t="shared" si="144"/>
        <v/>
      </c>
      <c r="DU242" t="s">
        <v>23</v>
      </c>
      <c r="DV242" s="287" t="e">
        <f t="shared" si="145"/>
        <v>#N/A</v>
      </c>
      <c r="DW242" s="311" t="str">
        <f t="shared" si="129"/>
        <v/>
      </c>
      <c r="DZ242" s="138" t="str">
        <f t="shared" ref="DZ242:DZ278" si="151">IF(DR242,IF(LEN(DS242)=0,"",DS242),DW242)</f>
        <v/>
      </c>
      <c r="EB242">
        <v>0</v>
      </c>
      <c r="EC242">
        <f t="shared" si="130"/>
        <v>0</v>
      </c>
      <c r="ED242" s="138" t="str">
        <f t="shared" ref="ED242:ED278" si="152">IF(EB242&gt;0,"",DZ242)</f>
        <v/>
      </c>
      <c r="EF242" s="285" t="str">
        <f t="shared" si="132"/>
        <v/>
      </c>
      <c r="EH242" s="138">
        <f t="shared" ref="EH242:EH278" si="153">IF(DP242=0,0,IF(DZ242=ED242,0,1))</f>
        <v>0</v>
      </c>
      <c r="EJ242">
        <v>0</v>
      </c>
      <c r="EK242" s="57">
        <f t="shared" ref="EK242:EK278" si="154">IF(LEN(EF242)=0,0,1)</f>
        <v>0</v>
      </c>
      <c r="EM242">
        <f t="shared" ref="EM242:EM278" si="155">IF(OR(EK242=0,DR242,DP242=0),0,1)</f>
        <v>0</v>
      </c>
      <c r="EN242">
        <v>65</v>
      </c>
      <c r="EO242" s="65">
        <f t="shared" ref="EO242:EO251" si="156">SUMIF($DN$178:$DN$278,"="&amp;EN242,$EK$178:$EK$278)</f>
        <v>0</v>
      </c>
      <c r="EP242" s="65">
        <f t="shared" ref="EP242:EP251" si="157">SUMIF($DN$178:$DN$278,"="&amp;EN242,$EJ$178:$EJ$278)</f>
        <v>0</v>
      </c>
      <c r="EQ242" s="65">
        <v>1</v>
      </c>
      <c r="ER242" s="65">
        <v>269</v>
      </c>
      <c r="ES242" s="65">
        <v>269</v>
      </c>
      <c r="ET242" s="286">
        <v>0</v>
      </c>
      <c r="EU242" s="249" t="b">
        <v>1</v>
      </c>
      <c r="EV242" s="288" t="str">
        <f t="shared" si="146"/>
        <v/>
      </c>
      <c r="EW242" t="s">
        <v>23</v>
      </c>
    </row>
    <row r="243" spans="19:153" ht="12.9" hidden="1" customHeight="1" thickBot="1" x14ac:dyDescent="0.25">
      <c r="S243" s="70"/>
      <c r="T243" s="280" t="s">
        <v>321</v>
      </c>
      <c r="U243" s="308"/>
      <c r="V243" s="308"/>
      <c r="W243" s="308"/>
      <c r="X243" s="309"/>
      <c r="Y243" s="648"/>
      <c r="Z243" s="649"/>
      <c r="AA243" s="649"/>
      <c r="AB243" s="649"/>
      <c r="AC243" s="649"/>
      <c r="AD243" s="650"/>
      <c r="AE243" s="283" t="str">
        <f t="shared" si="149"/>
        <v>ˣ</v>
      </c>
      <c r="AF243" s="393" t="str">
        <f t="shared" si="150"/>
        <v>DEUTSCHLAND (GER) ( 0 )</v>
      </c>
      <c r="AG243" s="394"/>
      <c r="AH243" s="394"/>
      <c r="AI243" s="394"/>
      <c r="AJ243" s="394"/>
      <c r="AK243" s="394"/>
      <c r="AL243" s="394"/>
      <c r="AM243" s="394"/>
      <c r="AN243" s="394"/>
      <c r="AO243" s="442" t="str">
        <f t="shared" si="147"/>
        <v>KEINE PRÜFUNG</v>
      </c>
      <c r="AP243" s="442"/>
      <c r="AQ243" s="442"/>
      <c r="AR243" s="442"/>
      <c r="AS243" s="442"/>
      <c r="AT243" s="442"/>
      <c r="AU243" s="442"/>
      <c r="AV243" s="442"/>
      <c r="AW243" s="394"/>
      <c r="AX243" s="395"/>
      <c r="AY243" s="395"/>
      <c r="AZ243" s="394"/>
      <c r="BA243" s="394"/>
      <c r="BB243" s="395" t="str">
        <f t="shared" si="148"/>
        <v>0 PKT.</v>
      </c>
      <c r="BC243" s="70"/>
      <c r="BD243" s="70"/>
      <c r="BE243" s="70"/>
      <c r="BF243" s="70"/>
      <c r="BG243" s="70"/>
      <c r="BH243" s="70"/>
      <c r="BI243" s="70"/>
      <c r="BJ243" s="70"/>
      <c r="BK243" s="70"/>
      <c r="BL243" s="70"/>
      <c r="BM243" s="70"/>
      <c r="BN243" s="70"/>
      <c r="BO243" s="70"/>
      <c r="BP243" s="70"/>
      <c r="BQ243" s="70"/>
      <c r="BR243" s="70"/>
      <c r="CX243" s="249" t="s">
        <v>19</v>
      </c>
      <c r="DB243">
        <f>tabbermsp!M433</f>
        <v>1</v>
      </c>
      <c r="DC243">
        <f>tabbermsp!L433</f>
        <v>0</v>
      </c>
      <c r="DD243" s="138" t="str">
        <f>IF(ISERROR(DB243),"Daten fehlen",IF(DB243&lt;=0,"Daten fehlen",INDEX(etauswahl_vgl,DB243)&amp;" ( "&amp;DC243&amp;" )"))</f>
        <v>DEUTSCHLAND (GER) ( 0 )</v>
      </c>
      <c r="DE243" s="138" t="str">
        <f>IF(OR(DB243&lt;=0,DR243,DP243=0),IF(LEN(DS243)=0,"",DH243),INDEX(etauswahl_vgl,DB243))</f>
        <v/>
      </c>
      <c r="DH243" s="138"/>
      <c r="DL243" t="s">
        <v>88</v>
      </c>
      <c r="DN243">
        <v>39</v>
      </c>
      <c r="DO243" s="249">
        <v>1</v>
      </c>
      <c r="DP243" s="249">
        <v>0</v>
      </c>
      <c r="DQ243" s="249">
        <v>0</v>
      </c>
      <c r="DR243" s="249" t="b">
        <v>1</v>
      </c>
      <c r="DS243" s="138"/>
      <c r="DT243" s="138" t="str">
        <f t="shared" ref="DT243:DT278" si="158">IF(LEN(Y243)=0,"",Y243)</f>
        <v/>
      </c>
      <c r="DU243" t="s">
        <v>23</v>
      </c>
      <c r="DV243" s="287" t="e">
        <f t="shared" si="145"/>
        <v>#N/A</v>
      </c>
      <c r="DW243" s="311" t="str">
        <f t="shared" ref="DW243:DW274" si="159">IF(ISERROR(DV243),"",DV243)</f>
        <v/>
      </c>
      <c r="DZ243" s="138" t="str">
        <f t="shared" si="151"/>
        <v/>
      </c>
      <c r="EB243">
        <v>0</v>
      </c>
      <c r="EC243">
        <f t="shared" ref="EC243:EC278" si="160">IF(AND(LEN(DT243)&gt;0,ISERROR(DV243)),1,0)</f>
        <v>0</v>
      </c>
      <c r="ED243" s="138" t="str">
        <f t="shared" si="152"/>
        <v/>
      </c>
      <c r="EF243" s="285" t="str">
        <f t="shared" si="132"/>
        <v/>
      </c>
      <c r="EH243" s="138">
        <f t="shared" si="153"/>
        <v>0</v>
      </c>
      <c r="EJ243">
        <v>0</v>
      </c>
      <c r="EK243" s="57">
        <f t="shared" si="154"/>
        <v>0</v>
      </c>
      <c r="EM243">
        <f t="shared" si="155"/>
        <v>0</v>
      </c>
      <c r="EN243">
        <v>66</v>
      </c>
      <c r="EO243" s="65">
        <f t="shared" si="156"/>
        <v>0</v>
      </c>
      <c r="EP243" s="65">
        <f t="shared" si="157"/>
        <v>0</v>
      </c>
      <c r="EQ243" s="65">
        <v>1</v>
      </c>
      <c r="ER243" s="65">
        <v>270</v>
      </c>
      <c r="ES243" s="65">
        <v>270</v>
      </c>
      <c r="ET243" s="286">
        <v>0</v>
      </c>
      <c r="EU243" s="249" t="b">
        <v>1</v>
      </c>
      <c r="EV243" s="288" t="str">
        <f t="shared" si="146"/>
        <v/>
      </c>
      <c r="EW243" t="s">
        <v>23</v>
      </c>
    </row>
    <row r="244" spans="19:153" ht="12.9" hidden="1" customHeight="1" thickBot="1" x14ac:dyDescent="0.25">
      <c r="S244" s="70"/>
      <c r="T244" s="280" t="s">
        <v>322</v>
      </c>
      <c r="U244" s="308"/>
      <c r="V244" s="308"/>
      <c r="W244" s="308"/>
      <c r="X244" s="309"/>
      <c r="Y244" s="648"/>
      <c r="Z244" s="649"/>
      <c r="AA244" s="649"/>
      <c r="AB244" s="649"/>
      <c r="AC244" s="649"/>
      <c r="AD244" s="650"/>
      <c r="AE244" s="283" t="str">
        <f t="shared" si="149"/>
        <v>ˣ</v>
      </c>
      <c r="AF244" s="393" t="str">
        <f t="shared" si="150"/>
        <v>GRUPPE A  ( 0 )</v>
      </c>
      <c r="AG244" s="394"/>
      <c r="AH244" s="394"/>
      <c r="AI244" s="394"/>
      <c r="AJ244" s="394"/>
      <c r="AK244" s="394"/>
      <c r="AL244" s="394"/>
      <c r="AM244" s="394"/>
      <c r="AN244" s="394"/>
      <c r="AO244" s="442" t="str">
        <f t="shared" si="147"/>
        <v>KEINE PRÜFUNG</v>
      </c>
      <c r="AP244" s="442"/>
      <c r="AQ244" s="442"/>
      <c r="AR244" s="442"/>
      <c r="AS244" s="442"/>
      <c r="AT244" s="442"/>
      <c r="AU244" s="442"/>
      <c r="AV244" s="442"/>
      <c r="AW244" s="394"/>
      <c r="AX244" s="395"/>
      <c r="AY244" s="395"/>
      <c r="AZ244" s="394"/>
      <c r="BA244" s="394"/>
      <c r="BB244" s="395" t="str">
        <f t="shared" si="148"/>
        <v>0 PKT.</v>
      </c>
      <c r="BC244" s="70"/>
      <c r="BD244" s="70"/>
      <c r="BE244" s="70"/>
      <c r="BF244" s="70"/>
      <c r="BG244" s="70"/>
      <c r="BH244" s="70"/>
      <c r="BI244" s="70"/>
      <c r="BJ244" s="70"/>
      <c r="BK244" s="70"/>
      <c r="BL244" s="70"/>
      <c r="BM244" s="70"/>
      <c r="BN244" s="70"/>
      <c r="BO244" s="70"/>
      <c r="BP244" s="70"/>
      <c r="BQ244" s="70"/>
      <c r="BR244" s="70"/>
      <c r="CX244" s="249" t="s">
        <v>19</v>
      </c>
      <c r="DB244">
        <f>tabbermsp!N441</f>
        <v>1</v>
      </c>
      <c r="DC244">
        <f>tabbermsp!N438</f>
        <v>0</v>
      </c>
      <c r="DD244" s="138" t="str">
        <f>IF(ISERROR(DB244),"Daten fehlen",IF(DB244&lt;=0,"Daten fehlen",INDEX($AF$293:$AF$298,DB244)&amp;"  ( "&amp;DC244&amp;" )"))</f>
        <v>GRUPPE A  ( 0 )</v>
      </c>
      <c r="DE244" s="138" t="str">
        <f>IF(OR(DB244&lt;=0,DR244,DP244=0),IF(LEN(DS244)=0,"",DH244),INDEX($AF$293:$AF$298,DB244))</f>
        <v/>
      </c>
      <c r="DH244" s="138"/>
      <c r="DL244" t="s">
        <v>89</v>
      </c>
      <c r="DN244">
        <v>40</v>
      </c>
      <c r="DO244" s="249">
        <v>1</v>
      </c>
      <c r="DP244" s="249">
        <v>0</v>
      </c>
      <c r="DQ244" s="249">
        <v>0</v>
      </c>
      <c r="DR244" s="249" t="b">
        <v>1</v>
      </c>
      <c r="DS244" s="138"/>
      <c r="DT244" s="138" t="str">
        <f t="shared" si="158"/>
        <v/>
      </c>
      <c r="DU244" t="s">
        <v>90</v>
      </c>
      <c r="DV244" s="287" t="e">
        <f>MATCH(DT244,$AF$293:$AF$298,0)</f>
        <v>#N/A</v>
      </c>
      <c r="DW244" s="311" t="str">
        <f t="shared" si="159"/>
        <v/>
      </c>
      <c r="DZ244" s="138" t="str">
        <f t="shared" si="151"/>
        <v/>
      </c>
      <c r="EB244">
        <v>0</v>
      </c>
      <c r="EC244">
        <f t="shared" si="160"/>
        <v>0</v>
      </c>
      <c r="ED244" s="138" t="str">
        <f t="shared" si="152"/>
        <v/>
      </c>
      <c r="EF244" s="285" t="str">
        <f t="shared" ref="EF244:EF269" si="161">IF(LEN(ED244)=0,"",IF(ED244=0,"",ED244))</f>
        <v/>
      </c>
      <c r="EH244" s="138">
        <f t="shared" si="153"/>
        <v>0</v>
      </c>
      <c r="EJ244">
        <v>0</v>
      </c>
      <c r="EK244" s="57">
        <f t="shared" si="154"/>
        <v>0</v>
      </c>
      <c r="EM244">
        <f t="shared" si="155"/>
        <v>0</v>
      </c>
      <c r="EN244">
        <v>67</v>
      </c>
      <c r="EO244" s="65">
        <f t="shared" si="156"/>
        <v>0</v>
      </c>
      <c r="EP244" s="65">
        <f t="shared" si="157"/>
        <v>0</v>
      </c>
      <c r="EQ244" s="65">
        <v>1</v>
      </c>
      <c r="ER244" s="65">
        <v>271</v>
      </c>
      <c r="ES244" s="65">
        <v>271</v>
      </c>
      <c r="ET244" s="286">
        <v>0</v>
      </c>
      <c r="EU244" s="249" t="b">
        <v>1</v>
      </c>
      <c r="EV244" s="287" t="str">
        <f>IF(LEN(EF244)=0,"",INDEX($AF$293:$AF$298,EF244))</f>
        <v/>
      </c>
      <c r="EW244" t="s">
        <v>90</v>
      </c>
    </row>
    <row r="245" spans="19:153" ht="12.9" hidden="1" customHeight="1" thickBot="1" x14ac:dyDescent="0.25">
      <c r="S245" s="70"/>
      <c r="T245" s="280" t="s">
        <v>323</v>
      </c>
      <c r="U245" s="308"/>
      <c r="V245" s="308"/>
      <c r="W245" s="308"/>
      <c r="X245" s="309"/>
      <c r="Y245" s="648"/>
      <c r="Z245" s="649"/>
      <c r="AA245" s="649"/>
      <c r="AB245" s="649"/>
      <c r="AC245" s="649"/>
      <c r="AD245" s="650"/>
      <c r="AE245" s="283" t="str">
        <f t="shared" si="149"/>
        <v>ˣ</v>
      </c>
      <c r="AF245" s="393" t="str">
        <f t="shared" si="150"/>
        <v>GRUPPE A  ( 0 )</v>
      </c>
      <c r="AG245" s="394"/>
      <c r="AH245" s="394"/>
      <c r="AI245" s="394"/>
      <c r="AJ245" s="394"/>
      <c r="AK245" s="394"/>
      <c r="AL245" s="394"/>
      <c r="AM245" s="394"/>
      <c r="AN245" s="394"/>
      <c r="AO245" s="442" t="str">
        <f t="shared" si="147"/>
        <v>KEINE PRÜFUNG</v>
      </c>
      <c r="AP245" s="442"/>
      <c r="AQ245" s="442"/>
      <c r="AR245" s="442"/>
      <c r="AS245" s="442"/>
      <c r="AT245" s="442"/>
      <c r="AU245" s="442"/>
      <c r="AV245" s="442"/>
      <c r="AW245" s="394"/>
      <c r="AX245" s="395"/>
      <c r="AY245" s="395"/>
      <c r="AZ245" s="394"/>
      <c r="BA245" s="394"/>
      <c r="BB245" s="395" t="str">
        <f t="shared" si="148"/>
        <v>0 PKT.</v>
      </c>
      <c r="BC245" s="70"/>
      <c r="BD245" s="70"/>
      <c r="BE245" s="70"/>
      <c r="BF245" s="70"/>
      <c r="BG245" s="70"/>
      <c r="BH245" s="70"/>
      <c r="BI245" s="70"/>
      <c r="BJ245" s="70"/>
      <c r="BK245" s="70"/>
      <c r="BL245" s="70"/>
      <c r="BM245" s="70"/>
      <c r="BN245" s="70"/>
      <c r="BO245" s="70"/>
      <c r="BP245" s="70"/>
      <c r="BQ245" s="70"/>
      <c r="BR245" s="70"/>
      <c r="CX245" s="249" t="s">
        <v>19</v>
      </c>
      <c r="DB245">
        <f>tabbermsp!O441</f>
        <v>1</v>
      </c>
      <c r="DC245">
        <f>tabbermsp!O438</f>
        <v>0</v>
      </c>
      <c r="DD245" s="138" t="str">
        <f>IF(ISERROR(DB245),"Daten fehlen",IF(DB245&lt;=0,"Daten fehlen",INDEX($AF$293:$AF$298,DB245)&amp;"  ( "&amp;DC245&amp;" )"))</f>
        <v>GRUPPE A  ( 0 )</v>
      </c>
      <c r="DE245" s="138" t="str">
        <f>IF(OR(DB245&lt;=0,DR245,DP245=0),IF(LEN(DS245)=0,"",DH245),INDEX($AF$293:$AF$298,DB245))</f>
        <v/>
      </c>
      <c r="DH245" s="138"/>
      <c r="DL245" t="s">
        <v>91</v>
      </c>
      <c r="DN245">
        <v>41</v>
      </c>
      <c r="DO245" s="249">
        <v>1</v>
      </c>
      <c r="DP245" s="249">
        <v>0</v>
      </c>
      <c r="DQ245" s="249">
        <v>0</v>
      </c>
      <c r="DR245" s="249" t="b">
        <v>1</v>
      </c>
      <c r="DS245" s="138"/>
      <c r="DT245" s="138" t="str">
        <f t="shared" si="158"/>
        <v/>
      </c>
      <c r="DU245" t="s">
        <v>90</v>
      </c>
      <c r="DV245" s="287" t="e">
        <f>MATCH(DT245,$AF$293:$AF$298,0)</f>
        <v>#N/A</v>
      </c>
      <c r="DW245" s="311" t="str">
        <f t="shared" si="159"/>
        <v/>
      </c>
      <c r="DZ245" s="138" t="str">
        <f t="shared" si="151"/>
        <v/>
      </c>
      <c r="EB245">
        <v>0</v>
      </c>
      <c r="EC245">
        <f t="shared" si="160"/>
        <v>0</v>
      </c>
      <c r="ED245" s="138" t="str">
        <f t="shared" si="152"/>
        <v/>
      </c>
      <c r="EF245" s="285" t="str">
        <f t="shared" si="161"/>
        <v/>
      </c>
      <c r="EH245" s="138">
        <f t="shared" si="153"/>
        <v>0</v>
      </c>
      <c r="EJ245">
        <v>0</v>
      </c>
      <c r="EK245" s="57">
        <f t="shared" si="154"/>
        <v>0</v>
      </c>
      <c r="EM245">
        <f t="shared" si="155"/>
        <v>0</v>
      </c>
      <c r="EN245">
        <v>68</v>
      </c>
      <c r="EO245" s="65">
        <f t="shared" si="156"/>
        <v>0</v>
      </c>
      <c r="EP245" s="65">
        <f t="shared" si="157"/>
        <v>0</v>
      </c>
      <c r="EQ245" s="65">
        <v>1</v>
      </c>
      <c r="ER245" s="65">
        <v>272</v>
      </c>
      <c r="ES245" s="65">
        <v>272</v>
      </c>
      <c r="ET245" s="286">
        <v>0</v>
      </c>
      <c r="EU245" s="249" t="b">
        <v>1</v>
      </c>
      <c r="EV245" s="287" t="str">
        <f>IF(LEN(EF245)=0,"",INDEX($AF$293:$AF$298,EF245))</f>
        <v/>
      </c>
      <c r="EW245" t="s">
        <v>90</v>
      </c>
    </row>
    <row r="246" spans="19:153" ht="12.9" hidden="1" customHeight="1" thickBot="1" x14ac:dyDescent="0.25">
      <c r="S246" s="70"/>
      <c r="T246" s="280" t="s">
        <v>241</v>
      </c>
      <c r="U246" s="308"/>
      <c r="V246" s="308"/>
      <c r="W246" s="308"/>
      <c r="X246" s="309"/>
      <c r="Y246" s="648"/>
      <c r="Z246" s="649"/>
      <c r="AA246" s="649"/>
      <c r="AB246" s="649"/>
      <c r="AC246" s="649"/>
      <c r="AD246" s="650"/>
      <c r="AE246" s="283" t="str">
        <f t="shared" si="149"/>
        <v>ˣ</v>
      </c>
      <c r="AF246" s="393" t="str">
        <f t="shared" ca="1" si="150"/>
        <v>GRUPPENRUNDE</v>
      </c>
      <c r="AG246" s="394"/>
      <c r="AH246" s="394"/>
      <c r="AI246" s="394"/>
      <c r="AJ246" s="394"/>
      <c r="AK246" s="394"/>
      <c r="AL246" s="394"/>
      <c r="AM246" s="394"/>
      <c r="AN246" s="394"/>
      <c r="AO246" s="442" t="str">
        <f t="shared" si="147"/>
        <v>KEINE PRÜFUNG</v>
      </c>
      <c r="AP246" s="442"/>
      <c r="AQ246" s="442"/>
      <c r="AR246" s="442"/>
      <c r="AS246" s="442"/>
      <c r="AT246" s="442"/>
      <c r="AU246" s="442"/>
      <c r="AV246" s="442"/>
      <c r="AW246" s="394"/>
      <c r="AX246" s="395"/>
      <c r="AY246" s="395"/>
      <c r="AZ246" s="394"/>
      <c r="BA246" s="394"/>
      <c r="BB246" s="395" t="str">
        <f t="shared" si="148"/>
        <v>0 PKT.</v>
      </c>
      <c r="BC246" s="70"/>
      <c r="BD246" s="70"/>
      <c r="BE246" s="70"/>
      <c r="BF246" s="70"/>
      <c r="BG246" s="70"/>
      <c r="BH246" s="70"/>
      <c r="BI246" s="70"/>
      <c r="BJ246" s="70"/>
      <c r="BK246" s="70"/>
      <c r="BL246" s="70"/>
      <c r="BM246" s="70"/>
      <c r="BN246" s="70"/>
      <c r="BO246" s="70"/>
      <c r="BP246" s="70"/>
      <c r="BQ246" s="70"/>
      <c r="BR246" s="70"/>
      <c r="CX246" s="249" t="s">
        <v>19</v>
      </c>
      <c r="DB246">
        <f ca="1">COUNTIF(tabbermsp!$L$407:$M$420,"="&amp;DA246)+COUNTIF(tabbermsp!$L$422:$M$422,"="&amp;DA246)+1</f>
        <v>1</v>
      </c>
      <c r="DD246" s="138" t="str">
        <f t="shared" ref="DD246:DD269" ca="1" si="162">IF(ISERROR(DB246),"Daten fehlen",IF(DB246&lt;=0,"Daten fehlen",INDEX($AG$293:$AG$297,DB246)))</f>
        <v>GRUPPENRUNDE</v>
      </c>
      <c r="DE246" s="138" t="str">
        <f t="shared" ref="DE246:DE269" ca="1" si="163">IF(OR(DB246&lt;=0,DR246,DP246=0),IF(LEN(DS246)=0,"",DH246),DD246)</f>
        <v/>
      </c>
      <c r="DH246" s="138"/>
      <c r="DL246" t="s">
        <v>246</v>
      </c>
      <c r="DN246">
        <v>42</v>
      </c>
      <c r="DO246" s="249">
        <v>1</v>
      </c>
      <c r="DP246" s="249">
        <v>0</v>
      </c>
      <c r="DQ246" s="249">
        <v>0</v>
      </c>
      <c r="DR246" s="249" t="b">
        <v>1</v>
      </c>
      <c r="DS246" s="138"/>
      <c r="DT246" s="138" t="str">
        <f t="shared" si="158"/>
        <v/>
      </c>
      <c r="DU246" t="s">
        <v>92</v>
      </c>
      <c r="DV246" s="287" t="e">
        <f>MATCH(DT246,$AG$293:$AG$297,0)</f>
        <v>#N/A</v>
      </c>
      <c r="DW246" s="311" t="str">
        <f t="shared" si="159"/>
        <v/>
      </c>
      <c r="DZ246" s="138" t="str">
        <f t="shared" si="151"/>
        <v/>
      </c>
      <c r="EB246">
        <v>0</v>
      </c>
      <c r="EC246">
        <f t="shared" si="160"/>
        <v>0</v>
      </c>
      <c r="ED246" s="138" t="str">
        <f t="shared" si="152"/>
        <v/>
      </c>
      <c r="EF246" s="285" t="str">
        <f t="shared" si="161"/>
        <v/>
      </c>
      <c r="EH246" s="138">
        <f t="shared" si="153"/>
        <v>0</v>
      </c>
      <c r="EJ246">
        <v>0</v>
      </c>
      <c r="EK246" s="57">
        <f t="shared" si="154"/>
        <v>0</v>
      </c>
      <c r="EM246">
        <f t="shared" si="155"/>
        <v>0</v>
      </c>
      <c r="EN246">
        <v>69</v>
      </c>
      <c r="EO246" s="65">
        <f t="shared" si="156"/>
        <v>0</v>
      </c>
      <c r="EP246" s="65">
        <f t="shared" si="157"/>
        <v>0</v>
      </c>
      <c r="EQ246" s="65">
        <v>1</v>
      </c>
      <c r="ER246" s="65">
        <v>273</v>
      </c>
      <c r="ES246" s="65">
        <v>273</v>
      </c>
      <c r="ET246" s="286">
        <v>0</v>
      </c>
      <c r="EU246" s="249" t="b">
        <v>1</v>
      </c>
      <c r="EV246" s="154" t="str">
        <f>IF(LEN(EF246)=0,"",INDEX($AG$293:$AG$297,EF246))</f>
        <v/>
      </c>
      <c r="EW246" t="s">
        <v>92</v>
      </c>
    </row>
    <row r="247" spans="19:153" ht="12.9" hidden="1" customHeight="1" thickBot="1" x14ac:dyDescent="0.25">
      <c r="S247" s="70"/>
      <c r="T247" s="280" t="s">
        <v>1134</v>
      </c>
      <c r="U247" s="308"/>
      <c r="V247" s="308"/>
      <c r="W247" s="308"/>
      <c r="X247" s="309"/>
      <c r="Y247" s="648"/>
      <c r="Z247" s="649"/>
      <c r="AA247" s="649"/>
      <c r="AB247" s="649"/>
      <c r="AC247" s="649"/>
      <c r="AD247" s="650"/>
      <c r="AE247" s="283" t="str">
        <f t="shared" si="149"/>
        <v>ˣ</v>
      </c>
      <c r="AF247" s="393" t="str">
        <f t="shared" ca="1" si="150"/>
        <v>GRUPPENRUNDE</v>
      </c>
      <c r="AG247" s="394"/>
      <c r="AH247" s="394"/>
      <c r="AI247" s="394"/>
      <c r="AJ247" s="394"/>
      <c r="AK247" s="394"/>
      <c r="AL247" s="394"/>
      <c r="AM247" s="394"/>
      <c r="AN247" s="394"/>
      <c r="AO247" s="442" t="str">
        <f t="shared" si="147"/>
        <v>KEINE PRÜFUNG</v>
      </c>
      <c r="AP247" s="442"/>
      <c r="AQ247" s="442"/>
      <c r="AR247" s="442"/>
      <c r="AS247" s="442"/>
      <c r="AT247" s="442"/>
      <c r="AU247" s="442"/>
      <c r="AV247" s="442"/>
      <c r="AW247" s="394"/>
      <c r="AX247" s="395"/>
      <c r="AY247" s="395"/>
      <c r="AZ247" s="394"/>
      <c r="BA247" s="394"/>
      <c r="BB247" s="395" t="str">
        <f t="shared" si="148"/>
        <v>0 PKT.</v>
      </c>
      <c r="BC247" s="70"/>
      <c r="BD247" s="70"/>
      <c r="BE247" s="70"/>
      <c r="BF247" s="70"/>
      <c r="BG247" s="70"/>
      <c r="BH247" s="70"/>
      <c r="BI247" s="70"/>
      <c r="BJ247" s="70"/>
      <c r="BK247" s="70"/>
      <c r="BL247" s="70"/>
      <c r="BM247" s="70"/>
      <c r="BN247" s="70"/>
      <c r="BO247" s="70"/>
      <c r="BP247" s="70"/>
      <c r="BQ247" s="70"/>
      <c r="BR247" s="70"/>
      <c r="CX247" s="249" t="s">
        <v>19</v>
      </c>
      <c r="DB247">
        <f ca="1">COUNTIF(tabbermsp!$L$407:$M$420,"="&amp;DA247)+COUNTIF(tabbermsp!$L$422:$M$422,"="&amp;DA247)+1</f>
        <v>1</v>
      </c>
      <c r="DD247" s="138" t="str">
        <f t="shared" ca="1" si="162"/>
        <v>GRUPPENRUNDE</v>
      </c>
      <c r="DE247" s="138" t="str">
        <f t="shared" ca="1" si="163"/>
        <v/>
      </c>
      <c r="DH247" s="138"/>
      <c r="DL247" t="s">
        <v>247</v>
      </c>
      <c r="DN247">
        <v>43</v>
      </c>
      <c r="DO247" s="249">
        <v>1</v>
      </c>
      <c r="DP247" s="249">
        <v>0</v>
      </c>
      <c r="DQ247" s="249">
        <v>0</v>
      </c>
      <c r="DR247" s="249" t="b">
        <v>1</v>
      </c>
      <c r="DS247" s="138"/>
      <c r="DT247" s="138" t="str">
        <f t="shared" si="158"/>
        <v/>
      </c>
      <c r="DU247" t="s">
        <v>92</v>
      </c>
      <c r="DV247" s="287" t="e">
        <f t="shared" ref="DV247:DV269" si="164">MATCH(DT247,$AG$293:$AG$297,0)</f>
        <v>#N/A</v>
      </c>
      <c r="DW247" s="311" t="str">
        <f t="shared" si="159"/>
        <v/>
      </c>
      <c r="DZ247" s="138" t="str">
        <f t="shared" si="151"/>
        <v/>
      </c>
      <c r="EB247">
        <v>0</v>
      </c>
      <c r="EC247">
        <f t="shared" si="160"/>
        <v>0</v>
      </c>
      <c r="ED247" s="138" t="str">
        <f t="shared" si="152"/>
        <v/>
      </c>
      <c r="EF247" s="285" t="str">
        <f t="shared" si="161"/>
        <v/>
      </c>
      <c r="EH247" s="138">
        <f t="shared" si="153"/>
        <v>0</v>
      </c>
      <c r="EJ247">
        <v>0</v>
      </c>
      <c r="EK247" s="57">
        <f t="shared" si="154"/>
        <v>0</v>
      </c>
      <c r="EM247">
        <f t="shared" si="155"/>
        <v>0</v>
      </c>
      <c r="EN247">
        <v>70</v>
      </c>
      <c r="EO247" s="65">
        <f t="shared" si="156"/>
        <v>0</v>
      </c>
      <c r="EP247" s="65">
        <f t="shared" si="157"/>
        <v>0</v>
      </c>
      <c r="EQ247" s="65">
        <v>1</v>
      </c>
      <c r="ER247" s="65">
        <v>274</v>
      </c>
      <c r="ES247" s="65">
        <v>274</v>
      </c>
      <c r="ET247" s="286">
        <v>0</v>
      </c>
      <c r="EU247" s="249" t="b">
        <v>1</v>
      </c>
      <c r="EV247" s="154" t="str">
        <f t="shared" ref="EV247:EV269" si="165">IF(LEN(EF247)=0,"",INDEX($AG$293:$AG$297,EF247))</f>
        <v/>
      </c>
      <c r="EW247" t="s">
        <v>92</v>
      </c>
    </row>
    <row r="248" spans="19:153" ht="12.9" hidden="1" customHeight="1" thickBot="1" x14ac:dyDescent="0.25">
      <c r="S248" s="70"/>
      <c r="T248" s="280" t="s">
        <v>1135</v>
      </c>
      <c r="U248" s="308"/>
      <c r="V248" s="308"/>
      <c r="W248" s="308"/>
      <c r="X248" s="309"/>
      <c r="Y248" s="648"/>
      <c r="Z248" s="649"/>
      <c r="AA248" s="649"/>
      <c r="AB248" s="649"/>
      <c r="AC248" s="649"/>
      <c r="AD248" s="650"/>
      <c r="AE248" s="283" t="str">
        <f t="shared" si="149"/>
        <v>ˣ</v>
      </c>
      <c r="AF248" s="393" t="str">
        <f t="shared" ca="1" si="150"/>
        <v>GRUPPENRUNDE</v>
      </c>
      <c r="AG248" s="394"/>
      <c r="AH248" s="394"/>
      <c r="AI248" s="394"/>
      <c r="AJ248" s="394"/>
      <c r="AK248" s="394"/>
      <c r="AL248" s="394"/>
      <c r="AM248" s="394"/>
      <c r="AN248" s="394"/>
      <c r="AO248" s="442" t="str">
        <f t="shared" si="147"/>
        <v>KEINE PRÜFUNG</v>
      </c>
      <c r="AP248" s="442"/>
      <c r="AQ248" s="442"/>
      <c r="AR248" s="442"/>
      <c r="AS248" s="442"/>
      <c r="AT248" s="442"/>
      <c r="AU248" s="442"/>
      <c r="AV248" s="442"/>
      <c r="AW248" s="394"/>
      <c r="AX248" s="395"/>
      <c r="AY248" s="395"/>
      <c r="AZ248" s="394"/>
      <c r="BA248" s="394"/>
      <c r="BB248" s="395" t="str">
        <f t="shared" si="148"/>
        <v>0 PKT.</v>
      </c>
      <c r="BC248" s="70"/>
      <c r="BD248" s="70"/>
      <c r="BE248" s="70"/>
      <c r="BF248" s="70"/>
      <c r="BG248" s="70"/>
      <c r="BH248" s="70"/>
      <c r="BI248" s="70"/>
      <c r="BJ248" s="70"/>
      <c r="BK248" s="70"/>
      <c r="BL248" s="70"/>
      <c r="BM248" s="70"/>
      <c r="BN248" s="70"/>
      <c r="BO248" s="70"/>
      <c r="BP248" s="70"/>
      <c r="BQ248" s="70"/>
      <c r="BR248" s="70"/>
      <c r="CX248" s="249" t="s">
        <v>19</v>
      </c>
      <c r="DB248">
        <f ca="1">COUNTIF(tabbermsp!$L$407:$M$420,"="&amp;DA248)+COUNTIF(tabbermsp!$L$422:$M$422,"="&amp;DA248)+1</f>
        <v>1</v>
      </c>
      <c r="DD248" s="138" t="str">
        <f t="shared" ca="1" si="162"/>
        <v>GRUPPENRUNDE</v>
      </c>
      <c r="DE248" s="138" t="str">
        <f t="shared" ca="1" si="163"/>
        <v/>
      </c>
      <c r="DH248" s="138"/>
      <c r="DL248" t="s">
        <v>248</v>
      </c>
      <c r="DN248">
        <v>44</v>
      </c>
      <c r="DO248" s="249">
        <v>1</v>
      </c>
      <c r="DP248" s="249">
        <v>0</v>
      </c>
      <c r="DQ248" s="249">
        <v>0</v>
      </c>
      <c r="DR248" s="249" t="b">
        <v>1</v>
      </c>
      <c r="DS248" s="138"/>
      <c r="DT248" s="138" t="str">
        <f t="shared" si="158"/>
        <v/>
      </c>
      <c r="DU248" t="s">
        <v>92</v>
      </c>
      <c r="DV248" s="287" t="e">
        <f t="shared" si="164"/>
        <v>#N/A</v>
      </c>
      <c r="DW248" s="311" t="str">
        <f t="shared" si="159"/>
        <v/>
      </c>
      <c r="DZ248" s="138" t="str">
        <f t="shared" si="151"/>
        <v/>
      </c>
      <c r="EB248">
        <v>0</v>
      </c>
      <c r="EC248">
        <f t="shared" si="160"/>
        <v>0</v>
      </c>
      <c r="ED248" s="138" t="str">
        <f t="shared" si="152"/>
        <v/>
      </c>
      <c r="EF248" s="285" t="str">
        <f t="shared" si="161"/>
        <v/>
      </c>
      <c r="EH248" s="138">
        <f t="shared" si="153"/>
        <v>0</v>
      </c>
      <c r="EJ248">
        <v>0</v>
      </c>
      <c r="EK248" s="57">
        <f t="shared" si="154"/>
        <v>0</v>
      </c>
      <c r="EM248">
        <f t="shared" si="155"/>
        <v>0</v>
      </c>
      <c r="EN248">
        <v>71</v>
      </c>
      <c r="EO248" s="65">
        <f t="shared" si="156"/>
        <v>0</v>
      </c>
      <c r="EP248" s="65">
        <f t="shared" si="157"/>
        <v>0</v>
      </c>
      <c r="EQ248" s="65">
        <v>1</v>
      </c>
      <c r="ER248" s="65">
        <v>275</v>
      </c>
      <c r="ES248" s="65">
        <v>275</v>
      </c>
      <c r="ET248" s="286">
        <v>0</v>
      </c>
      <c r="EU248" s="249" t="b">
        <v>1</v>
      </c>
      <c r="EV248" s="154" t="str">
        <f t="shared" si="165"/>
        <v/>
      </c>
      <c r="EW248" t="s">
        <v>92</v>
      </c>
    </row>
    <row r="249" spans="19:153" ht="12.9" hidden="1" customHeight="1" thickBot="1" x14ac:dyDescent="0.25">
      <c r="S249" s="70"/>
      <c r="T249" s="280" t="s">
        <v>1136</v>
      </c>
      <c r="U249" s="308"/>
      <c r="V249" s="308"/>
      <c r="W249" s="308"/>
      <c r="X249" s="309"/>
      <c r="Y249" s="648"/>
      <c r="Z249" s="649"/>
      <c r="AA249" s="649"/>
      <c r="AB249" s="649"/>
      <c r="AC249" s="649"/>
      <c r="AD249" s="650"/>
      <c r="AE249" s="283" t="str">
        <f t="shared" si="149"/>
        <v>ˣ</v>
      </c>
      <c r="AF249" s="393" t="str">
        <f t="shared" ca="1" si="150"/>
        <v>GRUPPENRUNDE</v>
      </c>
      <c r="AG249" s="394"/>
      <c r="AH249" s="394"/>
      <c r="AI249" s="394"/>
      <c r="AJ249" s="394"/>
      <c r="AK249" s="394"/>
      <c r="AL249" s="394"/>
      <c r="AM249" s="394"/>
      <c r="AN249" s="394"/>
      <c r="AO249" s="442" t="str">
        <f t="shared" si="147"/>
        <v>KEINE PRÜFUNG</v>
      </c>
      <c r="AP249" s="442"/>
      <c r="AQ249" s="442"/>
      <c r="AR249" s="442"/>
      <c r="AS249" s="442"/>
      <c r="AT249" s="442"/>
      <c r="AU249" s="442"/>
      <c r="AV249" s="442"/>
      <c r="AW249" s="394"/>
      <c r="AX249" s="395"/>
      <c r="AY249" s="395"/>
      <c r="AZ249" s="394"/>
      <c r="BA249" s="394"/>
      <c r="BB249" s="395" t="str">
        <f t="shared" si="148"/>
        <v>0 PKT.</v>
      </c>
      <c r="BC249" s="70"/>
      <c r="BD249" s="70"/>
      <c r="BE249" s="70"/>
      <c r="BF249" s="70"/>
      <c r="BG249" s="70"/>
      <c r="BH249" s="70"/>
      <c r="BI249" s="70"/>
      <c r="BJ249" s="70"/>
      <c r="BK249" s="70"/>
      <c r="BL249" s="70"/>
      <c r="BM249" s="70"/>
      <c r="BN249" s="70"/>
      <c r="BO249" s="70"/>
      <c r="BP249" s="70"/>
      <c r="BQ249" s="70"/>
      <c r="BR249" s="70"/>
      <c r="CX249" s="249" t="s">
        <v>19</v>
      </c>
      <c r="DB249">
        <f ca="1">COUNTIF(tabbermsp!$L$407:$M$420,"="&amp;DA249)+COUNTIF(tabbermsp!$L$422:$M$422,"="&amp;DA249)+1</f>
        <v>1</v>
      </c>
      <c r="DD249" s="138" t="str">
        <f t="shared" ca="1" si="162"/>
        <v>GRUPPENRUNDE</v>
      </c>
      <c r="DE249" s="138" t="str">
        <f t="shared" ca="1" si="163"/>
        <v/>
      </c>
      <c r="DH249" s="138"/>
      <c r="DL249" t="s">
        <v>249</v>
      </c>
      <c r="DN249">
        <v>45</v>
      </c>
      <c r="DO249" s="249">
        <v>1</v>
      </c>
      <c r="DP249" s="249">
        <v>0</v>
      </c>
      <c r="DQ249" s="249">
        <v>0</v>
      </c>
      <c r="DR249" s="249" t="b">
        <v>1</v>
      </c>
      <c r="DS249" s="138"/>
      <c r="DT249" s="138" t="str">
        <f t="shared" si="158"/>
        <v/>
      </c>
      <c r="DU249" t="s">
        <v>92</v>
      </c>
      <c r="DV249" s="287" t="e">
        <f t="shared" si="164"/>
        <v>#N/A</v>
      </c>
      <c r="DW249" s="311" t="str">
        <f t="shared" si="159"/>
        <v/>
      </c>
      <c r="DZ249" s="138" t="str">
        <f t="shared" si="151"/>
        <v/>
      </c>
      <c r="EB249">
        <v>0</v>
      </c>
      <c r="EC249">
        <f t="shared" si="160"/>
        <v>0</v>
      </c>
      <c r="ED249" s="138" t="str">
        <f t="shared" si="152"/>
        <v/>
      </c>
      <c r="EF249" s="285" t="str">
        <f t="shared" si="161"/>
        <v/>
      </c>
      <c r="EH249" s="138">
        <f t="shared" si="153"/>
        <v>0</v>
      </c>
      <c r="EJ249">
        <v>0</v>
      </c>
      <c r="EK249" s="57">
        <f t="shared" si="154"/>
        <v>0</v>
      </c>
      <c r="EM249">
        <f t="shared" si="155"/>
        <v>0</v>
      </c>
      <c r="EN249">
        <v>72</v>
      </c>
      <c r="EO249" s="65">
        <f t="shared" si="156"/>
        <v>0</v>
      </c>
      <c r="EP249" s="65">
        <f t="shared" si="157"/>
        <v>0</v>
      </c>
      <c r="EQ249" s="65">
        <v>1</v>
      </c>
      <c r="ER249" s="65">
        <v>276</v>
      </c>
      <c r="ES249" s="65">
        <v>276</v>
      </c>
      <c r="ET249" s="286">
        <v>0</v>
      </c>
      <c r="EU249" s="249" t="b">
        <v>1</v>
      </c>
      <c r="EV249" s="154" t="str">
        <f t="shared" si="165"/>
        <v/>
      </c>
      <c r="EW249" t="s">
        <v>92</v>
      </c>
    </row>
    <row r="250" spans="19:153" ht="12.9" hidden="1" customHeight="1" thickBot="1" x14ac:dyDescent="0.25">
      <c r="S250" s="70"/>
      <c r="T250" s="280" t="s">
        <v>1137</v>
      </c>
      <c r="U250" s="308"/>
      <c r="V250" s="308"/>
      <c r="W250" s="308"/>
      <c r="X250" s="309"/>
      <c r="Y250" s="648"/>
      <c r="Z250" s="649"/>
      <c r="AA250" s="649"/>
      <c r="AB250" s="649"/>
      <c r="AC250" s="649"/>
      <c r="AD250" s="650"/>
      <c r="AE250" s="283" t="str">
        <f t="shared" si="149"/>
        <v>ˣ</v>
      </c>
      <c r="AF250" s="393" t="str">
        <f t="shared" ca="1" si="150"/>
        <v>GRUPPENRUNDE</v>
      </c>
      <c r="AG250" s="394"/>
      <c r="AH250" s="394"/>
      <c r="AI250" s="394"/>
      <c r="AJ250" s="394"/>
      <c r="AK250" s="394"/>
      <c r="AL250" s="394"/>
      <c r="AM250" s="394"/>
      <c r="AN250" s="394"/>
      <c r="AO250" s="442" t="str">
        <f t="shared" si="147"/>
        <v>KEINE PRÜFUNG</v>
      </c>
      <c r="AP250" s="442"/>
      <c r="AQ250" s="442"/>
      <c r="AR250" s="442"/>
      <c r="AS250" s="442"/>
      <c r="AT250" s="442"/>
      <c r="AU250" s="442"/>
      <c r="AV250" s="442"/>
      <c r="AW250" s="394"/>
      <c r="AX250" s="395"/>
      <c r="AY250" s="395"/>
      <c r="AZ250" s="394"/>
      <c r="BA250" s="394"/>
      <c r="BB250" s="395" t="str">
        <f t="shared" si="148"/>
        <v>0 PKT.</v>
      </c>
      <c r="BC250" s="70"/>
      <c r="BD250" s="70"/>
      <c r="BE250" s="70"/>
      <c r="BF250" s="70"/>
      <c r="BG250" s="70"/>
      <c r="BH250" s="70"/>
      <c r="BI250" s="70"/>
      <c r="BJ250" s="70"/>
      <c r="BK250" s="70"/>
      <c r="BL250" s="70"/>
      <c r="BM250" s="70"/>
      <c r="BN250" s="70"/>
      <c r="BO250" s="70"/>
      <c r="BP250" s="70"/>
      <c r="BQ250" s="70"/>
      <c r="BR250" s="70"/>
      <c r="CX250" s="249" t="s">
        <v>19</v>
      </c>
      <c r="DB250">
        <f ca="1">COUNTIF(tabbermsp!$L$407:$M$420,"="&amp;DA250)+COUNTIF(tabbermsp!$L$422:$M$422,"="&amp;DA250)+1</f>
        <v>1</v>
      </c>
      <c r="DD250" s="138" t="str">
        <f t="shared" ca="1" si="162"/>
        <v>GRUPPENRUNDE</v>
      </c>
      <c r="DE250" s="138" t="str">
        <f t="shared" ca="1" si="163"/>
        <v/>
      </c>
      <c r="DH250" s="138"/>
      <c r="DL250" t="s">
        <v>250</v>
      </c>
      <c r="DN250">
        <v>46</v>
      </c>
      <c r="DO250" s="249">
        <v>1</v>
      </c>
      <c r="DP250" s="249">
        <v>0</v>
      </c>
      <c r="DQ250" s="249">
        <v>0</v>
      </c>
      <c r="DR250" s="249" t="b">
        <v>1</v>
      </c>
      <c r="DS250" s="138"/>
      <c r="DT250" s="138" t="str">
        <f t="shared" si="158"/>
        <v/>
      </c>
      <c r="DU250" t="s">
        <v>92</v>
      </c>
      <c r="DV250" s="287" t="e">
        <f t="shared" si="164"/>
        <v>#N/A</v>
      </c>
      <c r="DW250" s="311" t="str">
        <f t="shared" si="159"/>
        <v/>
      </c>
      <c r="DZ250" s="138" t="str">
        <f t="shared" si="151"/>
        <v/>
      </c>
      <c r="EB250">
        <v>0</v>
      </c>
      <c r="EC250">
        <f t="shared" si="160"/>
        <v>0</v>
      </c>
      <c r="ED250" s="138" t="str">
        <f t="shared" si="152"/>
        <v/>
      </c>
      <c r="EF250" s="285" t="str">
        <f t="shared" si="161"/>
        <v/>
      </c>
      <c r="EH250" s="138">
        <f t="shared" si="153"/>
        <v>0</v>
      </c>
      <c r="EJ250">
        <v>0</v>
      </c>
      <c r="EK250" s="57">
        <f t="shared" si="154"/>
        <v>0</v>
      </c>
      <c r="EM250">
        <f t="shared" si="155"/>
        <v>0</v>
      </c>
      <c r="EN250">
        <v>73</v>
      </c>
      <c r="EO250" s="65">
        <f t="shared" si="156"/>
        <v>0</v>
      </c>
      <c r="EP250" s="65">
        <f t="shared" si="157"/>
        <v>0</v>
      </c>
      <c r="EQ250" s="65">
        <v>1</v>
      </c>
      <c r="ER250" s="65">
        <v>277</v>
      </c>
      <c r="ES250" s="65">
        <v>277</v>
      </c>
      <c r="ET250" s="286">
        <v>0</v>
      </c>
      <c r="EU250" s="249" t="b">
        <v>1</v>
      </c>
      <c r="EV250" s="154" t="str">
        <f t="shared" si="165"/>
        <v/>
      </c>
      <c r="EW250" t="s">
        <v>92</v>
      </c>
    </row>
    <row r="251" spans="19:153" ht="12.9" hidden="1" customHeight="1" thickBot="1" x14ac:dyDescent="0.25">
      <c r="S251" s="70"/>
      <c r="T251" s="280" t="s">
        <v>1138</v>
      </c>
      <c r="U251" s="308"/>
      <c r="V251" s="308"/>
      <c r="W251" s="308"/>
      <c r="X251" s="309"/>
      <c r="Y251" s="648"/>
      <c r="Z251" s="649"/>
      <c r="AA251" s="649"/>
      <c r="AB251" s="649"/>
      <c r="AC251" s="649"/>
      <c r="AD251" s="650"/>
      <c r="AE251" s="283" t="str">
        <f t="shared" si="149"/>
        <v>ˣ</v>
      </c>
      <c r="AF251" s="393" t="str">
        <f t="shared" ca="1" si="150"/>
        <v>GRUPPENRUNDE</v>
      </c>
      <c r="AG251" s="394"/>
      <c r="AH251" s="394"/>
      <c r="AI251" s="394"/>
      <c r="AJ251" s="394"/>
      <c r="AK251" s="394"/>
      <c r="AL251" s="394"/>
      <c r="AM251" s="394"/>
      <c r="AN251" s="394"/>
      <c r="AO251" s="442" t="str">
        <f t="shared" si="147"/>
        <v>KEINE PRÜFUNG</v>
      </c>
      <c r="AP251" s="442"/>
      <c r="AQ251" s="442"/>
      <c r="AR251" s="442"/>
      <c r="AS251" s="442"/>
      <c r="AT251" s="442"/>
      <c r="AU251" s="442"/>
      <c r="AV251" s="442"/>
      <c r="AW251" s="394"/>
      <c r="AX251" s="395"/>
      <c r="AY251" s="395"/>
      <c r="AZ251" s="394"/>
      <c r="BA251" s="394"/>
      <c r="BB251" s="395" t="str">
        <f t="shared" si="148"/>
        <v>0 PKT.</v>
      </c>
      <c r="BC251" s="70"/>
      <c r="BD251" s="70"/>
      <c r="BE251" s="70"/>
      <c r="BF251" s="70"/>
      <c r="BG251" s="70"/>
      <c r="BH251" s="70"/>
      <c r="BI251" s="70"/>
      <c r="BJ251" s="70"/>
      <c r="BK251" s="70"/>
      <c r="BL251" s="70"/>
      <c r="BM251" s="70"/>
      <c r="BN251" s="70"/>
      <c r="BO251" s="70"/>
      <c r="BP251" s="70"/>
      <c r="BQ251" s="70"/>
      <c r="BR251" s="70"/>
      <c r="CX251" s="249" t="s">
        <v>19</v>
      </c>
      <c r="DB251">
        <f ca="1">COUNTIF(tabbermsp!$L$407:$M$420,"="&amp;DA251)+COUNTIF(tabbermsp!$L$422:$M$422,"="&amp;DA251)+1</f>
        <v>1</v>
      </c>
      <c r="DD251" s="138" t="str">
        <f t="shared" ca="1" si="162"/>
        <v>GRUPPENRUNDE</v>
      </c>
      <c r="DE251" s="138" t="str">
        <f t="shared" ca="1" si="163"/>
        <v/>
      </c>
      <c r="DH251" s="138"/>
      <c r="DL251" t="s">
        <v>251</v>
      </c>
      <c r="DN251">
        <v>47</v>
      </c>
      <c r="DO251" s="249">
        <v>1</v>
      </c>
      <c r="DP251" s="249">
        <v>0</v>
      </c>
      <c r="DQ251" s="249">
        <v>0</v>
      </c>
      <c r="DR251" s="249" t="b">
        <v>1</v>
      </c>
      <c r="DS251" s="138"/>
      <c r="DT251" s="138" t="str">
        <f t="shared" si="158"/>
        <v/>
      </c>
      <c r="DU251" t="s">
        <v>92</v>
      </c>
      <c r="DV251" s="287" t="e">
        <f t="shared" si="164"/>
        <v>#N/A</v>
      </c>
      <c r="DW251" s="311" t="str">
        <f t="shared" si="159"/>
        <v/>
      </c>
      <c r="DZ251" s="138" t="str">
        <f t="shared" si="151"/>
        <v/>
      </c>
      <c r="EB251">
        <v>0</v>
      </c>
      <c r="EC251">
        <f t="shared" si="160"/>
        <v>0</v>
      </c>
      <c r="ED251" s="138" t="str">
        <f t="shared" si="152"/>
        <v/>
      </c>
      <c r="EF251" s="285" t="str">
        <f t="shared" si="161"/>
        <v/>
      </c>
      <c r="EH251" s="138">
        <f t="shared" si="153"/>
        <v>0</v>
      </c>
      <c r="EJ251">
        <v>0</v>
      </c>
      <c r="EK251" s="57">
        <f t="shared" si="154"/>
        <v>0</v>
      </c>
      <c r="EM251">
        <f t="shared" si="155"/>
        <v>0</v>
      </c>
      <c r="EN251">
        <v>74</v>
      </c>
      <c r="EO251" s="65">
        <f t="shared" si="156"/>
        <v>0</v>
      </c>
      <c r="EP251" s="65">
        <f t="shared" si="157"/>
        <v>0</v>
      </c>
      <c r="EQ251" s="65">
        <v>1</v>
      </c>
      <c r="ER251" s="65">
        <v>278</v>
      </c>
      <c r="ES251" s="65">
        <v>278</v>
      </c>
      <c r="ET251" s="286">
        <v>0</v>
      </c>
      <c r="EU251" s="249" t="b">
        <v>1</v>
      </c>
      <c r="EV251" s="154" t="str">
        <f t="shared" si="165"/>
        <v/>
      </c>
      <c r="EW251" t="s">
        <v>92</v>
      </c>
    </row>
    <row r="252" spans="19:153" ht="12.9" hidden="1" customHeight="1" thickBot="1" x14ac:dyDescent="0.25">
      <c r="S252" s="70"/>
      <c r="T252" s="280" t="s">
        <v>242</v>
      </c>
      <c r="U252" s="308"/>
      <c r="V252" s="308"/>
      <c r="W252" s="308"/>
      <c r="X252" s="309"/>
      <c r="Y252" s="648"/>
      <c r="Z252" s="649"/>
      <c r="AA252" s="649"/>
      <c r="AB252" s="649"/>
      <c r="AC252" s="649"/>
      <c r="AD252" s="650"/>
      <c r="AE252" s="283" t="str">
        <f t="shared" si="149"/>
        <v>ˣ</v>
      </c>
      <c r="AF252" s="393" t="str">
        <f t="shared" ca="1" si="150"/>
        <v>GRUPPENRUNDE</v>
      </c>
      <c r="AG252" s="394"/>
      <c r="AH252" s="394"/>
      <c r="AI252" s="394"/>
      <c r="AJ252" s="394"/>
      <c r="AK252" s="394"/>
      <c r="AL252" s="394"/>
      <c r="AM252" s="394"/>
      <c r="AN252" s="394"/>
      <c r="AO252" s="442" t="str">
        <f t="shared" si="147"/>
        <v>KEINE PRÜFUNG</v>
      </c>
      <c r="AP252" s="442"/>
      <c r="AQ252" s="442"/>
      <c r="AR252" s="442"/>
      <c r="AS252" s="442"/>
      <c r="AT252" s="442"/>
      <c r="AU252" s="442"/>
      <c r="AV252" s="442"/>
      <c r="AW252" s="394"/>
      <c r="AX252" s="395"/>
      <c r="AY252" s="395"/>
      <c r="AZ252" s="394"/>
      <c r="BA252" s="394"/>
      <c r="BB252" s="395" t="str">
        <f t="shared" si="148"/>
        <v>0 PKT.</v>
      </c>
      <c r="BC252" s="70"/>
      <c r="BD252" s="70"/>
      <c r="BE252" s="70"/>
      <c r="BF252" s="70"/>
      <c r="BG252" s="70"/>
      <c r="BH252" s="70"/>
      <c r="BI252" s="70"/>
      <c r="BJ252" s="70"/>
      <c r="BK252" s="70"/>
      <c r="BL252" s="70"/>
      <c r="BM252" s="70"/>
      <c r="BN252" s="70"/>
      <c r="BO252" s="70"/>
      <c r="BP252" s="70"/>
      <c r="BQ252" s="70"/>
      <c r="BR252" s="70"/>
      <c r="CX252" s="249" t="s">
        <v>19</v>
      </c>
      <c r="DB252">
        <f ca="1">COUNTIF(tabbermsp!$L$407:$M$420,"="&amp;DA252)+COUNTIF(tabbermsp!$L$422:$M$422,"="&amp;DA252)+1</f>
        <v>1</v>
      </c>
      <c r="DD252" s="138" t="str">
        <f t="shared" ca="1" si="162"/>
        <v>GRUPPENRUNDE</v>
      </c>
      <c r="DE252" s="138" t="str">
        <f t="shared" ca="1" si="163"/>
        <v/>
      </c>
      <c r="DH252" s="138"/>
      <c r="DL252" t="s">
        <v>252</v>
      </c>
      <c r="DN252">
        <v>48</v>
      </c>
      <c r="DO252" s="249">
        <v>1</v>
      </c>
      <c r="DP252" s="249">
        <v>0</v>
      </c>
      <c r="DQ252" s="249">
        <v>0</v>
      </c>
      <c r="DR252" s="249" t="b">
        <v>1</v>
      </c>
      <c r="DS252" s="138"/>
      <c r="DT252" s="138" t="str">
        <f t="shared" si="158"/>
        <v/>
      </c>
      <c r="DU252" t="s">
        <v>92</v>
      </c>
      <c r="DV252" s="287" t="e">
        <f t="shared" si="164"/>
        <v>#N/A</v>
      </c>
      <c r="DW252" s="311" t="str">
        <f t="shared" si="159"/>
        <v/>
      </c>
      <c r="DZ252" s="138" t="str">
        <f t="shared" si="151"/>
        <v/>
      </c>
      <c r="EB252">
        <v>0</v>
      </c>
      <c r="EC252">
        <f t="shared" si="160"/>
        <v>0</v>
      </c>
      <c r="ED252" s="138" t="str">
        <f t="shared" si="152"/>
        <v/>
      </c>
      <c r="EF252" s="285" t="str">
        <f t="shared" si="161"/>
        <v/>
      </c>
      <c r="EH252" s="138">
        <f t="shared" si="153"/>
        <v>0</v>
      </c>
      <c r="EJ252">
        <v>0</v>
      </c>
      <c r="EK252" s="57">
        <f t="shared" si="154"/>
        <v>0</v>
      </c>
      <c r="EM252">
        <f t="shared" si="155"/>
        <v>0</v>
      </c>
      <c r="EV252" s="154" t="str">
        <f t="shared" si="165"/>
        <v/>
      </c>
      <c r="EW252" t="s">
        <v>92</v>
      </c>
    </row>
    <row r="253" spans="19:153" ht="12.9" hidden="1" customHeight="1" thickBot="1" x14ac:dyDescent="0.25">
      <c r="S253" s="70"/>
      <c r="T253" s="280" t="s">
        <v>1139</v>
      </c>
      <c r="U253" s="308"/>
      <c r="V253" s="308"/>
      <c r="W253" s="308"/>
      <c r="X253" s="309"/>
      <c r="Y253" s="648"/>
      <c r="Z253" s="649"/>
      <c r="AA253" s="649"/>
      <c r="AB253" s="649"/>
      <c r="AC253" s="649"/>
      <c r="AD253" s="650"/>
      <c r="AE253" s="283" t="str">
        <f t="shared" si="149"/>
        <v>ˣ</v>
      </c>
      <c r="AF253" s="393" t="str">
        <f t="shared" ca="1" si="150"/>
        <v>GRUPPENRUNDE</v>
      </c>
      <c r="AG253" s="394"/>
      <c r="AH253" s="394"/>
      <c r="AI253" s="394"/>
      <c r="AJ253" s="394"/>
      <c r="AK253" s="394"/>
      <c r="AL253" s="394"/>
      <c r="AM253" s="394"/>
      <c r="AN253" s="394"/>
      <c r="AO253" s="442" t="str">
        <f t="shared" si="147"/>
        <v>KEINE PRÜFUNG</v>
      </c>
      <c r="AP253" s="442"/>
      <c r="AQ253" s="442"/>
      <c r="AR253" s="442"/>
      <c r="AS253" s="442"/>
      <c r="AT253" s="442"/>
      <c r="AU253" s="442"/>
      <c r="AV253" s="442"/>
      <c r="AW253" s="394"/>
      <c r="AX253" s="395"/>
      <c r="AY253" s="395"/>
      <c r="AZ253" s="394"/>
      <c r="BA253" s="394"/>
      <c r="BB253" s="395" t="str">
        <f t="shared" si="148"/>
        <v>0 PKT.</v>
      </c>
      <c r="BC253" s="70"/>
      <c r="BD253" s="70"/>
      <c r="BE253" s="70"/>
      <c r="BF253" s="70"/>
      <c r="BG253" s="70"/>
      <c r="BH253" s="70"/>
      <c r="BI253" s="70"/>
      <c r="BJ253" s="70"/>
      <c r="BK253" s="70"/>
      <c r="BL253" s="70"/>
      <c r="BM253" s="70"/>
      <c r="BN253" s="70"/>
      <c r="BO253" s="70"/>
      <c r="BP253" s="70"/>
      <c r="BQ253" s="70"/>
      <c r="BR253" s="70"/>
      <c r="CX253" s="249" t="s">
        <v>19</v>
      </c>
      <c r="DB253">
        <f ca="1">COUNTIF(tabbermsp!$L$407:$M$420,"="&amp;DA253)+COUNTIF(tabbermsp!$L$422:$M$422,"="&amp;DA253)+1</f>
        <v>1</v>
      </c>
      <c r="DD253" s="138" t="str">
        <f t="shared" ca="1" si="162"/>
        <v>GRUPPENRUNDE</v>
      </c>
      <c r="DE253" s="138" t="str">
        <f t="shared" ca="1" si="163"/>
        <v/>
      </c>
      <c r="DH253" s="138"/>
      <c r="DL253" t="s">
        <v>253</v>
      </c>
      <c r="DN253">
        <v>49</v>
      </c>
      <c r="DO253" s="249">
        <v>1</v>
      </c>
      <c r="DP253" s="249">
        <v>0</v>
      </c>
      <c r="DQ253" s="249">
        <v>0</v>
      </c>
      <c r="DR253" s="249" t="b">
        <v>1</v>
      </c>
      <c r="DS253" s="138"/>
      <c r="DT253" s="138" t="str">
        <f t="shared" si="158"/>
        <v/>
      </c>
      <c r="DU253" t="s">
        <v>92</v>
      </c>
      <c r="DV253" s="287" t="e">
        <f t="shared" si="164"/>
        <v>#N/A</v>
      </c>
      <c r="DW253" s="311" t="str">
        <f t="shared" si="159"/>
        <v/>
      </c>
      <c r="DZ253" s="138" t="str">
        <f t="shared" si="151"/>
        <v/>
      </c>
      <c r="EB253">
        <v>0</v>
      </c>
      <c r="EC253">
        <f t="shared" si="160"/>
        <v>0</v>
      </c>
      <c r="ED253" s="138" t="str">
        <f t="shared" si="152"/>
        <v/>
      </c>
      <c r="EF253" s="285" t="str">
        <f t="shared" si="161"/>
        <v/>
      </c>
      <c r="EH253" s="138">
        <f t="shared" si="153"/>
        <v>0</v>
      </c>
      <c r="EJ253">
        <v>0</v>
      </c>
      <c r="EK253" s="57">
        <f t="shared" si="154"/>
        <v>0</v>
      </c>
      <c r="EM253">
        <f t="shared" si="155"/>
        <v>0</v>
      </c>
      <c r="EV253" s="154" t="str">
        <f t="shared" si="165"/>
        <v/>
      </c>
      <c r="EW253" t="s">
        <v>92</v>
      </c>
    </row>
    <row r="254" spans="19:153" ht="12.9" hidden="1" customHeight="1" thickBot="1" x14ac:dyDescent="0.25">
      <c r="S254" s="70"/>
      <c r="T254" s="280" t="s">
        <v>1140</v>
      </c>
      <c r="U254" s="308"/>
      <c r="V254" s="308"/>
      <c r="W254" s="308"/>
      <c r="X254" s="309"/>
      <c r="Y254" s="648"/>
      <c r="Z254" s="649"/>
      <c r="AA254" s="649"/>
      <c r="AB254" s="649"/>
      <c r="AC254" s="649"/>
      <c r="AD254" s="650"/>
      <c r="AE254" s="283" t="str">
        <f t="shared" si="149"/>
        <v>ˣ</v>
      </c>
      <c r="AF254" s="393" t="str">
        <f t="shared" ca="1" si="150"/>
        <v>GRUPPENRUNDE</v>
      </c>
      <c r="AG254" s="394"/>
      <c r="AH254" s="394"/>
      <c r="AI254" s="394"/>
      <c r="AJ254" s="394"/>
      <c r="AK254" s="394"/>
      <c r="AL254" s="394"/>
      <c r="AM254" s="394"/>
      <c r="AN254" s="394"/>
      <c r="AO254" s="442" t="str">
        <f t="shared" si="147"/>
        <v>KEINE PRÜFUNG</v>
      </c>
      <c r="AP254" s="442"/>
      <c r="AQ254" s="442"/>
      <c r="AR254" s="442"/>
      <c r="AS254" s="442"/>
      <c r="AT254" s="442"/>
      <c r="AU254" s="442"/>
      <c r="AV254" s="442"/>
      <c r="AW254" s="394"/>
      <c r="AX254" s="395"/>
      <c r="AY254" s="395"/>
      <c r="AZ254" s="394"/>
      <c r="BA254" s="394"/>
      <c r="BB254" s="395" t="str">
        <f t="shared" si="148"/>
        <v>0 PKT.</v>
      </c>
      <c r="BC254" s="70"/>
      <c r="BD254" s="70"/>
      <c r="BE254" s="70"/>
      <c r="BF254" s="70"/>
      <c r="BG254" s="70"/>
      <c r="BH254" s="70"/>
      <c r="BI254" s="70"/>
      <c r="BJ254" s="70"/>
      <c r="BK254" s="70"/>
      <c r="BL254" s="70"/>
      <c r="BM254" s="70"/>
      <c r="BN254" s="70"/>
      <c r="BO254" s="70"/>
      <c r="BP254" s="70"/>
      <c r="BQ254" s="70"/>
      <c r="BR254" s="70"/>
      <c r="CX254" s="249" t="s">
        <v>19</v>
      </c>
      <c r="DB254">
        <f ca="1">COUNTIF(tabbermsp!$L$407:$M$420,"="&amp;DA254)+COUNTIF(tabbermsp!$L$422:$M$422,"="&amp;DA254)+1</f>
        <v>1</v>
      </c>
      <c r="DD254" s="138" t="str">
        <f t="shared" ca="1" si="162"/>
        <v>GRUPPENRUNDE</v>
      </c>
      <c r="DE254" s="138" t="str">
        <f t="shared" ca="1" si="163"/>
        <v/>
      </c>
      <c r="DH254" s="138"/>
      <c r="DL254" t="s">
        <v>254</v>
      </c>
      <c r="DN254">
        <v>50</v>
      </c>
      <c r="DO254" s="249">
        <v>1</v>
      </c>
      <c r="DP254" s="249">
        <v>0</v>
      </c>
      <c r="DQ254" s="249">
        <v>0</v>
      </c>
      <c r="DR254" s="249" t="b">
        <v>1</v>
      </c>
      <c r="DS254" s="138"/>
      <c r="DT254" s="138" t="str">
        <f t="shared" si="158"/>
        <v/>
      </c>
      <c r="DU254" t="s">
        <v>92</v>
      </c>
      <c r="DV254" s="287" t="e">
        <f t="shared" si="164"/>
        <v>#N/A</v>
      </c>
      <c r="DW254" s="311" t="str">
        <f t="shared" si="159"/>
        <v/>
      </c>
      <c r="DZ254" s="138" t="str">
        <f t="shared" si="151"/>
        <v/>
      </c>
      <c r="EB254">
        <v>0</v>
      </c>
      <c r="EC254">
        <f t="shared" si="160"/>
        <v>0</v>
      </c>
      <c r="ED254" s="138" t="str">
        <f t="shared" si="152"/>
        <v/>
      </c>
      <c r="EF254" s="285" t="str">
        <f t="shared" si="161"/>
        <v/>
      </c>
      <c r="EH254" s="138">
        <f t="shared" si="153"/>
        <v>0</v>
      </c>
      <c r="EJ254">
        <v>0</v>
      </c>
      <c r="EK254" s="57">
        <f t="shared" si="154"/>
        <v>0</v>
      </c>
      <c r="EM254">
        <f t="shared" si="155"/>
        <v>0</v>
      </c>
      <c r="EV254" s="154" t="str">
        <f t="shared" si="165"/>
        <v/>
      </c>
      <c r="EW254" t="s">
        <v>92</v>
      </c>
    </row>
    <row r="255" spans="19:153" ht="12.9" hidden="1" customHeight="1" thickBot="1" x14ac:dyDescent="0.25">
      <c r="S255" s="70"/>
      <c r="T255" s="280" t="s">
        <v>1141</v>
      </c>
      <c r="U255" s="308"/>
      <c r="V255" s="308"/>
      <c r="W255" s="308"/>
      <c r="X255" s="309"/>
      <c r="Y255" s="648"/>
      <c r="Z255" s="649"/>
      <c r="AA255" s="649"/>
      <c r="AB255" s="649"/>
      <c r="AC255" s="649"/>
      <c r="AD255" s="650"/>
      <c r="AE255" s="283" t="str">
        <f t="shared" si="149"/>
        <v>ˣ</v>
      </c>
      <c r="AF255" s="393" t="str">
        <f t="shared" ca="1" si="150"/>
        <v>GRUPPENRUNDE</v>
      </c>
      <c r="AG255" s="394"/>
      <c r="AH255" s="394"/>
      <c r="AI255" s="394"/>
      <c r="AJ255" s="394"/>
      <c r="AK255" s="394"/>
      <c r="AL255" s="394"/>
      <c r="AM255" s="394"/>
      <c r="AN255" s="394"/>
      <c r="AO255" s="442" t="str">
        <f t="shared" si="147"/>
        <v>KEINE PRÜFUNG</v>
      </c>
      <c r="AP255" s="442"/>
      <c r="AQ255" s="442"/>
      <c r="AR255" s="442"/>
      <c r="AS255" s="442"/>
      <c r="AT255" s="442"/>
      <c r="AU255" s="442"/>
      <c r="AV255" s="442"/>
      <c r="AW255" s="394"/>
      <c r="AX255" s="395"/>
      <c r="AY255" s="395"/>
      <c r="AZ255" s="394"/>
      <c r="BA255" s="394"/>
      <c r="BB255" s="395" t="str">
        <f t="shared" si="148"/>
        <v>0 PKT.</v>
      </c>
      <c r="BC255" s="70"/>
      <c r="BD255" s="70"/>
      <c r="BE255" s="70"/>
      <c r="BF255" s="70"/>
      <c r="BG255" s="70"/>
      <c r="BH255" s="70"/>
      <c r="BI255" s="70"/>
      <c r="BJ255" s="70"/>
      <c r="BK255" s="70"/>
      <c r="BL255" s="70"/>
      <c r="BM255" s="70"/>
      <c r="BN255" s="70"/>
      <c r="BO255" s="70"/>
      <c r="BP255" s="70"/>
      <c r="BQ255" s="70"/>
      <c r="BR255" s="70"/>
      <c r="CX255" s="249" t="s">
        <v>19</v>
      </c>
      <c r="DB255">
        <f ca="1">COUNTIF(tabbermsp!$L$407:$M$420,"="&amp;DA255)+COUNTIF(tabbermsp!$L$422:$M$422,"="&amp;DA255)+1</f>
        <v>1</v>
      </c>
      <c r="DD255" s="138" t="str">
        <f t="shared" ca="1" si="162"/>
        <v>GRUPPENRUNDE</v>
      </c>
      <c r="DE255" s="138" t="str">
        <f t="shared" ca="1" si="163"/>
        <v/>
      </c>
      <c r="DH255" s="138"/>
      <c r="DL255" t="s">
        <v>255</v>
      </c>
      <c r="DN255">
        <v>51</v>
      </c>
      <c r="DO255" s="249">
        <v>1</v>
      </c>
      <c r="DP255" s="249">
        <v>0</v>
      </c>
      <c r="DQ255" s="249">
        <v>0</v>
      </c>
      <c r="DR255" s="249" t="b">
        <v>1</v>
      </c>
      <c r="DS255" s="138"/>
      <c r="DT255" s="138" t="str">
        <f t="shared" si="158"/>
        <v/>
      </c>
      <c r="DU255" t="s">
        <v>92</v>
      </c>
      <c r="DV255" s="287" t="e">
        <f t="shared" si="164"/>
        <v>#N/A</v>
      </c>
      <c r="DW255" s="311" t="str">
        <f t="shared" si="159"/>
        <v/>
      </c>
      <c r="DZ255" s="138" t="str">
        <f t="shared" si="151"/>
        <v/>
      </c>
      <c r="EB255">
        <v>0</v>
      </c>
      <c r="EC255">
        <f t="shared" si="160"/>
        <v>0</v>
      </c>
      <c r="ED255" s="138" t="str">
        <f t="shared" si="152"/>
        <v/>
      </c>
      <c r="EF255" s="285" t="str">
        <f t="shared" si="161"/>
        <v/>
      </c>
      <c r="EH255" s="138">
        <f t="shared" si="153"/>
        <v>0</v>
      </c>
      <c r="EJ255">
        <v>0</v>
      </c>
      <c r="EK255" s="57">
        <f t="shared" si="154"/>
        <v>0</v>
      </c>
      <c r="EM255">
        <f t="shared" si="155"/>
        <v>0</v>
      </c>
      <c r="EV255" s="154" t="str">
        <f t="shared" si="165"/>
        <v/>
      </c>
      <c r="EW255" t="s">
        <v>92</v>
      </c>
    </row>
    <row r="256" spans="19:153" ht="12.9" hidden="1" customHeight="1" thickBot="1" x14ac:dyDescent="0.25">
      <c r="S256" s="70"/>
      <c r="T256" s="280" t="s">
        <v>1142</v>
      </c>
      <c r="U256" s="308"/>
      <c r="V256" s="308"/>
      <c r="W256" s="308"/>
      <c r="X256" s="309"/>
      <c r="Y256" s="648"/>
      <c r="Z256" s="649"/>
      <c r="AA256" s="649"/>
      <c r="AB256" s="649"/>
      <c r="AC256" s="649"/>
      <c r="AD256" s="650"/>
      <c r="AE256" s="283" t="str">
        <f t="shared" si="149"/>
        <v>ˣ</v>
      </c>
      <c r="AF256" s="393" t="str">
        <f t="shared" ca="1" si="150"/>
        <v>GRUPPENRUNDE</v>
      </c>
      <c r="AG256" s="394"/>
      <c r="AH256" s="394"/>
      <c r="AI256" s="394"/>
      <c r="AJ256" s="394"/>
      <c r="AK256" s="394"/>
      <c r="AL256" s="394"/>
      <c r="AM256" s="394"/>
      <c r="AN256" s="394"/>
      <c r="AO256" s="442" t="str">
        <f t="shared" si="147"/>
        <v>KEINE PRÜFUNG</v>
      </c>
      <c r="AP256" s="442"/>
      <c r="AQ256" s="442"/>
      <c r="AR256" s="442"/>
      <c r="AS256" s="442"/>
      <c r="AT256" s="442"/>
      <c r="AU256" s="442"/>
      <c r="AV256" s="442"/>
      <c r="AW256" s="394"/>
      <c r="AX256" s="395"/>
      <c r="AY256" s="395"/>
      <c r="AZ256" s="394"/>
      <c r="BA256" s="394"/>
      <c r="BB256" s="395" t="str">
        <f t="shared" si="148"/>
        <v>0 PKT.</v>
      </c>
      <c r="BC256" s="70"/>
      <c r="BD256" s="70"/>
      <c r="BE256" s="70"/>
      <c r="BF256" s="70"/>
      <c r="BG256" s="70"/>
      <c r="BH256" s="70"/>
      <c r="BI256" s="70"/>
      <c r="BJ256" s="70"/>
      <c r="BK256" s="70"/>
      <c r="BL256" s="70"/>
      <c r="BM256" s="70"/>
      <c r="BN256" s="70"/>
      <c r="BO256" s="70"/>
      <c r="BP256" s="70"/>
      <c r="BQ256" s="70"/>
      <c r="BR256" s="70"/>
      <c r="CX256" s="249" t="s">
        <v>19</v>
      </c>
      <c r="DB256">
        <f ca="1">COUNTIF(tabbermsp!$L$407:$M$420,"="&amp;DA256)+COUNTIF(tabbermsp!$L$422:$M$422,"="&amp;DA256)+1</f>
        <v>1</v>
      </c>
      <c r="DD256" s="138" t="str">
        <f t="shared" ca="1" si="162"/>
        <v>GRUPPENRUNDE</v>
      </c>
      <c r="DE256" s="138" t="str">
        <f t="shared" ca="1" si="163"/>
        <v/>
      </c>
      <c r="DH256" s="138"/>
      <c r="DL256" t="s">
        <v>256</v>
      </c>
      <c r="DN256">
        <v>52</v>
      </c>
      <c r="DO256" s="249">
        <v>1</v>
      </c>
      <c r="DP256" s="249">
        <v>0</v>
      </c>
      <c r="DQ256" s="249">
        <v>0</v>
      </c>
      <c r="DR256" s="249" t="b">
        <v>1</v>
      </c>
      <c r="DS256" s="138"/>
      <c r="DT256" s="138" t="str">
        <f t="shared" si="158"/>
        <v/>
      </c>
      <c r="DU256" t="s">
        <v>92</v>
      </c>
      <c r="DV256" s="287" t="e">
        <f t="shared" si="164"/>
        <v>#N/A</v>
      </c>
      <c r="DW256" s="311" t="str">
        <f t="shared" si="159"/>
        <v/>
      </c>
      <c r="DZ256" s="138" t="str">
        <f t="shared" si="151"/>
        <v/>
      </c>
      <c r="EB256">
        <v>0</v>
      </c>
      <c r="EC256">
        <f t="shared" si="160"/>
        <v>0</v>
      </c>
      <c r="ED256" s="138" t="str">
        <f t="shared" si="152"/>
        <v/>
      </c>
      <c r="EF256" s="285" t="str">
        <f t="shared" si="161"/>
        <v/>
      </c>
      <c r="EH256" s="138">
        <f t="shared" si="153"/>
        <v>0</v>
      </c>
      <c r="EJ256">
        <v>0</v>
      </c>
      <c r="EK256" s="57">
        <f t="shared" si="154"/>
        <v>0</v>
      </c>
      <c r="EM256">
        <f t="shared" si="155"/>
        <v>0</v>
      </c>
      <c r="EV256" s="154" t="str">
        <f t="shared" si="165"/>
        <v/>
      </c>
      <c r="EW256" t="s">
        <v>92</v>
      </c>
    </row>
    <row r="257" spans="19:153" ht="12.9" hidden="1" customHeight="1" thickBot="1" x14ac:dyDescent="0.25">
      <c r="S257" s="70"/>
      <c r="T257" s="280" t="s">
        <v>1143</v>
      </c>
      <c r="U257" s="308"/>
      <c r="V257" s="308"/>
      <c r="W257" s="308"/>
      <c r="X257" s="309"/>
      <c r="Y257" s="648"/>
      <c r="Z257" s="649"/>
      <c r="AA257" s="649"/>
      <c r="AB257" s="649"/>
      <c r="AC257" s="649"/>
      <c r="AD257" s="650"/>
      <c r="AE257" s="283" t="str">
        <f t="shared" si="149"/>
        <v>ˣ</v>
      </c>
      <c r="AF257" s="393" t="str">
        <f t="shared" ca="1" si="150"/>
        <v>GRUPPENRUNDE</v>
      </c>
      <c r="AG257" s="394"/>
      <c r="AH257" s="394"/>
      <c r="AI257" s="394"/>
      <c r="AJ257" s="394"/>
      <c r="AK257" s="394"/>
      <c r="AL257" s="394"/>
      <c r="AM257" s="394"/>
      <c r="AN257" s="394"/>
      <c r="AO257" s="442" t="str">
        <f t="shared" si="147"/>
        <v>KEINE PRÜFUNG</v>
      </c>
      <c r="AP257" s="442"/>
      <c r="AQ257" s="442"/>
      <c r="AR257" s="442"/>
      <c r="AS257" s="442"/>
      <c r="AT257" s="442"/>
      <c r="AU257" s="442"/>
      <c r="AV257" s="442"/>
      <c r="AW257" s="394"/>
      <c r="AX257" s="395"/>
      <c r="AY257" s="395"/>
      <c r="AZ257" s="394"/>
      <c r="BA257" s="394"/>
      <c r="BB257" s="395" t="str">
        <f t="shared" si="148"/>
        <v>0 PKT.</v>
      </c>
      <c r="BC257" s="70"/>
      <c r="BD257" s="70"/>
      <c r="BE257" s="70"/>
      <c r="BF257" s="70"/>
      <c r="BG257" s="70"/>
      <c r="BH257" s="70"/>
      <c r="BI257" s="70"/>
      <c r="BJ257" s="70"/>
      <c r="BK257" s="70"/>
      <c r="BL257" s="70"/>
      <c r="BM257" s="70"/>
      <c r="BN257" s="70"/>
      <c r="BO257" s="70"/>
      <c r="BP257" s="70"/>
      <c r="BQ257" s="70"/>
      <c r="BR257" s="70"/>
      <c r="CX257" s="249" t="s">
        <v>19</v>
      </c>
      <c r="DB257">
        <f ca="1">COUNTIF(tabbermsp!$L$407:$M$420,"="&amp;DA257)+COUNTIF(tabbermsp!$L$422:$M$422,"="&amp;DA257)+1</f>
        <v>1</v>
      </c>
      <c r="DD257" s="138" t="str">
        <f t="shared" ca="1" si="162"/>
        <v>GRUPPENRUNDE</v>
      </c>
      <c r="DE257" s="138" t="str">
        <f t="shared" ca="1" si="163"/>
        <v/>
      </c>
      <c r="DH257" s="138"/>
      <c r="DL257" t="s">
        <v>257</v>
      </c>
      <c r="DN257">
        <v>53</v>
      </c>
      <c r="DO257" s="249">
        <v>1</v>
      </c>
      <c r="DP257" s="249">
        <v>0</v>
      </c>
      <c r="DQ257" s="249">
        <v>0</v>
      </c>
      <c r="DR257" s="249" t="b">
        <v>1</v>
      </c>
      <c r="DS257" s="138"/>
      <c r="DT257" s="138" t="str">
        <f t="shared" si="158"/>
        <v/>
      </c>
      <c r="DU257" t="s">
        <v>92</v>
      </c>
      <c r="DV257" s="287" t="e">
        <f t="shared" si="164"/>
        <v>#N/A</v>
      </c>
      <c r="DW257" s="311" t="str">
        <f t="shared" si="159"/>
        <v/>
      </c>
      <c r="DZ257" s="138" t="str">
        <f t="shared" si="151"/>
        <v/>
      </c>
      <c r="EB257">
        <v>0</v>
      </c>
      <c r="EC257">
        <f t="shared" si="160"/>
        <v>0</v>
      </c>
      <c r="ED257" s="138" t="str">
        <f t="shared" si="152"/>
        <v/>
      </c>
      <c r="EF257" s="285" t="str">
        <f t="shared" si="161"/>
        <v/>
      </c>
      <c r="EH257" s="138">
        <f t="shared" si="153"/>
        <v>0</v>
      </c>
      <c r="EJ257">
        <v>0</v>
      </c>
      <c r="EK257" s="57">
        <f t="shared" si="154"/>
        <v>0</v>
      </c>
      <c r="EM257">
        <f t="shared" si="155"/>
        <v>0</v>
      </c>
      <c r="EV257" s="154" t="str">
        <f t="shared" si="165"/>
        <v/>
      </c>
      <c r="EW257" t="s">
        <v>92</v>
      </c>
    </row>
    <row r="258" spans="19:153" ht="12.9" hidden="1" customHeight="1" thickBot="1" x14ac:dyDescent="0.25">
      <c r="S258" s="70"/>
      <c r="T258" s="280" t="s">
        <v>1144</v>
      </c>
      <c r="U258" s="308"/>
      <c r="V258" s="308"/>
      <c r="W258" s="308"/>
      <c r="X258" s="309"/>
      <c r="Y258" s="648"/>
      <c r="Z258" s="649"/>
      <c r="AA258" s="649"/>
      <c r="AB258" s="649"/>
      <c r="AC258" s="649"/>
      <c r="AD258" s="650"/>
      <c r="AE258" s="283" t="str">
        <f t="shared" si="149"/>
        <v>ˣ</v>
      </c>
      <c r="AF258" s="393" t="str">
        <f t="shared" ca="1" si="150"/>
        <v>GRUPPENRUNDE</v>
      </c>
      <c r="AG258" s="394"/>
      <c r="AH258" s="394"/>
      <c r="AI258" s="394"/>
      <c r="AJ258" s="394"/>
      <c r="AK258" s="394"/>
      <c r="AL258" s="394"/>
      <c r="AM258" s="394"/>
      <c r="AN258" s="394"/>
      <c r="AO258" s="442" t="str">
        <f t="shared" si="147"/>
        <v>KEINE PRÜFUNG</v>
      </c>
      <c r="AP258" s="442"/>
      <c r="AQ258" s="442"/>
      <c r="AR258" s="442"/>
      <c r="AS258" s="442"/>
      <c r="AT258" s="442"/>
      <c r="AU258" s="442"/>
      <c r="AV258" s="442"/>
      <c r="AW258" s="394"/>
      <c r="AX258" s="395"/>
      <c r="AY258" s="395"/>
      <c r="AZ258" s="394"/>
      <c r="BA258" s="394"/>
      <c r="BB258" s="395" t="str">
        <f t="shared" si="148"/>
        <v>0 PKT.</v>
      </c>
      <c r="BC258" s="70"/>
      <c r="BD258" s="70"/>
      <c r="BE258" s="70"/>
      <c r="BF258" s="70"/>
      <c r="BG258" s="70"/>
      <c r="BH258" s="70"/>
      <c r="BI258" s="70"/>
      <c r="BJ258" s="70"/>
      <c r="BK258" s="70"/>
      <c r="BL258" s="70"/>
      <c r="BM258" s="70"/>
      <c r="BN258" s="70"/>
      <c r="BO258" s="70"/>
      <c r="BP258" s="70"/>
      <c r="BQ258" s="70"/>
      <c r="BR258" s="70"/>
      <c r="CX258" s="249" t="s">
        <v>19</v>
      </c>
      <c r="DB258">
        <f ca="1">COUNTIF(tabbermsp!$L$407:$M$420,"="&amp;DA258)+COUNTIF(tabbermsp!$L$422:$M$422,"="&amp;DA258)+1</f>
        <v>1</v>
      </c>
      <c r="DD258" s="138" t="str">
        <f t="shared" ca="1" si="162"/>
        <v>GRUPPENRUNDE</v>
      </c>
      <c r="DE258" s="138" t="str">
        <f t="shared" ca="1" si="163"/>
        <v/>
      </c>
      <c r="DH258" s="138"/>
      <c r="DL258" t="s">
        <v>258</v>
      </c>
      <c r="DN258">
        <v>54</v>
      </c>
      <c r="DO258" s="249">
        <v>1</v>
      </c>
      <c r="DP258" s="249">
        <v>0</v>
      </c>
      <c r="DQ258" s="249">
        <v>0</v>
      </c>
      <c r="DR258" s="249" t="b">
        <v>1</v>
      </c>
      <c r="DS258" s="138"/>
      <c r="DT258" s="138" t="str">
        <f t="shared" si="158"/>
        <v/>
      </c>
      <c r="DU258" t="s">
        <v>92</v>
      </c>
      <c r="DV258" s="287" t="e">
        <f t="shared" si="164"/>
        <v>#N/A</v>
      </c>
      <c r="DW258" s="311" t="str">
        <f t="shared" si="159"/>
        <v/>
      </c>
      <c r="DZ258" s="138" t="str">
        <f t="shared" si="151"/>
        <v/>
      </c>
      <c r="EB258">
        <v>0</v>
      </c>
      <c r="EC258">
        <f t="shared" si="160"/>
        <v>0</v>
      </c>
      <c r="ED258" s="138" t="str">
        <f t="shared" si="152"/>
        <v/>
      </c>
      <c r="EF258" s="285" t="str">
        <f t="shared" si="161"/>
        <v/>
      </c>
      <c r="EH258" s="138">
        <f t="shared" si="153"/>
        <v>0</v>
      </c>
      <c r="EJ258">
        <v>0</v>
      </c>
      <c r="EK258" s="57">
        <f t="shared" si="154"/>
        <v>0</v>
      </c>
      <c r="EM258">
        <f t="shared" si="155"/>
        <v>0</v>
      </c>
      <c r="EV258" s="154" t="str">
        <f t="shared" si="165"/>
        <v/>
      </c>
      <c r="EW258" t="s">
        <v>92</v>
      </c>
    </row>
    <row r="259" spans="19:153" ht="12.9" hidden="1" customHeight="1" thickBot="1" x14ac:dyDescent="0.25">
      <c r="S259" s="70"/>
      <c r="T259" s="280" t="s">
        <v>243</v>
      </c>
      <c r="U259" s="308"/>
      <c r="V259" s="308"/>
      <c r="W259" s="308"/>
      <c r="X259" s="309"/>
      <c r="Y259" s="648"/>
      <c r="Z259" s="649"/>
      <c r="AA259" s="649"/>
      <c r="AB259" s="649"/>
      <c r="AC259" s="649"/>
      <c r="AD259" s="650"/>
      <c r="AE259" s="283" t="str">
        <f t="shared" si="149"/>
        <v>ˣ</v>
      </c>
      <c r="AF259" s="393" t="str">
        <f t="shared" ca="1" si="150"/>
        <v>GRUPPENRUNDE</v>
      </c>
      <c r="AG259" s="394"/>
      <c r="AH259" s="394"/>
      <c r="AI259" s="394"/>
      <c r="AJ259" s="394"/>
      <c r="AK259" s="394"/>
      <c r="AL259" s="394"/>
      <c r="AM259" s="394"/>
      <c r="AN259" s="394"/>
      <c r="AO259" s="442" t="str">
        <f t="shared" si="147"/>
        <v>KEINE PRÜFUNG</v>
      </c>
      <c r="AP259" s="442"/>
      <c r="AQ259" s="442"/>
      <c r="AR259" s="442"/>
      <c r="AS259" s="442"/>
      <c r="AT259" s="442"/>
      <c r="AU259" s="442"/>
      <c r="AV259" s="442"/>
      <c r="AW259" s="394"/>
      <c r="AX259" s="395"/>
      <c r="AY259" s="395"/>
      <c r="AZ259" s="394"/>
      <c r="BA259" s="394"/>
      <c r="BB259" s="395" t="str">
        <f t="shared" si="148"/>
        <v>0 PKT.</v>
      </c>
      <c r="BC259" s="70"/>
      <c r="BD259" s="70"/>
      <c r="BE259" s="70"/>
      <c r="BF259" s="70"/>
      <c r="BG259" s="70"/>
      <c r="BH259" s="70"/>
      <c r="BI259" s="70"/>
      <c r="BJ259" s="70"/>
      <c r="BK259" s="70"/>
      <c r="BL259" s="70"/>
      <c r="BM259" s="70"/>
      <c r="BN259" s="70"/>
      <c r="BO259" s="70"/>
      <c r="BP259" s="70"/>
      <c r="BQ259" s="70"/>
      <c r="BR259" s="70"/>
      <c r="CX259" s="249" t="s">
        <v>19</v>
      </c>
      <c r="DB259">
        <f ca="1">COUNTIF(tabbermsp!$L$407:$M$420,"="&amp;DA259)+COUNTIF(tabbermsp!$L$422:$M$422,"="&amp;DA259)+1</f>
        <v>1</v>
      </c>
      <c r="DD259" s="138" t="str">
        <f t="shared" ca="1" si="162"/>
        <v>GRUPPENRUNDE</v>
      </c>
      <c r="DE259" s="138" t="str">
        <f t="shared" ca="1" si="163"/>
        <v/>
      </c>
      <c r="DH259" s="138"/>
      <c r="DL259" t="s">
        <v>259</v>
      </c>
      <c r="DN259">
        <v>55</v>
      </c>
      <c r="DO259" s="249">
        <v>1</v>
      </c>
      <c r="DP259" s="249">
        <v>0</v>
      </c>
      <c r="DQ259" s="249">
        <v>0</v>
      </c>
      <c r="DR259" s="249" t="b">
        <v>1</v>
      </c>
      <c r="DS259" s="138"/>
      <c r="DT259" s="138" t="str">
        <f t="shared" si="158"/>
        <v/>
      </c>
      <c r="DU259" t="s">
        <v>92</v>
      </c>
      <c r="DV259" s="287" t="e">
        <f t="shared" si="164"/>
        <v>#N/A</v>
      </c>
      <c r="DW259" s="311" t="str">
        <f t="shared" si="159"/>
        <v/>
      </c>
      <c r="DZ259" s="138" t="str">
        <f t="shared" si="151"/>
        <v/>
      </c>
      <c r="EB259">
        <v>0</v>
      </c>
      <c r="EC259">
        <f t="shared" si="160"/>
        <v>0</v>
      </c>
      <c r="ED259" s="138" t="str">
        <f t="shared" si="152"/>
        <v/>
      </c>
      <c r="EF259" s="285" t="str">
        <f t="shared" si="161"/>
        <v/>
      </c>
      <c r="EH259" s="138">
        <f t="shared" si="153"/>
        <v>0</v>
      </c>
      <c r="EJ259">
        <v>0</v>
      </c>
      <c r="EK259" s="57">
        <f t="shared" si="154"/>
        <v>0</v>
      </c>
      <c r="EM259">
        <f t="shared" si="155"/>
        <v>0</v>
      </c>
      <c r="EV259" s="154" t="str">
        <f t="shared" si="165"/>
        <v/>
      </c>
      <c r="EW259" t="s">
        <v>92</v>
      </c>
    </row>
    <row r="260" spans="19:153" ht="12.9" hidden="1" customHeight="1" thickBot="1" x14ac:dyDescent="0.25">
      <c r="S260" s="70"/>
      <c r="T260" s="280" t="s">
        <v>1145</v>
      </c>
      <c r="U260" s="308"/>
      <c r="V260" s="308"/>
      <c r="W260" s="308"/>
      <c r="X260" s="309"/>
      <c r="Y260" s="648"/>
      <c r="Z260" s="649"/>
      <c r="AA260" s="649"/>
      <c r="AB260" s="649"/>
      <c r="AC260" s="649"/>
      <c r="AD260" s="650"/>
      <c r="AE260" s="283" t="str">
        <f t="shared" si="149"/>
        <v>ˣ</v>
      </c>
      <c r="AF260" s="393" t="str">
        <f t="shared" ca="1" si="150"/>
        <v>GRUPPENRUNDE</v>
      </c>
      <c r="AG260" s="394"/>
      <c r="AH260" s="394"/>
      <c r="AI260" s="394"/>
      <c r="AJ260" s="394"/>
      <c r="AK260" s="394"/>
      <c r="AL260" s="394"/>
      <c r="AM260" s="394"/>
      <c r="AN260" s="394"/>
      <c r="AO260" s="442" t="str">
        <f t="shared" si="147"/>
        <v>KEINE PRÜFUNG</v>
      </c>
      <c r="AP260" s="442"/>
      <c r="AQ260" s="442"/>
      <c r="AR260" s="442"/>
      <c r="AS260" s="442"/>
      <c r="AT260" s="442"/>
      <c r="AU260" s="442"/>
      <c r="AV260" s="442"/>
      <c r="AW260" s="394"/>
      <c r="AX260" s="395"/>
      <c r="AY260" s="395"/>
      <c r="AZ260" s="394"/>
      <c r="BA260" s="394"/>
      <c r="BB260" s="395" t="str">
        <f t="shared" si="148"/>
        <v>0 PKT.</v>
      </c>
      <c r="BC260" s="70"/>
      <c r="BD260" s="70"/>
      <c r="BE260" s="70"/>
      <c r="BF260" s="70"/>
      <c r="BG260" s="70"/>
      <c r="BH260" s="70"/>
      <c r="BI260" s="70"/>
      <c r="BJ260" s="70"/>
      <c r="BK260" s="70"/>
      <c r="BL260" s="70"/>
      <c r="BM260" s="70"/>
      <c r="BN260" s="70"/>
      <c r="BO260" s="70"/>
      <c r="BP260" s="70"/>
      <c r="BQ260" s="70"/>
      <c r="BR260" s="70"/>
      <c r="CX260" s="249" t="s">
        <v>19</v>
      </c>
      <c r="DB260">
        <f ca="1">COUNTIF(tabbermsp!$L$407:$M$420,"="&amp;DA260)+COUNTIF(tabbermsp!$L$422:$M$422,"="&amp;DA260)+1</f>
        <v>1</v>
      </c>
      <c r="DD260" s="138" t="str">
        <f t="shared" ca="1" si="162"/>
        <v>GRUPPENRUNDE</v>
      </c>
      <c r="DE260" s="138" t="str">
        <f t="shared" ca="1" si="163"/>
        <v/>
      </c>
      <c r="DH260" s="138"/>
      <c r="DL260" t="s">
        <v>260</v>
      </c>
      <c r="DN260">
        <v>56</v>
      </c>
      <c r="DO260" s="249">
        <v>1</v>
      </c>
      <c r="DP260" s="249">
        <v>0</v>
      </c>
      <c r="DQ260" s="249">
        <v>0</v>
      </c>
      <c r="DR260" s="249" t="b">
        <v>1</v>
      </c>
      <c r="DS260" s="138"/>
      <c r="DT260" s="138" t="str">
        <f t="shared" si="158"/>
        <v/>
      </c>
      <c r="DU260" t="s">
        <v>92</v>
      </c>
      <c r="DV260" s="287" t="e">
        <f t="shared" si="164"/>
        <v>#N/A</v>
      </c>
      <c r="DW260" s="311" t="str">
        <f t="shared" si="159"/>
        <v/>
      </c>
      <c r="DZ260" s="138" t="str">
        <f t="shared" si="151"/>
        <v/>
      </c>
      <c r="EB260">
        <v>0</v>
      </c>
      <c r="EC260">
        <f t="shared" si="160"/>
        <v>0</v>
      </c>
      <c r="ED260" s="138" t="str">
        <f t="shared" si="152"/>
        <v/>
      </c>
      <c r="EF260" s="285" t="str">
        <f t="shared" si="161"/>
        <v/>
      </c>
      <c r="EH260" s="138">
        <f t="shared" si="153"/>
        <v>0</v>
      </c>
      <c r="EJ260">
        <v>0</v>
      </c>
      <c r="EK260" s="57">
        <f t="shared" si="154"/>
        <v>0</v>
      </c>
      <c r="EM260">
        <f t="shared" si="155"/>
        <v>0</v>
      </c>
      <c r="EV260" s="154" t="str">
        <f t="shared" si="165"/>
        <v/>
      </c>
      <c r="EW260" t="s">
        <v>92</v>
      </c>
    </row>
    <row r="261" spans="19:153" ht="12.9" hidden="1" customHeight="1" thickBot="1" x14ac:dyDescent="0.25">
      <c r="S261" s="70"/>
      <c r="T261" s="280" t="s">
        <v>1146</v>
      </c>
      <c r="U261" s="308"/>
      <c r="V261" s="308"/>
      <c r="W261" s="308"/>
      <c r="X261" s="309"/>
      <c r="Y261" s="648"/>
      <c r="Z261" s="649"/>
      <c r="AA261" s="649"/>
      <c r="AB261" s="649"/>
      <c r="AC261" s="649"/>
      <c r="AD261" s="650"/>
      <c r="AE261" s="283" t="str">
        <f t="shared" si="149"/>
        <v>ˣ</v>
      </c>
      <c r="AF261" s="393" t="str">
        <f t="shared" ca="1" si="150"/>
        <v>GRUPPENRUNDE</v>
      </c>
      <c r="AG261" s="394"/>
      <c r="AH261" s="394"/>
      <c r="AI261" s="394"/>
      <c r="AJ261" s="394"/>
      <c r="AK261" s="394"/>
      <c r="AL261" s="394"/>
      <c r="AM261" s="394"/>
      <c r="AN261" s="394"/>
      <c r="AO261" s="442" t="str">
        <f t="shared" si="147"/>
        <v>KEINE PRÜFUNG</v>
      </c>
      <c r="AP261" s="442"/>
      <c r="AQ261" s="442"/>
      <c r="AR261" s="442"/>
      <c r="AS261" s="442"/>
      <c r="AT261" s="442"/>
      <c r="AU261" s="442"/>
      <c r="AV261" s="442"/>
      <c r="AW261" s="394"/>
      <c r="AX261" s="395"/>
      <c r="AY261" s="395"/>
      <c r="AZ261" s="394"/>
      <c r="BA261" s="394"/>
      <c r="BB261" s="395" t="str">
        <f t="shared" si="148"/>
        <v>0 PKT.</v>
      </c>
      <c r="BC261" s="70"/>
      <c r="BD261" s="70"/>
      <c r="BE261" s="70"/>
      <c r="BF261" s="70"/>
      <c r="BG261" s="70"/>
      <c r="BH261" s="70"/>
      <c r="BI261" s="70"/>
      <c r="BJ261" s="70"/>
      <c r="BK261" s="70"/>
      <c r="BL261" s="70"/>
      <c r="BM261" s="70"/>
      <c r="BN261" s="70"/>
      <c r="BO261" s="70"/>
      <c r="BP261" s="70"/>
      <c r="BQ261" s="70"/>
      <c r="BR261" s="70"/>
      <c r="CX261" s="249" t="s">
        <v>19</v>
      </c>
      <c r="DB261">
        <f ca="1">COUNTIF(tabbermsp!$L$407:$M$420,"="&amp;DA261)+COUNTIF(tabbermsp!$L$422:$M$422,"="&amp;DA261)+1</f>
        <v>1</v>
      </c>
      <c r="DD261" s="138" t="str">
        <f t="shared" ca="1" si="162"/>
        <v>GRUPPENRUNDE</v>
      </c>
      <c r="DE261" s="138" t="str">
        <f t="shared" ca="1" si="163"/>
        <v/>
      </c>
      <c r="DH261" s="138"/>
      <c r="DL261" t="s">
        <v>261</v>
      </c>
      <c r="DN261">
        <v>57</v>
      </c>
      <c r="DO261" s="249">
        <v>1</v>
      </c>
      <c r="DP261" s="249">
        <v>0</v>
      </c>
      <c r="DQ261" s="249">
        <v>0</v>
      </c>
      <c r="DR261" s="249" t="b">
        <v>1</v>
      </c>
      <c r="DS261" s="138"/>
      <c r="DT261" s="138" t="str">
        <f t="shared" si="158"/>
        <v/>
      </c>
      <c r="DU261" t="s">
        <v>92</v>
      </c>
      <c r="DV261" s="287" t="e">
        <f t="shared" si="164"/>
        <v>#N/A</v>
      </c>
      <c r="DW261" s="311" t="str">
        <f t="shared" si="159"/>
        <v/>
      </c>
      <c r="DZ261" s="138" t="str">
        <f t="shared" si="151"/>
        <v/>
      </c>
      <c r="EB261">
        <v>0</v>
      </c>
      <c r="EC261">
        <f t="shared" si="160"/>
        <v>0</v>
      </c>
      <c r="ED261" s="138" t="str">
        <f t="shared" si="152"/>
        <v/>
      </c>
      <c r="EF261" s="285" t="str">
        <f t="shared" si="161"/>
        <v/>
      </c>
      <c r="EH261" s="138">
        <f t="shared" si="153"/>
        <v>0</v>
      </c>
      <c r="EJ261">
        <v>0</v>
      </c>
      <c r="EK261" s="57">
        <f t="shared" si="154"/>
        <v>0</v>
      </c>
      <c r="EM261">
        <f t="shared" si="155"/>
        <v>0</v>
      </c>
      <c r="EV261" s="154" t="str">
        <f t="shared" si="165"/>
        <v/>
      </c>
      <c r="EW261" t="s">
        <v>92</v>
      </c>
    </row>
    <row r="262" spans="19:153" ht="12.9" hidden="1" customHeight="1" thickBot="1" x14ac:dyDescent="0.25">
      <c r="S262" s="70"/>
      <c r="T262" s="280" t="s">
        <v>244</v>
      </c>
      <c r="U262" s="308"/>
      <c r="V262" s="308"/>
      <c r="W262" s="308"/>
      <c r="X262" s="309"/>
      <c r="Y262" s="648"/>
      <c r="Z262" s="649"/>
      <c r="AA262" s="649"/>
      <c r="AB262" s="649"/>
      <c r="AC262" s="649"/>
      <c r="AD262" s="650"/>
      <c r="AE262" s="283" t="str">
        <f t="shared" si="149"/>
        <v>ˣ</v>
      </c>
      <c r="AF262" s="393" t="str">
        <f t="shared" ca="1" si="150"/>
        <v>GRUPPENRUNDE</v>
      </c>
      <c r="AG262" s="394"/>
      <c r="AH262" s="394"/>
      <c r="AI262" s="394"/>
      <c r="AJ262" s="394"/>
      <c r="AK262" s="394"/>
      <c r="AL262" s="394"/>
      <c r="AM262" s="394"/>
      <c r="AN262" s="394"/>
      <c r="AO262" s="442" t="str">
        <f t="shared" si="147"/>
        <v>KEINE PRÜFUNG</v>
      </c>
      <c r="AP262" s="442"/>
      <c r="AQ262" s="442"/>
      <c r="AR262" s="442"/>
      <c r="AS262" s="442"/>
      <c r="AT262" s="442"/>
      <c r="AU262" s="442"/>
      <c r="AV262" s="442"/>
      <c r="AW262" s="394"/>
      <c r="AX262" s="395"/>
      <c r="AY262" s="395"/>
      <c r="AZ262" s="394"/>
      <c r="BA262" s="394"/>
      <c r="BB262" s="395" t="str">
        <f t="shared" si="148"/>
        <v>0 PKT.</v>
      </c>
      <c r="BC262" s="70"/>
      <c r="BD262" s="70"/>
      <c r="BE262" s="70"/>
      <c r="BF262" s="70"/>
      <c r="BG262" s="70"/>
      <c r="BH262" s="70"/>
      <c r="BI262" s="70"/>
      <c r="BJ262" s="70"/>
      <c r="BK262" s="70"/>
      <c r="BL262" s="70"/>
      <c r="BM262" s="70"/>
      <c r="BN262" s="70"/>
      <c r="BO262" s="70"/>
      <c r="BP262" s="70"/>
      <c r="BQ262" s="70"/>
      <c r="BR262" s="70"/>
      <c r="CX262" s="249" t="s">
        <v>19</v>
      </c>
      <c r="DB262">
        <f ca="1">COUNTIF(tabbermsp!$L$407:$M$420,"="&amp;DA262)+COUNTIF(tabbermsp!$L$422:$M$422,"="&amp;DA262)+1</f>
        <v>1</v>
      </c>
      <c r="DD262" s="138" t="str">
        <f t="shared" ca="1" si="162"/>
        <v>GRUPPENRUNDE</v>
      </c>
      <c r="DE262" s="138" t="str">
        <f t="shared" ca="1" si="163"/>
        <v/>
      </c>
      <c r="DH262" s="138"/>
      <c r="DL262" t="s">
        <v>262</v>
      </c>
      <c r="DN262">
        <v>58</v>
      </c>
      <c r="DO262" s="249">
        <v>1</v>
      </c>
      <c r="DP262" s="249">
        <v>0</v>
      </c>
      <c r="DQ262" s="249">
        <v>0</v>
      </c>
      <c r="DR262" s="249" t="b">
        <v>1</v>
      </c>
      <c r="DS262" s="138"/>
      <c r="DT262" s="138" t="str">
        <f t="shared" si="158"/>
        <v/>
      </c>
      <c r="DU262" t="s">
        <v>92</v>
      </c>
      <c r="DV262" s="287" t="e">
        <f t="shared" si="164"/>
        <v>#N/A</v>
      </c>
      <c r="DW262" s="311" t="str">
        <f t="shared" si="159"/>
        <v/>
      </c>
      <c r="DZ262" s="138" t="str">
        <f t="shared" si="151"/>
        <v/>
      </c>
      <c r="EB262">
        <v>0</v>
      </c>
      <c r="EC262">
        <f t="shared" si="160"/>
        <v>0</v>
      </c>
      <c r="ED262" s="138" t="str">
        <f t="shared" si="152"/>
        <v/>
      </c>
      <c r="EF262" s="285" t="str">
        <f t="shared" si="161"/>
        <v/>
      </c>
      <c r="EH262" s="138">
        <f t="shared" si="153"/>
        <v>0</v>
      </c>
      <c r="EJ262">
        <v>0</v>
      </c>
      <c r="EK262" s="57">
        <f t="shared" si="154"/>
        <v>0</v>
      </c>
      <c r="EM262">
        <f t="shared" si="155"/>
        <v>0</v>
      </c>
      <c r="EV262" s="154" t="str">
        <f t="shared" si="165"/>
        <v/>
      </c>
      <c r="EW262" t="s">
        <v>92</v>
      </c>
    </row>
    <row r="263" spans="19:153" ht="12.9" hidden="1" customHeight="1" thickBot="1" x14ac:dyDescent="0.25">
      <c r="S263" s="70"/>
      <c r="T263" s="280" t="s">
        <v>1147</v>
      </c>
      <c r="U263" s="308"/>
      <c r="V263" s="308"/>
      <c r="W263" s="308"/>
      <c r="X263" s="309"/>
      <c r="Y263" s="648"/>
      <c r="Z263" s="649"/>
      <c r="AA263" s="649"/>
      <c r="AB263" s="649"/>
      <c r="AC263" s="649"/>
      <c r="AD263" s="650"/>
      <c r="AE263" s="283" t="str">
        <f t="shared" si="149"/>
        <v>ˣ</v>
      </c>
      <c r="AF263" s="393" t="str">
        <f t="shared" ca="1" si="150"/>
        <v>GRUPPENRUNDE</v>
      </c>
      <c r="AG263" s="394"/>
      <c r="AH263" s="394"/>
      <c r="AI263" s="394"/>
      <c r="AJ263" s="394"/>
      <c r="AK263" s="394"/>
      <c r="AL263" s="394"/>
      <c r="AM263" s="394"/>
      <c r="AN263" s="394"/>
      <c r="AO263" s="442" t="str">
        <f t="shared" ref="AO263:AO278" si="166">UPPER(INDEX($AU$292:$AU$301,DO263))</f>
        <v>KEINE PRÜFUNG</v>
      </c>
      <c r="AP263" s="442"/>
      <c r="AQ263" s="442"/>
      <c r="AR263" s="442"/>
      <c r="AS263" s="442"/>
      <c r="AT263" s="442"/>
      <c r="AU263" s="442"/>
      <c r="AV263" s="442"/>
      <c r="AW263" s="394"/>
      <c r="AX263" s="395"/>
      <c r="AY263" s="395"/>
      <c r="AZ263" s="394"/>
      <c r="BA263" s="394"/>
      <c r="BB263" s="395" t="str">
        <f t="shared" ref="BB263:BB278" si="167">UPPER(CX263)</f>
        <v>0 PKT.</v>
      </c>
      <c r="BC263" s="70"/>
      <c r="BD263" s="70"/>
      <c r="BE263" s="70"/>
      <c r="BF263" s="70"/>
      <c r="BG263" s="70"/>
      <c r="BH263" s="70"/>
      <c r="BI263" s="70"/>
      <c r="BJ263" s="70"/>
      <c r="BK263" s="70"/>
      <c r="BL263" s="70"/>
      <c r="BM263" s="70"/>
      <c r="BN263" s="70"/>
      <c r="BO263" s="70"/>
      <c r="BP263" s="70"/>
      <c r="BQ263" s="70"/>
      <c r="BR263" s="70"/>
      <c r="CX263" s="249" t="s">
        <v>19</v>
      </c>
      <c r="DB263">
        <f ca="1">COUNTIF(tabbermsp!$L$407:$M$420,"="&amp;DA263)+COUNTIF(tabbermsp!$L$422:$M$422,"="&amp;DA263)+1</f>
        <v>1</v>
      </c>
      <c r="DD263" s="138" t="str">
        <f t="shared" ca="1" si="162"/>
        <v>GRUPPENRUNDE</v>
      </c>
      <c r="DE263" s="138" t="str">
        <f t="shared" ca="1" si="163"/>
        <v/>
      </c>
      <c r="DH263" s="138"/>
      <c r="DL263" t="s">
        <v>263</v>
      </c>
      <c r="DN263">
        <v>59</v>
      </c>
      <c r="DO263" s="249">
        <v>1</v>
      </c>
      <c r="DP263" s="249">
        <v>0</v>
      </c>
      <c r="DQ263" s="249">
        <v>0</v>
      </c>
      <c r="DR263" s="249" t="b">
        <v>1</v>
      </c>
      <c r="DS263" s="138"/>
      <c r="DT263" s="138" t="str">
        <f t="shared" si="158"/>
        <v/>
      </c>
      <c r="DU263" t="s">
        <v>92</v>
      </c>
      <c r="DV263" s="287" t="e">
        <f t="shared" si="164"/>
        <v>#N/A</v>
      </c>
      <c r="DW263" s="311" t="str">
        <f t="shared" si="159"/>
        <v/>
      </c>
      <c r="DZ263" s="138" t="str">
        <f t="shared" si="151"/>
        <v/>
      </c>
      <c r="EB263">
        <v>0</v>
      </c>
      <c r="EC263">
        <f t="shared" si="160"/>
        <v>0</v>
      </c>
      <c r="ED263" s="138" t="str">
        <f t="shared" si="152"/>
        <v/>
      </c>
      <c r="EF263" s="285" t="str">
        <f t="shared" si="161"/>
        <v/>
      </c>
      <c r="EH263" s="138">
        <f t="shared" si="153"/>
        <v>0</v>
      </c>
      <c r="EJ263">
        <v>0</v>
      </c>
      <c r="EK263" s="57">
        <f t="shared" si="154"/>
        <v>0</v>
      </c>
      <c r="EM263">
        <f t="shared" si="155"/>
        <v>0</v>
      </c>
      <c r="EV263" s="154" t="str">
        <f t="shared" si="165"/>
        <v/>
      </c>
      <c r="EW263" t="s">
        <v>92</v>
      </c>
    </row>
    <row r="264" spans="19:153" ht="12.9" hidden="1" customHeight="1" thickBot="1" x14ac:dyDescent="0.25">
      <c r="S264" s="70"/>
      <c r="T264" s="280" t="s">
        <v>245</v>
      </c>
      <c r="U264" s="308"/>
      <c r="V264" s="308"/>
      <c r="W264" s="308"/>
      <c r="X264" s="309"/>
      <c r="Y264" s="648"/>
      <c r="Z264" s="649"/>
      <c r="AA264" s="649"/>
      <c r="AB264" s="649"/>
      <c r="AC264" s="649"/>
      <c r="AD264" s="650"/>
      <c r="AE264" s="283" t="str">
        <f t="shared" si="149"/>
        <v>ˣ</v>
      </c>
      <c r="AF264" s="393" t="str">
        <f t="shared" ca="1" si="150"/>
        <v>GRUPPENRUNDE</v>
      </c>
      <c r="AG264" s="394"/>
      <c r="AH264" s="394"/>
      <c r="AI264" s="394"/>
      <c r="AJ264" s="394"/>
      <c r="AK264" s="394"/>
      <c r="AL264" s="394"/>
      <c r="AM264" s="394"/>
      <c r="AN264" s="394"/>
      <c r="AO264" s="442" t="str">
        <f t="shared" si="166"/>
        <v>KEINE PRÜFUNG</v>
      </c>
      <c r="AP264" s="442"/>
      <c r="AQ264" s="442"/>
      <c r="AR264" s="442"/>
      <c r="AS264" s="442"/>
      <c r="AT264" s="442"/>
      <c r="AU264" s="442"/>
      <c r="AV264" s="442"/>
      <c r="AW264" s="394"/>
      <c r="AX264" s="395"/>
      <c r="AY264" s="395"/>
      <c r="AZ264" s="394"/>
      <c r="BA264" s="394"/>
      <c r="BB264" s="395" t="str">
        <f t="shared" si="167"/>
        <v>0 PKT.</v>
      </c>
      <c r="BC264" s="70"/>
      <c r="BD264" s="70"/>
      <c r="BE264" s="70"/>
      <c r="BF264" s="70"/>
      <c r="BG264" s="70"/>
      <c r="BH264" s="70"/>
      <c r="BI264" s="70"/>
      <c r="BJ264" s="70"/>
      <c r="BK264" s="70"/>
      <c r="BL264" s="70"/>
      <c r="BM264" s="70"/>
      <c r="BN264" s="70"/>
      <c r="BO264" s="70"/>
      <c r="BP264" s="70"/>
      <c r="BQ264" s="70"/>
      <c r="BR264" s="70"/>
      <c r="CX264" s="249" t="s">
        <v>19</v>
      </c>
      <c r="DB264">
        <f ca="1">COUNTIF(tabbermsp!$L$407:$M$420,"="&amp;DA264)+COUNTIF(tabbermsp!$L$422:$M$422,"="&amp;DA264)+1</f>
        <v>1</v>
      </c>
      <c r="DD264" s="138" t="str">
        <f t="shared" ca="1" si="162"/>
        <v>GRUPPENRUNDE</v>
      </c>
      <c r="DE264" s="138" t="str">
        <f t="shared" ca="1" si="163"/>
        <v/>
      </c>
      <c r="DH264" s="138"/>
      <c r="DL264" t="s">
        <v>264</v>
      </c>
      <c r="DN264">
        <v>60</v>
      </c>
      <c r="DO264" s="249">
        <v>1</v>
      </c>
      <c r="DP264" s="249">
        <v>0</v>
      </c>
      <c r="DQ264" s="249">
        <v>0</v>
      </c>
      <c r="DR264" s="249" t="b">
        <v>1</v>
      </c>
      <c r="DS264" s="138"/>
      <c r="DT264" s="138" t="str">
        <f t="shared" si="158"/>
        <v/>
      </c>
      <c r="DU264" t="s">
        <v>92</v>
      </c>
      <c r="DV264" s="287" t="e">
        <f t="shared" si="164"/>
        <v>#N/A</v>
      </c>
      <c r="DW264" s="311" t="str">
        <f t="shared" si="159"/>
        <v/>
      </c>
      <c r="DZ264" s="138" t="str">
        <f t="shared" si="151"/>
        <v/>
      </c>
      <c r="EB264">
        <v>0</v>
      </c>
      <c r="EC264">
        <f t="shared" si="160"/>
        <v>0</v>
      </c>
      <c r="ED264" s="138" t="str">
        <f t="shared" si="152"/>
        <v/>
      </c>
      <c r="EF264" s="285" t="str">
        <f t="shared" si="161"/>
        <v/>
      </c>
      <c r="EH264" s="138">
        <f t="shared" si="153"/>
        <v>0</v>
      </c>
      <c r="EJ264">
        <v>0</v>
      </c>
      <c r="EK264" s="57">
        <f t="shared" si="154"/>
        <v>0</v>
      </c>
      <c r="EM264">
        <f t="shared" si="155"/>
        <v>0</v>
      </c>
      <c r="EV264" s="154" t="str">
        <f t="shared" si="165"/>
        <v/>
      </c>
      <c r="EW264" t="s">
        <v>92</v>
      </c>
    </row>
    <row r="265" spans="19:153" ht="12.9" hidden="1" customHeight="1" thickBot="1" x14ac:dyDescent="0.25">
      <c r="S265" s="70"/>
      <c r="T265" s="280" t="s">
        <v>1148</v>
      </c>
      <c r="U265" s="308"/>
      <c r="V265" s="308"/>
      <c r="W265" s="308"/>
      <c r="X265" s="309"/>
      <c r="Y265" s="648"/>
      <c r="Z265" s="649"/>
      <c r="AA265" s="649"/>
      <c r="AB265" s="649"/>
      <c r="AC265" s="649"/>
      <c r="AD265" s="650"/>
      <c r="AE265" s="283" t="str">
        <f t="shared" si="149"/>
        <v>ˣ</v>
      </c>
      <c r="AF265" s="393" t="str">
        <f t="shared" ca="1" si="150"/>
        <v>GRUPPENRUNDE</v>
      </c>
      <c r="AG265" s="394"/>
      <c r="AH265" s="394"/>
      <c r="AI265" s="394"/>
      <c r="AJ265" s="394"/>
      <c r="AK265" s="394"/>
      <c r="AL265" s="394"/>
      <c r="AM265" s="394"/>
      <c r="AN265" s="394"/>
      <c r="AO265" s="442" t="str">
        <f t="shared" si="166"/>
        <v>KEINE PRÜFUNG</v>
      </c>
      <c r="AP265" s="442"/>
      <c r="AQ265" s="442"/>
      <c r="AR265" s="442"/>
      <c r="AS265" s="442"/>
      <c r="AT265" s="442"/>
      <c r="AU265" s="442"/>
      <c r="AV265" s="442"/>
      <c r="AW265" s="394"/>
      <c r="AX265" s="395"/>
      <c r="AY265" s="395"/>
      <c r="AZ265" s="394"/>
      <c r="BA265" s="394"/>
      <c r="BB265" s="395" t="str">
        <f t="shared" si="167"/>
        <v>0 PKT.</v>
      </c>
      <c r="BC265" s="70"/>
      <c r="BD265" s="70"/>
      <c r="BE265" s="70"/>
      <c r="BF265" s="70"/>
      <c r="BG265" s="70"/>
      <c r="BH265" s="70"/>
      <c r="BI265" s="70"/>
      <c r="BJ265" s="70"/>
      <c r="BK265" s="70"/>
      <c r="BL265" s="70"/>
      <c r="BM265" s="70"/>
      <c r="BN265" s="70"/>
      <c r="BO265" s="70"/>
      <c r="BP265" s="70"/>
      <c r="BQ265" s="70"/>
      <c r="BR265" s="70"/>
      <c r="CX265" s="249" t="s">
        <v>19</v>
      </c>
      <c r="DB265">
        <f ca="1">COUNTIF(tabbermsp!$L$407:$M$420,"="&amp;DA265)+COUNTIF(tabbermsp!$L$422:$M$422,"="&amp;DA265)+1</f>
        <v>1</v>
      </c>
      <c r="DD265" s="138" t="str">
        <f t="shared" ca="1" si="162"/>
        <v>GRUPPENRUNDE</v>
      </c>
      <c r="DE265" s="138" t="str">
        <f t="shared" ca="1" si="163"/>
        <v/>
      </c>
      <c r="DH265" s="138"/>
      <c r="DL265" t="s">
        <v>265</v>
      </c>
      <c r="DN265">
        <v>61</v>
      </c>
      <c r="DO265" s="249">
        <v>1</v>
      </c>
      <c r="DP265" s="249">
        <v>0</v>
      </c>
      <c r="DQ265" s="249">
        <v>0</v>
      </c>
      <c r="DR265" s="249" t="b">
        <v>1</v>
      </c>
      <c r="DS265" s="138"/>
      <c r="DT265" s="138" t="str">
        <f t="shared" si="158"/>
        <v/>
      </c>
      <c r="DU265" t="s">
        <v>92</v>
      </c>
      <c r="DV265" s="287" t="e">
        <f t="shared" si="164"/>
        <v>#N/A</v>
      </c>
      <c r="DW265" s="311" t="str">
        <f t="shared" si="159"/>
        <v/>
      </c>
      <c r="DZ265" s="138" t="str">
        <f t="shared" si="151"/>
        <v/>
      </c>
      <c r="EB265">
        <v>0</v>
      </c>
      <c r="EC265">
        <f t="shared" si="160"/>
        <v>0</v>
      </c>
      <c r="ED265" s="138" t="str">
        <f t="shared" si="152"/>
        <v/>
      </c>
      <c r="EF265" s="285" t="str">
        <f t="shared" si="161"/>
        <v/>
      </c>
      <c r="EH265" s="138">
        <f t="shared" si="153"/>
        <v>0</v>
      </c>
      <c r="EJ265">
        <v>0</v>
      </c>
      <c r="EK265" s="57">
        <f t="shared" si="154"/>
        <v>0</v>
      </c>
      <c r="EM265">
        <f t="shared" si="155"/>
        <v>0</v>
      </c>
      <c r="EV265" s="154" t="str">
        <f t="shared" si="165"/>
        <v/>
      </c>
      <c r="EW265" t="s">
        <v>92</v>
      </c>
    </row>
    <row r="266" spans="19:153" ht="12.9" hidden="1" customHeight="1" thickBot="1" x14ac:dyDescent="0.25">
      <c r="S266" s="70"/>
      <c r="T266" s="280" t="s">
        <v>1149</v>
      </c>
      <c r="U266" s="308"/>
      <c r="V266" s="308"/>
      <c r="W266" s="308"/>
      <c r="X266" s="309"/>
      <c r="Y266" s="648"/>
      <c r="Z266" s="649"/>
      <c r="AA266" s="649"/>
      <c r="AB266" s="649"/>
      <c r="AC266" s="649"/>
      <c r="AD266" s="650"/>
      <c r="AE266" s="283" t="str">
        <f t="shared" si="149"/>
        <v>ˣ</v>
      </c>
      <c r="AF266" s="393" t="str">
        <f t="shared" ca="1" si="150"/>
        <v>GRUPPENRUNDE</v>
      </c>
      <c r="AG266" s="394"/>
      <c r="AH266" s="394"/>
      <c r="AI266" s="394"/>
      <c r="AJ266" s="394"/>
      <c r="AK266" s="394"/>
      <c r="AL266" s="394"/>
      <c r="AM266" s="394"/>
      <c r="AN266" s="394"/>
      <c r="AO266" s="442" t="str">
        <f t="shared" si="166"/>
        <v>KEINE PRÜFUNG</v>
      </c>
      <c r="AP266" s="442"/>
      <c r="AQ266" s="442"/>
      <c r="AR266" s="442"/>
      <c r="AS266" s="442"/>
      <c r="AT266" s="442"/>
      <c r="AU266" s="442"/>
      <c r="AV266" s="442"/>
      <c r="AW266" s="394"/>
      <c r="AX266" s="395"/>
      <c r="AY266" s="395"/>
      <c r="AZ266" s="394"/>
      <c r="BA266" s="394"/>
      <c r="BB266" s="395" t="str">
        <f t="shared" si="167"/>
        <v>0 PKT.</v>
      </c>
      <c r="BC266" s="70"/>
      <c r="BD266" s="70"/>
      <c r="BE266" s="70"/>
      <c r="BF266" s="70"/>
      <c r="BG266" s="70"/>
      <c r="BH266" s="70"/>
      <c r="BI266" s="70"/>
      <c r="BJ266" s="70"/>
      <c r="BK266" s="70"/>
      <c r="BL266" s="70"/>
      <c r="BM266" s="70"/>
      <c r="BN266" s="70"/>
      <c r="BO266" s="70"/>
      <c r="BP266" s="70"/>
      <c r="BQ266" s="70"/>
      <c r="BR266" s="70"/>
      <c r="CX266" s="249" t="s">
        <v>19</v>
      </c>
      <c r="DB266">
        <f ca="1">COUNTIF(tabbermsp!$L$407:$M$420,"="&amp;DA266)+COUNTIF(tabbermsp!$L$422:$M$422,"="&amp;DA266)+1</f>
        <v>1</v>
      </c>
      <c r="DD266" s="138" t="str">
        <f t="shared" ca="1" si="162"/>
        <v>GRUPPENRUNDE</v>
      </c>
      <c r="DE266" s="138" t="str">
        <f t="shared" ca="1" si="163"/>
        <v/>
      </c>
      <c r="DH266" s="138"/>
      <c r="DL266" t="s">
        <v>266</v>
      </c>
      <c r="DN266">
        <v>62</v>
      </c>
      <c r="DO266" s="249">
        <v>1</v>
      </c>
      <c r="DP266" s="249">
        <v>0</v>
      </c>
      <c r="DQ266" s="249">
        <v>0</v>
      </c>
      <c r="DR266" s="249" t="b">
        <v>1</v>
      </c>
      <c r="DS266" s="138"/>
      <c r="DT266" s="138" t="str">
        <f t="shared" si="158"/>
        <v/>
      </c>
      <c r="DU266" t="s">
        <v>92</v>
      </c>
      <c r="DV266" s="287" t="e">
        <f t="shared" si="164"/>
        <v>#N/A</v>
      </c>
      <c r="DW266" s="311" t="str">
        <f t="shared" si="159"/>
        <v/>
      </c>
      <c r="DZ266" s="138" t="str">
        <f t="shared" si="151"/>
        <v/>
      </c>
      <c r="EB266">
        <v>0</v>
      </c>
      <c r="EC266">
        <f t="shared" si="160"/>
        <v>0</v>
      </c>
      <c r="ED266" s="138" t="str">
        <f t="shared" si="152"/>
        <v/>
      </c>
      <c r="EF266" s="285" t="str">
        <f t="shared" si="161"/>
        <v/>
      </c>
      <c r="EH266" s="138">
        <f t="shared" si="153"/>
        <v>0</v>
      </c>
      <c r="EJ266">
        <v>0</v>
      </c>
      <c r="EK266" s="57">
        <f t="shared" si="154"/>
        <v>0</v>
      </c>
      <c r="EM266">
        <f t="shared" si="155"/>
        <v>0</v>
      </c>
      <c r="EV266" s="154" t="str">
        <f t="shared" si="165"/>
        <v/>
      </c>
      <c r="EW266" t="s">
        <v>92</v>
      </c>
    </row>
    <row r="267" spans="19:153" ht="12.9" hidden="1" customHeight="1" thickBot="1" x14ac:dyDescent="0.25">
      <c r="S267" s="70"/>
      <c r="T267" s="280" t="s">
        <v>1150</v>
      </c>
      <c r="U267" s="308"/>
      <c r="V267" s="308"/>
      <c r="W267" s="308"/>
      <c r="X267" s="309"/>
      <c r="Y267" s="648"/>
      <c r="Z267" s="649"/>
      <c r="AA267" s="649"/>
      <c r="AB267" s="649"/>
      <c r="AC267" s="649"/>
      <c r="AD267" s="650"/>
      <c r="AE267" s="283" t="str">
        <f t="shared" si="149"/>
        <v>ˣ</v>
      </c>
      <c r="AF267" s="393" t="str">
        <f t="shared" ca="1" si="150"/>
        <v>GRUPPENRUNDE</v>
      </c>
      <c r="AG267" s="394"/>
      <c r="AH267" s="394"/>
      <c r="AI267" s="394"/>
      <c r="AJ267" s="394"/>
      <c r="AK267" s="394"/>
      <c r="AL267" s="394"/>
      <c r="AM267" s="394"/>
      <c r="AN267" s="394"/>
      <c r="AO267" s="442" t="str">
        <f t="shared" si="166"/>
        <v>KEINE PRÜFUNG</v>
      </c>
      <c r="AP267" s="442"/>
      <c r="AQ267" s="442"/>
      <c r="AR267" s="442"/>
      <c r="AS267" s="442"/>
      <c r="AT267" s="442"/>
      <c r="AU267" s="442"/>
      <c r="AV267" s="442"/>
      <c r="AW267" s="394"/>
      <c r="AX267" s="395"/>
      <c r="AY267" s="395"/>
      <c r="AZ267" s="394"/>
      <c r="BA267" s="394"/>
      <c r="BB267" s="395" t="str">
        <f t="shared" si="167"/>
        <v>0 PKT.</v>
      </c>
      <c r="BC267" s="70"/>
      <c r="BD267" s="70"/>
      <c r="BE267" s="70"/>
      <c r="BF267" s="70"/>
      <c r="BG267" s="70"/>
      <c r="BH267" s="70"/>
      <c r="BI267" s="70"/>
      <c r="BJ267" s="70"/>
      <c r="BK267" s="70"/>
      <c r="BL267" s="70"/>
      <c r="BM267" s="70"/>
      <c r="BN267" s="70"/>
      <c r="BO267" s="70"/>
      <c r="BP267" s="70"/>
      <c r="BQ267" s="70"/>
      <c r="BR267" s="70"/>
      <c r="CX267" s="249" t="s">
        <v>19</v>
      </c>
      <c r="DB267">
        <f ca="1">COUNTIF(tabbermsp!$L$407:$M$420,"="&amp;DA267)+COUNTIF(tabbermsp!$L$422:$M$422,"="&amp;DA267)+1</f>
        <v>1</v>
      </c>
      <c r="DD267" s="138" t="str">
        <f t="shared" ca="1" si="162"/>
        <v>GRUPPENRUNDE</v>
      </c>
      <c r="DE267" s="138" t="str">
        <f t="shared" ca="1" si="163"/>
        <v/>
      </c>
      <c r="DH267" s="138"/>
      <c r="DL267" t="s">
        <v>267</v>
      </c>
      <c r="DN267">
        <v>63</v>
      </c>
      <c r="DO267" s="249">
        <v>1</v>
      </c>
      <c r="DP267" s="249">
        <v>0</v>
      </c>
      <c r="DQ267" s="249">
        <v>0</v>
      </c>
      <c r="DR267" s="249" t="b">
        <v>1</v>
      </c>
      <c r="DS267" s="138"/>
      <c r="DT267" s="138" t="str">
        <f t="shared" si="158"/>
        <v/>
      </c>
      <c r="DU267" t="s">
        <v>92</v>
      </c>
      <c r="DV267" s="287" t="e">
        <f t="shared" si="164"/>
        <v>#N/A</v>
      </c>
      <c r="DW267" s="311" t="str">
        <f t="shared" si="159"/>
        <v/>
      </c>
      <c r="DZ267" s="138" t="str">
        <f t="shared" si="151"/>
        <v/>
      </c>
      <c r="EB267">
        <v>0</v>
      </c>
      <c r="EC267">
        <f t="shared" si="160"/>
        <v>0</v>
      </c>
      <c r="ED267" s="138" t="str">
        <f t="shared" si="152"/>
        <v/>
      </c>
      <c r="EF267" s="285" t="str">
        <f t="shared" si="161"/>
        <v/>
      </c>
      <c r="EH267" s="138">
        <f t="shared" si="153"/>
        <v>0</v>
      </c>
      <c r="EJ267">
        <v>0</v>
      </c>
      <c r="EK267" s="57">
        <f t="shared" si="154"/>
        <v>0</v>
      </c>
      <c r="EM267">
        <f t="shared" si="155"/>
        <v>0</v>
      </c>
      <c r="EV267" s="154" t="str">
        <f t="shared" si="165"/>
        <v/>
      </c>
      <c r="EW267" t="s">
        <v>92</v>
      </c>
    </row>
    <row r="268" spans="19:153" ht="12.9" hidden="1" customHeight="1" thickBot="1" x14ac:dyDescent="0.25">
      <c r="S268" s="70"/>
      <c r="T268" s="280" t="s">
        <v>1151</v>
      </c>
      <c r="U268" s="308"/>
      <c r="V268" s="308"/>
      <c r="W268" s="308"/>
      <c r="X268" s="309"/>
      <c r="Y268" s="648"/>
      <c r="Z268" s="649"/>
      <c r="AA268" s="649"/>
      <c r="AB268" s="649"/>
      <c r="AC268" s="649"/>
      <c r="AD268" s="650"/>
      <c r="AE268" s="283" t="str">
        <f t="shared" si="149"/>
        <v>ˣ</v>
      </c>
      <c r="AF268" s="393" t="str">
        <f t="shared" ca="1" si="150"/>
        <v>GRUPPENRUNDE</v>
      </c>
      <c r="AG268" s="394"/>
      <c r="AH268" s="394"/>
      <c r="AI268" s="394"/>
      <c r="AJ268" s="394"/>
      <c r="AK268" s="394"/>
      <c r="AL268" s="394"/>
      <c r="AM268" s="394"/>
      <c r="AN268" s="394"/>
      <c r="AO268" s="442" t="str">
        <f t="shared" si="166"/>
        <v>KEINE PRÜFUNG</v>
      </c>
      <c r="AP268" s="442"/>
      <c r="AQ268" s="442"/>
      <c r="AR268" s="442"/>
      <c r="AS268" s="442"/>
      <c r="AT268" s="442"/>
      <c r="AU268" s="442"/>
      <c r="AV268" s="442"/>
      <c r="AW268" s="394"/>
      <c r="AX268" s="395"/>
      <c r="AY268" s="395"/>
      <c r="AZ268" s="394"/>
      <c r="BA268" s="394"/>
      <c r="BB268" s="395" t="str">
        <f t="shared" si="167"/>
        <v>0 PKT.</v>
      </c>
      <c r="BC268" s="70"/>
      <c r="BD268" s="70"/>
      <c r="BE268" s="70"/>
      <c r="BF268" s="70"/>
      <c r="BG268" s="70"/>
      <c r="BH268" s="70"/>
      <c r="BI268" s="70"/>
      <c r="BJ268" s="70"/>
      <c r="BK268" s="70"/>
      <c r="BL268" s="70"/>
      <c r="BM268" s="70"/>
      <c r="BN268" s="70"/>
      <c r="BO268" s="70"/>
      <c r="BP268" s="70"/>
      <c r="BQ268" s="70"/>
      <c r="BR268" s="70"/>
      <c r="CX268" s="249" t="s">
        <v>19</v>
      </c>
      <c r="DB268">
        <f ca="1">COUNTIF(tabbermsp!$L$407:$M$420,"="&amp;DA268)+COUNTIF(tabbermsp!$L$422:$M$422,"="&amp;DA268)+1</f>
        <v>1</v>
      </c>
      <c r="DD268" s="138" t="str">
        <f t="shared" ca="1" si="162"/>
        <v>GRUPPENRUNDE</v>
      </c>
      <c r="DE268" s="138" t="str">
        <f t="shared" ca="1" si="163"/>
        <v/>
      </c>
      <c r="DH268" s="138"/>
      <c r="DL268" t="s">
        <v>268</v>
      </c>
      <c r="DN268">
        <v>64</v>
      </c>
      <c r="DO268" s="249">
        <v>1</v>
      </c>
      <c r="DP268" s="249">
        <v>0</v>
      </c>
      <c r="DQ268" s="249">
        <v>0</v>
      </c>
      <c r="DR268" s="249" t="b">
        <v>1</v>
      </c>
      <c r="DS268" s="138"/>
      <c r="DT268" s="138" t="str">
        <f t="shared" si="158"/>
        <v/>
      </c>
      <c r="DU268" t="s">
        <v>92</v>
      </c>
      <c r="DV268" s="287" t="e">
        <f t="shared" si="164"/>
        <v>#N/A</v>
      </c>
      <c r="DW268" s="311" t="str">
        <f t="shared" si="159"/>
        <v/>
      </c>
      <c r="DZ268" s="138" t="str">
        <f t="shared" si="151"/>
        <v/>
      </c>
      <c r="EB268">
        <v>0</v>
      </c>
      <c r="EC268">
        <f t="shared" si="160"/>
        <v>0</v>
      </c>
      <c r="ED268" s="138" t="str">
        <f t="shared" si="152"/>
        <v/>
      </c>
      <c r="EF268" s="285" t="str">
        <f t="shared" si="161"/>
        <v/>
      </c>
      <c r="EH268" s="138">
        <f t="shared" si="153"/>
        <v>0</v>
      </c>
      <c r="EJ268">
        <v>0</v>
      </c>
      <c r="EK268" s="57">
        <f t="shared" si="154"/>
        <v>0</v>
      </c>
      <c r="EM268">
        <f t="shared" si="155"/>
        <v>0</v>
      </c>
      <c r="EV268" s="154" t="str">
        <f t="shared" si="165"/>
        <v/>
      </c>
      <c r="EW268" t="s">
        <v>92</v>
      </c>
    </row>
    <row r="269" spans="19:153" ht="12.9" hidden="1" customHeight="1" thickBot="1" x14ac:dyDescent="0.25">
      <c r="S269" s="70"/>
      <c r="T269" s="280" t="s">
        <v>1152</v>
      </c>
      <c r="U269" s="308"/>
      <c r="V269" s="308"/>
      <c r="W269" s="308"/>
      <c r="X269" s="309"/>
      <c r="Y269" s="648"/>
      <c r="Z269" s="649"/>
      <c r="AA269" s="649"/>
      <c r="AB269" s="649"/>
      <c r="AC269" s="649"/>
      <c r="AD269" s="650"/>
      <c r="AE269" s="283" t="str">
        <f t="shared" si="149"/>
        <v>ˣ</v>
      </c>
      <c r="AF269" s="393" t="str">
        <f t="shared" ca="1" si="150"/>
        <v>GRUPPENRUNDE</v>
      </c>
      <c r="AG269" s="394"/>
      <c r="AH269" s="394"/>
      <c r="AI269" s="394"/>
      <c r="AJ269" s="394"/>
      <c r="AK269" s="394"/>
      <c r="AL269" s="394"/>
      <c r="AM269" s="394"/>
      <c r="AN269" s="394"/>
      <c r="AO269" s="442" t="str">
        <f t="shared" si="166"/>
        <v>KEINE PRÜFUNG</v>
      </c>
      <c r="AP269" s="442"/>
      <c r="AQ269" s="442"/>
      <c r="AR269" s="442"/>
      <c r="AS269" s="442"/>
      <c r="AT269" s="442"/>
      <c r="AU269" s="442"/>
      <c r="AV269" s="442"/>
      <c r="AW269" s="394"/>
      <c r="AX269" s="395"/>
      <c r="AY269" s="395"/>
      <c r="AZ269" s="394"/>
      <c r="BA269" s="394"/>
      <c r="BB269" s="395" t="str">
        <f t="shared" si="167"/>
        <v>0 PKT.</v>
      </c>
      <c r="BC269" s="70"/>
      <c r="BD269" s="70"/>
      <c r="BE269" s="70"/>
      <c r="BF269" s="70"/>
      <c r="BG269" s="70"/>
      <c r="BH269" s="70"/>
      <c r="BI269" s="70"/>
      <c r="BJ269" s="70"/>
      <c r="BK269" s="70"/>
      <c r="BL269" s="70"/>
      <c r="BM269" s="70"/>
      <c r="BN269" s="70"/>
      <c r="BO269" s="70"/>
      <c r="BP269" s="70"/>
      <c r="BQ269" s="70"/>
      <c r="BR269" s="70"/>
      <c r="CX269" s="249" t="s">
        <v>19</v>
      </c>
      <c r="DB269">
        <f ca="1">COUNTIF(tabbermsp!$L$407:$M$420,"="&amp;DA269)+COUNTIF(tabbermsp!$L$422:$M$422,"="&amp;DA269)+1</f>
        <v>1</v>
      </c>
      <c r="DD269" s="138" t="str">
        <f t="shared" ca="1" si="162"/>
        <v>GRUPPENRUNDE</v>
      </c>
      <c r="DE269" s="138" t="str">
        <f t="shared" ca="1" si="163"/>
        <v/>
      </c>
      <c r="DH269" s="138"/>
      <c r="DL269" t="s">
        <v>269</v>
      </c>
      <c r="DN269">
        <v>65</v>
      </c>
      <c r="DO269" s="249">
        <v>1</v>
      </c>
      <c r="DP269" s="249">
        <v>0</v>
      </c>
      <c r="DQ269" s="249">
        <v>0</v>
      </c>
      <c r="DR269" s="249" t="b">
        <v>1</v>
      </c>
      <c r="DS269" s="138"/>
      <c r="DT269" s="138" t="str">
        <f t="shared" si="158"/>
        <v/>
      </c>
      <c r="DU269" t="s">
        <v>92</v>
      </c>
      <c r="DV269" s="287" t="e">
        <f t="shared" si="164"/>
        <v>#N/A</v>
      </c>
      <c r="DW269" s="311" t="str">
        <f t="shared" si="159"/>
        <v/>
      </c>
      <c r="DZ269" s="138" t="str">
        <f t="shared" si="151"/>
        <v/>
      </c>
      <c r="EB269">
        <v>0</v>
      </c>
      <c r="EC269">
        <f t="shared" si="160"/>
        <v>0</v>
      </c>
      <c r="ED269" s="138" t="str">
        <f t="shared" si="152"/>
        <v/>
      </c>
      <c r="EF269" s="285" t="str">
        <f t="shared" si="161"/>
        <v/>
      </c>
      <c r="EH269" s="138">
        <f t="shared" si="153"/>
        <v>0</v>
      </c>
      <c r="EJ269">
        <v>0</v>
      </c>
      <c r="EK269" s="57">
        <f t="shared" si="154"/>
        <v>0</v>
      </c>
      <c r="EM269">
        <f t="shared" si="155"/>
        <v>0</v>
      </c>
      <c r="EV269" s="154" t="str">
        <f t="shared" si="165"/>
        <v/>
      </c>
      <c r="EW269" t="s">
        <v>92</v>
      </c>
    </row>
    <row r="270" spans="19:153" ht="12.9" hidden="1" customHeight="1" thickBot="1" x14ac:dyDescent="0.25">
      <c r="S270" s="70"/>
      <c r="T270" s="312" t="s">
        <v>227</v>
      </c>
      <c r="U270" s="313"/>
      <c r="V270" s="313"/>
      <c r="W270" s="313"/>
      <c r="X270" s="314"/>
      <c r="Y270" s="651"/>
      <c r="Z270" s="380"/>
      <c r="AA270" s="381" t="s">
        <v>93</v>
      </c>
      <c r="AB270" s="382"/>
      <c r="AC270" s="382"/>
      <c r="AD270" s="383"/>
      <c r="AE270" s="283" t="str">
        <f t="shared" si="149"/>
        <v>ˣ</v>
      </c>
      <c r="AF270" s="393" t="str">
        <f t="shared" si="150"/>
        <v>0 TORE</v>
      </c>
      <c r="AG270" s="394"/>
      <c r="AH270" s="394"/>
      <c r="AI270" s="394"/>
      <c r="AJ270" s="394"/>
      <c r="AK270" s="394"/>
      <c r="AL270" s="394"/>
      <c r="AM270" s="394"/>
      <c r="AN270" s="394"/>
      <c r="AO270" s="442" t="str">
        <f t="shared" si="166"/>
        <v>KEINE PRÜFUNG</v>
      </c>
      <c r="AP270" s="442"/>
      <c r="AQ270" s="442"/>
      <c r="AR270" s="442"/>
      <c r="AS270" s="442"/>
      <c r="AT270" s="442"/>
      <c r="AU270" s="442"/>
      <c r="AV270" s="442"/>
      <c r="AW270" s="394"/>
      <c r="AX270" s="395"/>
      <c r="AY270" s="395"/>
      <c r="AZ270" s="394"/>
      <c r="BA270" s="394"/>
      <c r="BB270" s="395" t="str">
        <f t="shared" si="167"/>
        <v>0 PKT.</v>
      </c>
      <c r="BC270" s="70"/>
      <c r="BD270" s="70"/>
      <c r="BE270" s="70"/>
      <c r="BF270" s="70"/>
      <c r="BG270" s="70"/>
      <c r="BH270" s="70"/>
      <c r="BI270" s="70"/>
      <c r="BJ270" s="70"/>
      <c r="BK270" s="70"/>
      <c r="BL270" s="70"/>
      <c r="BM270" s="70"/>
      <c r="BN270" s="70"/>
      <c r="BO270" s="70"/>
      <c r="BP270" s="70"/>
      <c r="BQ270" s="70"/>
      <c r="BR270" s="70"/>
      <c r="CX270" s="249" t="s">
        <v>19</v>
      </c>
      <c r="DB270">
        <f>tabbermsp!$L$434</f>
        <v>0</v>
      </c>
      <c r="DD270" s="138" t="str">
        <f>IF(ISERROR(DB270),"Daten fehlen",IF(DB270&lt;0,"Daten fehlen",DB270&amp;" Tore"))</f>
        <v>0 Tore</v>
      </c>
      <c r="DE270" s="138" t="str">
        <f t="shared" ref="DE270:DE278" si="168">IF(OR(DB270&lt;0,DR270,DP270=0),IF(LEN(DS270)=0,"",DH270),DB270)</f>
        <v/>
      </c>
      <c r="DH270" s="138"/>
      <c r="DL270" t="s">
        <v>94</v>
      </c>
      <c r="DN270">
        <v>66</v>
      </c>
      <c r="DO270" s="249">
        <v>1</v>
      </c>
      <c r="DP270" s="249">
        <v>0</v>
      </c>
      <c r="DQ270" s="249">
        <v>0</v>
      </c>
      <c r="DR270" s="249" t="b">
        <v>1</v>
      </c>
      <c r="DS270" s="138"/>
      <c r="DT270" s="138" t="str">
        <f t="shared" si="158"/>
        <v/>
      </c>
      <c r="DV270" s="315" t="str">
        <f t="shared" ref="DV270:DV278" si="169">IF(NOT(ISNUMBER(DT270)),"",IF(DT270&lt;0,0,IF(DT270&gt;999,999,DT270)))</f>
        <v/>
      </c>
      <c r="DW270" s="315" t="str">
        <f t="shared" si="159"/>
        <v/>
      </c>
      <c r="DZ270" s="138" t="str">
        <f t="shared" si="151"/>
        <v/>
      </c>
      <c r="EB270">
        <v>0</v>
      </c>
      <c r="EC270">
        <f t="shared" si="160"/>
        <v>0</v>
      </c>
      <c r="ED270" s="138" t="str">
        <f t="shared" si="152"/>
        <v/>
      </c>
      <c r="EF270" s="315" t="str">
        <f t="shared" ref="EF270:EF278" si="170">ED270</f>
        <v/>
      </c>
      <c r="EH270" s="138">
        <f t="shared" si="153"/>
        <v>0</v>
      </c>
      <c r="EJ270">
        <v>0</v>
      </c>
      <c r="EK270" s="57">
        <f t="shared" si="154"/>
        <v>0</v>
      </c>
      <c r="EM270">
        <f t="shared" si="155"/>
        <v>0</v>
      </c>
      <c r="EV270" s="138" t="str">
        <f t="shared" ref="EV270:EV278" si="171">IF(LEN(EI270)=0,"",EI270)</f>
        <v/>
      </c>
    </row>
    <row r="271" spans="19:153" ht="12.9" hidden="1" customHeight="1" thickBot="1" x14ac:dyDescent="0.25">
      <c r="S271" s="70"/>
      <c r="T271" s="312" t="s">
        <v>228</v>
      </c>
      <c r="U271" s="313"/>
      <c r="V271" s="313"/>
      <c r="W271" s="313"/>
      <c r="X271" s="314"/>
      <c r="Y271" s="651"/>
      <c r="Z271" s="380"/>
      <c r="AA271" s="381" t="s">
        <v>93</v>
      </c>
      <c r="AB271" s="382"/>
      <c r="AC271" s="382"/>
      <c r="AD271" s="383"/>
      <c r="AE271" s="283" t="str">
        <f t="shared" si="149"/>
        <v>ˣ</v>
      </c>
      <c r="AF271" s="393" t="str">
        <f t="shared" si="150"/>
        <v>0 TORE</v>
      </c>
      <c r="AG271" s="394"/>
      <c r="AH271" s="394"/>
      <c r="AI271" s="394"/>
      <c r="AJ271" s="394"/>
      <c r="AK271" s="394"/>
      <c r="AL271" s="394"/>
      <c r="AM271" s="394"/>
      <c r="AN271" s="394"/>
      <c r="AO271" s="442" t="str">
        <f t="shared" si="166"/>
        <v>KEINE PRÜFUNG</v>
      </c>
      <c r="AP271" s="442"/>
      <c r="AQ271" s="442"/>
      <c r="AR271" s="442"/>
      <c r="AS271" s="442"/>
      <c r="AT271" s="442"/>
      <c r="AU271" s="442"/>
      <c r="AV271" s="442"/>
      <c r="AW271" s="394"/>
      <c r="AX271" s="395"/>
      <c r="AY271" s="395"/>
      <c r="AZ271" s="394"/>
      <c r="BA271" s="394"/>
      <c r="BB271" s="395" t="str">
        <f t="shared" si="167"/>
        <v>0 PKT.</v>
      </c>
      <c r="BC271" s="70"/>
      <c r="BD271" s="70"/>
      <c r="BE271" s="70"/>
      <c r="BF271" s="70"/>
      <c r="BG271" s="70"/>
      <c r="BH271" s="70"/>
      <c r="BI271" s="70"/>
      <c r="BJ271" s="70"/>
      <c r="BK271" s="70"/>
      <c r="BL271" s="70"/>
      <c r="BM271" s="70"/>
      <c r="BN271" s="70"/>
      <c r="BO271" s="70"/>
      <c r="BP271" s="70"/>
      <c r="BQ271" s="70"/>
      <c r="BR271" s="70"/>
      <c r="CX271" s="249" t="s">
        <v>19</v>
      </c>
      <c r="DB271">
        <f>tabbermsp!L435</f>
        <v>0</v>
      </c>
      <c r="DD271" s="138" t="str">
        <f>IF(ISERROR(DB271),"Daten fehlen",IF(DB271&lt;0,"Daten fehlen",DB271&amp;" Tore"))</f>
        <v>0 Tore</v>
      </c>
      <c r="DE271" s="138" t="str">
        <f t="shared" si="168"/>
        <v/>
      </c>
      <c r="DH271" s="138"/>
      <c r="DL271" t="s">
        <v>95</v>
      </c>
      <c r="DN271">
        <v>67</v>
      </c>
      <c r="DO271" s="249">
        <v>1</v>
      </c>
      <c r="DP271" s="249">
        <v>0</v>
      </c>
      <c r="DQ271" s="249">
        <v>0</v>
      </c>
      <c r="DR271" s="249" t="b">
        <v>1</v>
      </c>
      <c r="DS271" s="138"/>
      <c r="DT271" s="138" t="str">
        <f t="shared" si="158"/>
        <v/>
      </c>
      <c r="DV271" s="315" t="str">
        <f t="shared" si="169"/>
        <v/>
      </c>
      <c r="DW271" s="315" t="str">
        <f t="shared" si="159"/>
        <v/>
      </c>
      <c r="DZ271" s="138" t="str">
        <f t="shared" si="151"/>
        <v/>
      </c>
      <c r="EB271">
        <v>0</v>
      </c>
      <c r="EC271">
        <f t="shared" si="160"/>
        <v>0</v>
      </c>
      <c r="ED271" s="138" t="str">
        <f t="shared" si="152"/>
        <v/>
      </c>
      <c r="EF271" s="315" t="str">
        <f t="shared" si="170"/>
        <v/>
      </c>
      <c r="EH271" s="138">
        <f t="shared" si="153"/>
        <v>0</v>
      </c>
      <c r="EJ271">
        <v>0</v>
      </c>
      <c r="EK271" s="57">
        <f t="shared" si="154"/>
        <v>0</v>
      </c>
      <c r="EM271">
        <f t="shared" si="155"/>
        <v>0</v>
      </c>
      <c r="EV271" s="138" t="str">
        <f t="shared" si="171"/>
        <v/>
      </c>
    </row>
    <row r="272" spans="19:153" ht="12.9" hidden="1" customHeight="1" thickBot="1" x14ac:dyDescent="0.25">
      <c r="S272" s="70"/>
      <c r="T272" s="312" t="s">
        <v>229</v>
      </c>
      <c r="U272" s="313"/>
      <c r="V272" s="313"/>
      <c r="W272" s="313"/>
      <c r="X272" s="314"/>
      <c r="Y272" s="651"/>
      <c r="Z272" s="380"/>
      <c r="AA272" s="381" t="s">
        <v>93</v>
      </c>
      <c r="AB272" s="382"/>
      <c r="AC272" s="382"/>
      <c r="AD272" s="383"/>
      <c r="AE272" s="283" t="str">
        <f t="shared" si="149"/>
        <v>ˣ</v>
      </c>
      <c r="AF272" s="393" t="str">
        <f t="shared" si="150"/>
        <v>DATEN FEHLEN</v>
      </c>
      <c r="AG272" s="394"/>
      <c r="AH272" s="394"/>
      <c r="AI272" s="394"/>
      <c r="AJ272" s="394"/>
      <c r="AK272" s="394"/>
      <c r="AL272" s="394"/>
      <c r="AM272" s="394"/>
      <c r="AN272" s="394"/>
      <c r="AO272" s="442" t="str">
        <f t="shared" si="166"/>
        <v>KEINE PRÜFUNG</v>
      </c>
      <c r="AP272" s="442"/>
      <c r="AQ272" s="442"/>
      <c r="AR272" s="442"/>
      <c r="AS272" s="442"/>
      <c r="AT272" s="442"/>
      <c r="AU272" s="442"/>
      <c r="AV272" s="442"/>
      <c r="AW272" s="394"/>
      <c r="AX272" s="395"/>
      <c r="AY272" s="395"/>
      <c r="AZ272" s="394"/>
      <c r="BA272" s="394"/>
      <c r="BB272" s="395" t="str">
        <f t="shared" si="167"/>
        <v>0 PKT.</v>
      </c>
      <c r="BC272" s="70"/>
      <c r="BD272" s="70"/>
      <c r="BE272" s="70"/>
      <c r="BF272" s="70"/>
      <c r="BG272" s="70"/>
      <c r="BH272" s="70"/>
      <c r="BI272" s="70"/>
      <c r="BJ272" s="70"/>
      <c r="BK272" s="70"/>
      <c r="BL272" s="70"/>
      <c r="BM272" s="70"/>
      <c r="BN272" s="70"/>
      <c r="BO272" s="70"/>
      <c r="BP272" s="70"/>
      <c r="BQ272" s="70"/>
      <c r="BR272" s="70"/>
      <c r="CX272" s="249" t="s">
        <v>19</v>
      </c>
      <c r="DB272">
        <v>-1</v>
      </c>
      <c r="DD272" s="138" t="str">
        <f>IF(ISERROR(DB272),"Daten fehlen",IF(DB272&lt;0,"Daten fehlen",DB272&amp;" Tore"))</f>
        <v>Daten fehlen</v>
      </c>
      <c r="DE272" s="138" t="str">
        <f t="shared" si="168"/>
        <v/>
      </c>
      <c r="DH272" s="138"/>
      <c r="DL272" t="s">
        <v>96</v>
      </c>
      <c r="DN272">
        <v>68</v>
      </c>
      <c r="DO272" s="249">
        <v>1</v>
      </c>
      <c r="DP272" s="249">
        <v>0</v>
      </c>
      <c r="DQ272" s="249">
        <v>0</v>
      </c>
      <c r="DR272" s="249" t="b">
        <v>1</v>
      </c>
      <c r="DS272" s="138"/>
      <c r="DT272" s="138" t="str">
        <f t="shared" si="158"/>
        <v/>
      </c>
      <c r="DV272" s="315" t="str">
        <f t="shared" si="169"/>
        <v/>
      </c>
      <c r="DW272" s="315" t="str">
        <f t="shared" si="159"/>
        <v/>
      </c>
      <c r="DZ272" s="138" t="str">
        <f t="shared" si="151"/>
        <v/>
      </c>
      <c r="EB272">
        <v>0</v>
      </c>
      <c r="EC272">
        <f t="shared" si="160"/>
        <v>0</v>
      </c>
      <c r="ED272" s="138" t="str">
        <f t="shared" si="152"/>
        <v/>
      </c>
      <c r="EF272" s="315" t="str">
        <f t="shared" si="170"/>
        <v/>
      </c>
      <c r="EH272" s="138">
        <f t="shared" si="153"/>
        <v>0</v>
      </c>
      <c r="EJ272">
        <v>0</v>
      </c>
      <c r="EK272" s="57">
        <f t="shared" si="154"/>
        <v>0</v>
      </c>
      <c r="EM272">
        <f t="shared" si="155"/>
        <v>0</v>
      </c>
      <c r="EV272" s="138" t="str">
        <f t="shared" si="171"/>
        <v/>
      </c>
    </row>
    <row r="273" spans="2:152" ht="12.9" hidden="1" customHeight="1" thickBot="1" x14ac:dyDescent="0.25">
      <c r="S273" s="70"/>
      <c r="T273" s="312" t="s">
        <v>230</v>
      </c>
      <c r="U273" s="313"/>
      <c r="V273" s="313"/>
      <c r="W273" s="313"/>
      <c r="X273" s="314"/>
      <c r="Y273" s="651"/>
      <c r="Z273" s="380"/>
      <c r="AA273" s="381" t="s">
        <v>93</v>
      </c>
      <c r="AB273" s="382"/>
      <c r="AC273" s="382"/>
      <c r="AD273" s="383"/>
      <c r="AE273" s="283" t="str">
        <f t="shared" si="149"/>
        <v>ˣ</v>
      </c>
      <c r="AF273" s="393" t="str">
        <f t="shared" si="150"/>
        <v>0 VERL.. DURCH EMW</v>
      </c>
      <c r="AG273" s="394"/>
      <c r="AH273" s="394"/>
      <c r="AI273" s="394"/>
      <c r="AJ273" s="394"/>
      <c r="AK273" s="394"/>
      <c r="AL273" s="394"/>
      <c r="AM273" s="394"/>
      <c r="AN273" s="394"/>
      <c r="AO273" s="442" t="str">
        <f t="shared" si="166"/>
        <v>KEINE PRÜFUNG</v>
      </c>
      <c r="AP273" s="442"/>
      <c r="AQ273" s="442"/>
      <c r="AR273" s="442"/>
      <c r="AS273" s="442"/>
      <c r="AT273" s="442"/>
      <c r="AU273" s="442"/>
      <c r="AV273" s="442"/>
      <c r="AW273" s="394"/>
      <c r="AX273" s="395"/>
      <c r="AY273" s="395"/>
      <c r="AZ273" s="394"/>
      <c r="BA273" s="394"/>
      <c r="BB273" s="395" t="str">
        <f t="shared" si="167"/>
        <v>0 PKT.</v>
      </c>
      <c r="BC273" s="70"/>
      <c r="BD273" s="70"/>
      <c r="BE273" s="70"/>
      <c r="BF273" s="70"/>
      <c r="BG273" s="70"/>
      <c r="BH273" s="70"/>
      <c r="BI273" s="70"/>
      <c r="BJ273" s="70"/>
      <c r="BK273" s="70"/>
      <c r="BL273" s="70"/>
      <c r="BM273" s="70"/>
      <c r="BN273" s="70"/>
      <c r="BO273" s="70"/>
      <c r="BP273" s="70"/>
      <c r="BQ273" s="70"/>
      <c r="BR273" s="70"/>
      <c r="CX273" s="249" t="s">
        <v>19</v>
      </c>
      <c r="DB273">
        <f>SUM(CJ99:CJ155)</f>
        <v>0</v>
      </c>
      <c r="DD273" s="138" t="str">
        <f>IF(ISERROR(DB273),"Daten fehlen",IF(DB273&lt;0,"Daten fehlen",DB273&amp;" VERl.. DURCH EMW"))</f>
        <v>0 VERl.. DURCH EMW</v>
      </c>
      <c r="DE273" s="138" t="str">
        <f t="shared" si="168"/>
        <v/>
      </c>
      <c r="DH273" s="138"/>
      <c r="DL273" t="s">
        <v>97</v>
      </c>
      <c r="DN273">
        <v>69</v>
      </c>
      <c r="DO273" s="249">
        <v>1</v>
      </c>
      <c r="DP273" s="249">
        <v>0</v>
      </c>
      <c r="DQ273" s="249">
        <v>0</v>
      </c>
      <c r="DR273" s="249" t="b">
        <v>1</v>
      </c>
      <c r="DS273" s="138"/>
      <c r="DT273" s="138" t="str">
        <f t="shared" si="158"/>
        <v/>
      </c>
      <c r="DV273" s="315" t="str">
        <f t="shared" si="169"/>
        <v/>
      </c>
      <c r="DW273" s="315" t="str">
        <f t="shared" si="159"/>
        <v/>
      </c>
      <c r="DZ273" s="138" t="str">
        <f t="shared" si="151"/>
        <v/>
      </c>
      <c r="EB273">
        <v>0</v>
      </c>
      <c r="EC273">
        <f t="shared" si="160"/>
        <v>0</v>
      </c>
      <c r="ED273" s="138" t="str">
        <f t="shared" si="152"/>
        <v/>
      </c>
      <c r="EF273" s="315" t="str">
        <f t="shared" si="170"/>
        <v/>
      </c>
      <c r="EH273" s="138">
        <f t="shared" si="153"/>
        <v>0</v>
      </c>
      <c r="EJ273">
        <v>0</v>
      </c>
      <c r="EK273" s="57">
        <f t="shared" si="154"/>
        <v>0</v>
      </c>
      <c r="EM273">
        <f t="shared" si="155"/>
        <v>0</v>
      </c>
      <c r="EV273" s="138" t="str">
        <f t="shared" si="171"/>
        <v/>
      </c>
    </row>
    <row r="274" spans="2:152" ht="12.9" hidden="1" customHeight="1" thickBot="1" x14ac:dyDescent="0.25">
      <c r="S274" s="70"/>
      <c r="T274" s="312" t="s">
        <v>231</v>
      </c>
      <c r="U274" s="313"/>
      <c r="V274" s="313"/>
      <c r="W274" s="313"/>
      <c r="X274" s="314"/>
      <c r="Y274" s="651"/>
      <c r="Z274" s="380"/>
      <c r="AA274" s="381" t="s">
        <v>93</v>
      </c>
      <c r="AB274" s="382"/>
      <c r="AC274" s="382"/>
      <c r="AD274" s="383"/>
      <c r="AE274" s="283" t="str">
        <f t="shared" si="149"/>
        <v>ˣ</v>
      </c>
      <c r="AF274" s="393" t="str">
        <f t="shared" si="150"/>
        <v>0 GETIPPTE EMS</v>
      </c>
      <c r="AG274" s="394"/>
      <c r="AH274" s="394"/>
      <c r="AI274" s="394"/>
      <c r="AJ274" s="394"/>
      <c r="AK274" s="394"/>
      <c r="AL274" s="394"/>
      <c r="AM274" s="394"/>
      <c r="AN274" s="394"/>
      <c r="AO274" s="442" t="str">
        <f t="shared" si="166"/>
        <v>KEINE PRÜFUNG</v>
      </c>
      <c r="AP274" s="442"/>
      <c r="AQ274" s="442"/>
      <c r="AR274" s="442"/>
      <c r="AS274" s="442"/>
      <c r="AT274" s="442"/>
      <c r="AU274" s="442"/>
      <c r="AV274" s="442"/>
      <c r="AW274" s="394"/>
      <c r="AX274" s="395"/>
      <c r="AY274" s="395"/>
      <c r="AZ274" s="394"/>
      <c r="BA274" s="394"/>
      <c r="BB274" s="395" t="str">
        <f t="shared" si="167"/>
        <v>0 PKT.</v>
      </c>
      <c r="BC274" s="70"/>
      <c r="BD274" s="70"/>
      <c r="BE274" s="70"/>
      <c r="BF274" s="70"/>
      <c r="BG274" s="70"/>
      <c r="BH274" s="70"/>
      <c r="BI274" s="70"/>
      <c r="BJ274" s="70"/>
      <c r="BK274" s="70"/>
      <c r="BL274" s="70"/>
      <c r="BM274" s="70"/>
      <c r="BN274" s="70"/>
      <c r="BO274" s="70"/>
      <c r="BP274" s="70"/>
      <c r="BQ274" s="70"/>
      <c r="BR274" s="70"/>
      <c r="CX274" s="249" t="s">
        <v>19</v>
      </c>
      <c r="DB274">
        <f>DB273</f>
        <v>0</v>
      </c>
      <c r="DD274" s="138" t="str">
        <f>IF(ISERROR(DB274),"Daten fehlen",IF(DB274&lt;0,"Daten fehlen",DB274&amp;" GETIPPTE EMS"))</f>
        <v>0 GETIPPTE EMS</v>
      </c>
      <c r="DE274" s="138" t="str">
        <f t="shared" si="168"/>
        <v/>
      </c>
      <c r="DH274" s="138"/>
      <c r="DL274" t="s">
        <v>98</v>
      </c>
      <c r="DN274">
        <v>70</v>
      </c>
      <c r="DO274" s="249">
        <v>1</v>
      </c>
      <c r="DP274" s="249">
        <v>0</v>
      </c>
      <c r="DQ274" s="249">
        <v>0</v>
      </c>
      <c r="DR274" s="249" t="b">
        <v>1</v>
      </c>
      <c r="DS274" s="138"/>
      <c r="DT274" s="138" t="str">
        <f t="shared" si="158"/>
        <v/>
      </c>
      <c r="DV274" s="315" t="str">
        <f t="shared" si="169"/>
        <v/>
      </c>
      <c r="DW274" s="315" t="str">
        <f t="shared" si="159"/>
        <v/>
      </c>
      <c r="DZ274" s="138" t="str">
        <f t="shared" si="151"/>
        <v/>
      </c>
      <c r="EB274">
        <v>0</v>
      </c>
      <c r="EC274">
        <f t="shared" si="160"/>
        <v>0</v>
      </c>
      <c r="ED274" s="138" t="str">
        <f t="shared" si="152"/>
        <v/>
      </c>
      <c r="EF274" s="315" t="str">
        <f t="shared" si="170"/>
        <v/>
      </c>
      <c r="EH274" s="138">
        <f t="shared" si="153"/>
        <v>0</v>
      </c>
      <c r="EJ274">
        <v>0</v>
      </c>
      <c r="EK274" s="57">
        <f t="shared" si="154"/>
        <v>0</v>
      </c>
      <c r="EM274">
        <f t="shared" si="155"/>
        <v>0</v>
      </c>
      <c r="EV274" s="138" t="str">
        <f t="shared" si="171"/>
        <v/>
      </c>
    </row>
    <row r="275" spans="2:152" ht="12.9" hidden="1" customHeight="1" thickBot="1" x14ac:dyDescent="0.25">
      <c r="B275" t="s">
        <v>366</v>
      </c>
      <c r="C275" t="s">
        <v>747</v>
      </c>
      <c r="D275" t="s">
        <v>99</v>
      </c>
      <c r="S275" s="70"/>
      <c r="T275" s="312" t="s">
        <v>232</v>
      </c>
      <c r="U275" s="313"/>
      <c r="V275" s="313"/>
      <c r="W275" s="313"/>
      <c r="X275" s="314"/>
      <c r="Y275" s="651"/>
      <c r="Z275" s="380"/>
      <c r="AA275" s="381" t="s">
        <v>93</v>
      </c>
      <c r="AB275" s="382"/>
      <c r="AC275" s="382"/>
      <c r="AD275" s="383"/>
      <c r="AE275" s="283" t="str">
        <f t="shared" si="149"/>
        <v>ˣ</v>
      </c>
      <c r="AF275" s="393" t="str">
        <f t="shared" si="150"/>
        <v>DATEN FEHLEN</v>
      </c>
      <c r="AG275" s="394"/>
      <c r="AH275" s="394"/>
      <c r="AI275" s="394"/>
      <c r="AJ275" s="394"/>
      <c r="AK275" s="394"/>
      <c r="AL275" s="394"/>
      <c r="AM275" s="394"/>
      <c r="AN275" s="394"/>
      <c r="AO275" s="442" t="str">
        <f t="shared" si="166"/>
        <v>KEINE PRÜFUNG</v>
      </c>
      <c r="AP275" s="442"/>
      <c r="AQ275" s="442"/>
      <c r="AR275" s="442"/>
      <c r="AS275" s="442"/>
      <c r="AT275" s="442"/>
      <c r="AU275" s="442"/>
      <c r="AV275" s="442"/>
      <c r="AW275" s="394"/>
      <c r="AX275" s="395"/>
      <c r="AY275" s="395"/>
      <c r="AZ275" s="394"/>
      <c r="BA275" s="394"/>
      <c r="BB275" s="395" t="str">
        <f t="shared" si="167"/>
        <v>0 PKT.</v>
      </c>
      <c r="BC275" s="70"/>
      <c r="BD275" s="70"/>
      <c r="BE275" s="70"/>
      <c r="BF275" s="70"/>
      <c r="BG275" s="70"/>
      <c r="BH275" s="70"/>
      <c r="BI275" s="70"/>
      <c r="BJ275" s="70"/>
      <c r="BK275" s="70"/>
      <c r="BL275" s="70"/>
      <c r="BM275" s="70"/>
      <c r="BN275" s="70"/>
      <c r="BO275" s="70"/>
      <c r="BP275" s="70"/>
      <c r="BQ275" s="70"/>
      <c r="BR275" s="70"/>
      <c r="CX275" s="249" t="s">
        <v>19</v>
      </c>
      <c r="DB275">
        <v>-1</v>
      </c>
      <c r="DD275" s="138" t="str">
        <f>IF(ISERROR(DB275),"Daten fehlen",IF(DB275&lt;0,"Daten fehlen",DB275&amp;" Tore"))</f>
        <v>Daten fehlen</v>
      </c>
      <c r="DE275" s="138" t="str">
        <f t="shared" si="168"/>
        <v/>
      </c>
      <c r="DH275" s="138"/>
      <c r="DL275" t="s">
        <v>100</v>
      </c>
      <c r="DN275">
        <v>71</v>
      </c>
      <c r="DO275" s="249">
        <v>1</v>
      </c>
      <c r="DP275" s="249">
        <v>0</v>
      </c>
      <c r="DQ275" s="249">
        <v>0</v>
      </c>
      <c r="DR275" s="249" t="b">
        <v>1</v>
      </c>
      <c r="DS275" s="138"/>
      <c r="DT275" s="138" t="str">
        <f t="shared" si="158"/>
        <v/>
      </c>
      <c r="DV275" s="315" t="str">
        <f t="shared" si="169"/>
        <v/>
      </c>
      <c r="DW275" s="315" t="str">
        <f>IF(ISERROR(DV275),"",DV275)</f>
        <v/>
      </c>
      <c r="DZ275" s="138" t="str">
        <f t="shared" si="151"/>
        <v/>
      </c>
      <c r="EB275">
        <v>0</v>
      </c>
      <c r="EC275">
        <f t="shared" si="160"/>
        <v>0</v>
      </c>
      <c r="ED275" s="138" t="str">
        <f t="shared" si="152"/>
        <v/>
      </c>
      <c r="EF275" s="315" t="str">
        <f t="shared" si="170"/>
        <v/>
      </c>
      <c r="EH275" s="138">
        <f t="shared" si="153"/>
        <v>0</v>
      </c>
      <c r="EJ275">
        <v>0</v>
      </c>
      <c r="EK275" s="57">
        <f t="shared" si="154"/>
        <v>0</v>
      </c>
      <c r="EM275">
        <f t="shared" si="155"/>
        <v>0</v>
      </c>
      <c r="EV275" s="138" t="str">
        <f t="shared" si="171"/>
        <v/>
      </c>
    </row>
    <row r="276" spans="2:152" ht="12.9" hidden="1" customHeight="1" thickBot="1" x14ac:dyDescent="0.25">
      <c r="B276" t="s">
        <v>581</v>
      </c>
      <c r="C276">
        <v>1</v>
      </c>
      <c r="D276">
        <v>7</v>
      </c>
      <c r="S276" s="70"/>
      <c r="T276" s="312" t="s">
        <v>233</v>
      </c>
      <c r="U276" s="313"/>
      <c r="V276" s="313"/>
      <c r="W276" s="313"/>
      <c r="X276" s="314"/>
      <c r="Y276" s="651"/>
      <c r="Z276" s="380"/>
      <c r="AA276" s="381" t="s">
        <v>93</v>
      </c>
      <c r="AB276" s="382"/>
      <c r="AC276" s="382"/>
      <c r="AD276" s="383"/>
      <c r="AE276" s="283" t="str">
        <f t="shared" si="149"/>
        <v>ˣ</v>
      </c>
      <c r="AF276" s="393" t="str">
        <f t="shared" si="150"/>
        <v>DATEN FEHLEN</v>
      </c>
      <c r="AG276" s="394"/>
      <c r="AH276" s="394"/>
      <c r="AI276" s="394"/>
      <c r="AJ276" s="394"/>
      <c r="AK276" s="394"/>
      <c r="AL276" s="394"/>
      <c r="AM276" s="394"/>
      <c r="AN276" s="394"/>
      <c r="AO276" s="442" t="str">
        <f t="shared" si="166"/>
        <v>KEINE PRÜFUNG</v>
      </c>
      <c r="AP276" s="442"/>
      <c r="AQ276" s="442"/>
      <c r="AR276" s="442"/>
      <c r="AS276" s="442"/>
      <c r="AT276" s="442"/>
      <c r="AU276" s="442"/>
      <c r="AV276" s="442"/>
      <c r="AW276" s="394"/>
      <c r="AX276" s="395"/>
      <c r="AY276" s="395"/>
      <c r="AZ276" s="394"/>
      <c r="BA276" s="394"/>
      <c r="BB276" s="395" t="str">
        <f t="shared" si="167"/>
        <v>0 PKT.</v>
      </c>
      <c r="BC276" s="70"/>
      <c r="BD276" s="70"/>
      <c r="BE276" s="70"/>
      <c r="BF276" s="70"/>
      <c r="BG276" s="70"/>
      <c r="BH276" s="70"/>
      <c r="BI276" s="70"/>
      <c r="BJ276" s="70"/>
      <c r="BK276" s="70"/>
      <c r="BL276" s="70"/>
      <c r="BM276" s="70"/>
      <c r="BN276" s="70"/>
      <c r="BO276" s="70"/>
      <c r="BP276" s="70"/>
      <c r="BQ276" s="70"/>
      <c r="BR276" s="70"/>
      <c r="CX276" s="249" t="s">
        <v>19</v>
      </c>
      <c r="DB276">
        <v>-1</v>
      </c>
      <c r="DD276" s="138" t="str">
        <f>IF(ISERROR(DB276),"Daten fehlen",IF(DB276&lt;0,"Daten fehlen",DB276&amp;" Tore"))</f>
        <v>Daten fehlen</v>
      </c>
      <c r="DE276" s="138" t="str">
        <f t="shared" si="168"/>
        <v/>
      </c>
      <c r="DH276" s="138"/>
      <c r="DL276" t="s">
        <v>101</v>
      </c>
      <c r="DN276">
        <v>72</v>
      </c>
      <c r="DO276" s="249">
        <v>1</v>
      </c>
      <c r="DP276" s="249">
        <v>0</v>
      </c>
      <c r="DQ276" s="249">
        <v>0</v>
      </c>
      <c r="DR276" s="249" t="b">
        <v>1</v>
      </c>
      <c r="DS276" s="138"/>
      <c r="DT276" s="138" t="str">
        <f t="shared" si="158"/>
        <v/>
      </c>
      <c r="DV276" s="315" t="str">
        <f t="shared" si="169"/>
        <v/>
      </c>
      <c r="DW276" s="315" t="str">
        <f>IF(ISERROR(DV276),"",DV276)</f>
        <v/>
      </c>
      <c r="DZ276" s="138" t="str">
        <f t="shared" si="151"/>
        <v/>
      </c>
      <c r="EB276">
        <v>0</v>
      </c>
      <c r="EC276">
        <f t="shared" si="160"/>
        <v>0</v>
      </c>
      <c r="ED276" s="138" t="str">
        <f t="shared" si="152"/>
        <v/>
      </c>
      <c r="EF276" s="315" t="str">
        <f t="shared" si="170"/>
        <v/>
      </c>
      <c r="EH276" s="138">
        <f t="shared" si="153"/>
        <v>0</v>
      </c>
      <c r="EJ276">
        <v>0</v>
      </c>
      <c r="EK276" s="57">
        <f t="shared" si="154"/>
        <v>0</v>
      </c>
      <c r="EM276">
        <f t="shared" si="155"/>
        <v>0</v>
      </c>
      <c r="EV276" s="138" t="str">
        <f t="shared" si="171"/>
        <v/>
      </c>
    </row>
    <row r="277" spans="2:152" ht="12.9" hidden="1" customHeight="1" thickBot="1" x14ac:dyDescent="0.25">
      <c r="B277" t="s">
        <v>601</v>
      </c>
      <c r="C277">
        <v>2</v>
      </c>
      <c r="D277">
        <v>6</v>
      </c>
      <c r="S277" s="70"/>
      <c r="T277" s="312" t="s">
        <v>234</v>
      </c>
      <c r="U277" s="313"/>
      <c r="V277" s="313"/>
      <c r="W277" s="313"/>
      <c r="X277" s="314"/>
      <c r="Y277" s="651"/>
      <c r="Z277" s="380"/>
      <c r="AA277" s="381" t="s">
        <v>93</v>
      </c>
      <c r="AB277" s="382"/>
      <c r="AC277" s="382"/>
      <c r="AD277" s="383"/>
      <c r="AE277" s="283" t="str">
        <f t="shared" si="149"/>
        <v>ˣ</v>
      </c>
      <c r="AF277" s="393" t="str">
        <f t="shared" si="150"/>
        <v>DATEN FEHLEN</v>
      </c>
      <c r="AG277" s="394"/>
      <c r="AH277" s="394"/>
      <c r="AI277" s="394"/>
      <c r="AJ277" s="394"/>
      <c r="AK277" s="394"/>
      <c r="AL277" s="394"/>
      <c r="AM277" s="394"/>
      <c r="AN277" s="394"/>
      <c r="AO277" s="442" t="str">
        <f t="shared" si="166"/>
        <v>KEINE PRÜFUNG</v>
      </c>
      <c r="AP277" s="442"/>
      <c r="AQ277" s="442"/>
      <c r="AR277" s="442"/>
      <c r="AS277" s="442"/>
      <c r="AT277" s="442"/>
      <c r="AU277" s="442"/>
      <c r="AV277" s="442"/>
      <c r="AW277" s="394"/>
      <c r="AX277" s="395"/>
      <c r="AY277" s="395"/>
      <c r="AZ277" s="394"/>
      <c r="BA277" s="394"/>
      <c r="BB277" s="395" t="str">
        <f t="shared" si="167"/>
        <v>0 PKT.</v>
      </c>
      <c r="BC277" s="70"/>
      <c r="BD277" s="70"/>
      <c r="BE277" s="70"/>
      <c r="BF277" s="70"/>
      <c r="BG277" s="70"/>
      <c r="BH277" s="70"/>
      <c r="BI277" s="70"/>
      <c r="BJ277" s="70"/>
      <c r="BK277" s="70"/>
      <c r="BL277" s="70"/>
      <c r="BM277" s="70"/>
      <c r="BN277" s="70"/>
      <c r="BO277" s="70"/>
      <c r="BP277" s="70"/>
      <c r="BQ277" s="70"/>
      <c r="BR277" s="70"/>
      <c r="CX277" s="249" t="s">
        <v>19</v>
      </c>
      <c r="DB277">
        <v>-1</v>
      </c>
      <c r="DD277" s="138" t="str">
        <f>IF(ISERROR(DB277),"Daten fehlen",IF(DB277&lt;0,"Daten fehlen",DB277&amp;" Tore"))</f>
        <v>Daten fehlen</v>
      </c>
      <c r="DE277" s="138" t="str">
        <f t="shared" si="168"/>
        <v/>
      </c>
      <c r="DH277" s="138"/>
      <c r="DL277" t="s">
        <v>102</v>
      </c>
      <c r="DN277">
        <v>73</v>
      </c>
      <c r="DO277" s="249">
        <v>1</v>
      </c>
      <c r="DP277" s="249">
        <v>0</v>
      </c>
      <c r="DQ277" s="249">
        <v>0</v>
      </c>
      <c r="DR277" s="249" t="b">
        <v>1</v>
      </c>
      <c r="DS277" s="138"/>
      <c r="DT277" s="138" t="str">
        <f t="shared" si="158"/>
        <v/>
      </c>
      <c r="DV277" s="315" t="str">
        <f t="shared" si="169"/>
        <v/>
      </c>
      <c r="DW277" s="315" t="str">
        <f>IF(ISERROR(DV277),"",DV277)</f>
        <v/>
      </c>
      <c r="DZ277" s="138" t="str">
        <f t="shared" si="151"/>
        <v/>
      </c>
      <c r="EB277">
        <v>0</v>
      </c>
      <c r="EC277">
        <f t="shared" si="160"/>
        <v>0</v>
      </c>
      <c r="ED277" s="138" t="str">
        <f t="shared" si="152"/>
        <v/>
      </c>
      <c r="EF277" s="315" t="str">
        <f t="shared" si="170"/>
        <v/>
      </c>
      <c r="EH277" s="138">
        <f t="shared" si="153"/>
        <v>0</v>
      </c>
      <c r="EJ277">
        <v>0</v>
      </c>
      <c r="EK277" s="57">
        <f t="shared" si="154"/>
        <v>0</v>
      </c>
      <c r="EM277">
        <f t="shared" si="155"/>
        <v>0</v>
      </c>
      <c r="EV277" s="138" t="str">
        <f t="shared" si="171"/>
        <v/>
      </c>
    </row>
    <row r="278" spans="2:152" ht="12.9" hidden="1" customHeight="1" thickBot="1" x14ac:dyDescent="0.25">
      <c r="B278" t="s">
        <v>613</v>
      </c>
      <c r="C278">
        <v>3</v>
      </c>
      <c r="D278">
        <v>5</v>
      </c>
      <c r="S278" s="70"/>
      <c r="T278" s="312" t="s">
        <v>235</v>
      </c>
      <c r="U278" s="313"/>
      <c r="V278" s="313"/>
      <c r="W278" s="313"/>
      <c r="X278" s="314"/>
      <c r="Y278" s="651"/>
      <c r="Z278" s="380"/>
      <c r="AA278" s="381" t="s">
        <v>93</v>
      </c>
      <c r="AB278" s="382"/>
      <c r="AC278" s="382"/>
      <c r="AD278" s="383"/>
      <c r="AE278" s="283" t="str">
        <f t="shared" si="149"/>
        <v>ˣ</v>
      </c>
      <c r="AF278" s="393" t="str">
        <f t="shared" si="150"/>
        <v>DATEN FEHLEN</v>
      </c>
      <c r="AG278" s="394"/>
      <c r="AH278" s="394"/>
      <c r="AI278" s="394"/>
      <c r="AJ278" s="394"/>
      <c r="AK278" s="394"/>
      <c r="AL278" s="394"/>
      <c r="AM278" s="394"/>
      <c r="AN278" s="394"/>
      <c r="AO278" s="442" t="str">
        <f t="shared" si="166"/>
        <v>KEINE PRÜFUNG</v>
      </c>
      <c r="AP278" s="442"/>
      <c r="AQ278" s="442"/>
      <c r="AR278" s="442"/>
      <c r="AS278" s="442"/>
      <c r="AT278" s="442"/>
      <c r="AU278" s="442"/>
      <c r="AV278" s="442"/>
      <c r="AW278" s="394"/>
      <c r="AX278" s="395"/>
      <c r="AY278" s="395"/>
      <c r="AZ278" s="394"/>
      <c r="BA278" s="394"/>
      <c r="BB278" s="395" t="str">
        <f t="shared" si="167"/>
        <v>0 PKT.</v>
      </c>
      <c r="BC278" s="70"/>
      <c r="BD278" s="70"/>
      <c r="BE278" s="70"/>
      <c r="BF278" s="70"/>
      <c r="BG278" s="70"/>
      <c r="BH278" s="70"/>
      <c r="BI278" s="70"/>
      <c r="BJ278" s="70"/>
      <c r="BK278" s="70"/>
      <c r="BL278" s="70"/>
      <c r="BM278" s="70"/>
      <c r="BN278" s="70"/>
      <c r="BO278" s="70"/>
      <c r="BP278" s="70"/>
      <c r="BQ278" s="70"/>
      <c r="BR278" s="70"/>
      <c r="CX278" s="249" t="s">
        <v>19</v>
      </c>
      <c r="DB278">
        <v>-1</v>
      </c>
      <c r="DD278" s="138" t="str">
        <f>IF(ISERROR(DB278),"Daten fehlen",IF(DB278&lt;0,"Daten fehlen",DB278&amp;" Tore"))</f>
        <v>Daten fehlen</v>
      </c>
      <c r="DE278" s="138" t="str">
        <f t="shared" si="168"/>
        <v/>
      </c>
      <c r="DH278" s="138"/>
      <c r="DL278" t="s">
        <v>103</v>
      </c>
      <c r="DN278">
        <v>74</v>
      </c>
      <c r="DO278" s="249">
        <v>1</v>
      </c>
      <c r="DP278" s="249">
        <v>0</v>
      </c>
      <c r="DQ278" s="249">
        <v>0</v>
      </c>
      <c r="DR278" s="249" t="b">
        <v>1</v>
      </c>
      <c r="DS278" s="138"/>
      <c r="DT278" s="138" t="str">
        <f t="shared" si="158"/>
        <v/>
      </c>
      <c r="DV278" s="315" t="str">
        <f t="shared" si="169"/>
        <v/>
      </c>
      <c r="DW278" s="315" t="str">
        <f>IF(ISERROR(DV278),"",DV278)</f>
        <v/>
      </c>
      <c r="DZ278" s="138" t="str">
        <f t="shared" si="151"/>
        <v/>
      </c>
      <c r="EB278">
        <v>0</v>
      </c>
      <c r="EC278">
        <f t="shared" si="160"/>
        <v>0</v>
      </c>
      <c r="ED278" s="138" t="str">
        <f t="shared" si="152"/>
        <v/>
      </c>
      <c r="EF278" s="315" t="str">
        <f t="shared" si="170"/>
        <v/>
      </c>
      <c r="EH278" s="138">
        <f t="shared" si="153"/>
        <v>0</v>
      </c>
      <c r="EJ278">
        <v>0</v>
      </c>
      <c r="EK278" s="57">
        <f t="shared" si="154"/>
        <v>0</v>
      </c>
      <c r="EM278">
        <f t="shared" si="155"/>
        <v>0</v>
      </c>
      <c r="EV278" s="138" t="str">
        <f t="shared" si="171"/>
        <v/>
      </c>
    </row>
    <row r="279" spans="2:152" x14ac:dyDescent="0.2">
      <c r="B279" t="s">
        <v>608</v>
      </c>
      <c r="C279">
        <v>4</v>
      </c>
      <c r="D279">
        <v>4</v>
      </c>
      <c r="S279" s="70"/>
      <c r="T279" s="70"/>
      <c r="U279" s="70"/>
      <c r="V279" s="70"/>
      <c r="W279" s="70"/>
      <c r="X279" s="70"/>
      <c r="Y279" s="70"/>
      <c r="Z279" s="70"/>
      <c r="AA279" s="70"/>
      <c r="AB279" s="70"/>
      <c r="AC279" s="70"/>
      <c r="AD279" s="70"/>
      <c r="AE279" s="70"/>
      <c r="AF279" s="70"/>
      <c r="AG279" s="70"/>
      <c r="AH279" s="70"/>
      <c r="AI279" s="70"/>
      <c r="AJ279" s="70"/>
      <c r="AK279" s="70"/>
      <c r="AL279" s="70"/>
      <c r="AM279" s="70"/>
      <c r="AN279" s="70"/>
      <c r="AO279" s="70"/>
      <c r="AP279" s="70"/>
      <c r="AQ279" s="70"/>
      <c r="AR279" s="70"/>
      <c r="AS279" s="70"/>
      <c r="AT279" s="70"/>
      <c r="AU279" s="70"/>
      <c r="AV279" s="70"/>
      <c r="AW279" s="70"/>
      <c r="AX279" s="70"/>
      <c r="AY279" s="70"/>
      <c r="AZ279" s="70"/>
      <c r="BA279" s="70"/>
      <c r="BB279" s="70"/>
      <c r="BC279" s="70"/>
      <c r="BD279" s="70"/>
      <c r="BE279" s="70"/>
      <c r="BF279" s="70"/>
      <c r="BG279" s="70"/>
      <c r="BH279" s="70"/>
      <c r="BI279" s="70"/>
      <c r="BJ279" s="70"/>
      <c r="BK279" s="70"/>
      <c r="BL279" s="70"/>
      <c r="BM279" s="70"/>
      <c r="BN279" s="70"/>
      <c r="BO279" s="70"/>
      <c r="BP279" s="70"/>
      <c r="BQ279" s="70"/>
      <c r="BR279" s="70"/>
      <c r="EV279" t="str">
        <f>IF(LEN(EI279)=0,"",INDEX($I$254:$I$285,EI279))</f>
        <v/>
      </c>
    </row>
    <row r="280" spans="2:152" x14ac:dyDescent="0.2">
      <c r="B280" t="s">
        <v>487</v>
      </c>
      <c r="C280">
        <v>5</v>
      </c>
      <c r="D280">
        <v>3</v>
      </c>
      <c r="EV280" t="str">
        <f>IF(LEN(EI280)=0,"",INDEX($I$254:$I$285,EI280))</f>
        <v/>
      </c>
    </row>
    <row r="281" spans="2:152" x14ac:dyDescent="0.2">
      <c r="B281" t="s">
        <v>632</v>
      </c>
      <c r="C281">
        <v>6</v>
      </c>
      <c r="D281">
        <v>2</v>
      </c>
      <c r="EV281" t="str">
        <f>IF(LEN(EI281)=0,"",INDEX($I$254:$I$285,EI281))</f>
        <v/>
      </c>
    </row>
    <row r="282" spans="2:152" x14ac:dyDescent="0.2">
      <c r="B282" t="s">
        <v>104</v>
      </c>
      <c r="C282">
        <v>7</v>
      </c>
      <c r="D282">
        <v>1</v>
      </c>
    </row>
    <row r="288" spans="2:152" hidden="1" x14ac:dyDescent="0.2"/>
    <row r="289" spans="11:49" hidden="1" x14ac:dyDescent="0.2">
      <c r="K289" t="s">
        <v>10</v>
      </c>
      <c r="L289">
        <f>COUNTA(K293:K1294)</f>
        <v>617</v>
      </c>
    </row>
    <row r="290" spans="11:49" hidden="1" x14ac:dyDescent="0.2">
      <c r="K290" t="s">
        <v>105</v>
      </c>
      <c r="Y290" t="s">
        <v>106</v>
      </c>
      <c r="AR290" t="s">
        <v>107</v>
      </c>
    </row>
    <row r="291" spans="11:49" hidden="1" x14ac:dyDescent="0.2">
      <c r="K291" t="s">
        <v>108</v>
      </c>
      <c r="L291" t="s">
        <v>109</v>
      </c>
      <c r="M291" t="s">
        <v>110</v>
      </c>
      <c r="N291" t="s">
        <v>111</v>
      </c>
      <c r="O291" t="s">
        <v>112</v>
      </c>
      <c r="AR291" t="s">
        <v>7</v>
      </c>
      <c r="AS291" t="s">
        <v>113</v>
      </c>
    </row>
    <row r="292" spans="11:49" hidden="1" x14ac:dyDescent="0.2">
      <c r="K292" t="s">
        <v>813</v>
      </c>
      <c r="L292" t="s">
        <v>1194</v>
      </c>
      <c r="M292" t="s">
        <v>1195</v>
      </c>
      <c r="N292" t="s">
        <v>1196</v>
      </c>
      <c r="O292" t="s">
        <v>1197</v>
      </c>
      <c r="AR292">
        <v>1</v>
      </c>
      <c r="AU292" t="s">
        <v>114</v>
      </c>
    </row>
    <row r="293" spans="11:49" hidden="1" x14ac:dyDescent="0.2">
      <c r="K293" t="s">
        <v>813</v>
      </c>
      <c r="L293" t="s">
        <v>1198</v>
      </c>
      <c r="M293" t="s">
        <v>1199</v>
      </c>
      <c r="N293" t="s">
        <v>1200</v>
      </c>
      <c r="O293" t="s">
        <v>1201</v>
      </c>
      <c r="U293" t="s">
        <v>123</v>
      </c>
      <c r="V293" t="s">
        <v>638</v>
      </c>
      <c r="W293" t="s">
        <v>638</v>
      </c>
      <c r="X293" t="s">
        <v>534</v>
      </c>
      <c r="Y293" t="s">
        <v>535</v>
      </c>
      <c r="Z293" t="s">
        <v>638</v>
      </c>
      <c r="AA293" t="s">
        <v>535</v>
      </c>
      <c r="AB293" t="s">
        <v>602</v>
      </c>
      <c r="AC293" t="s">
        <v>637</v>
      </c>
      <c r="AD293" t="s">
        <v>605</v>
      </c>
      <c r="AE293" t="s">
        <v>536</v>
      </c>
      <c r="AF293" t="s">
        <v>116</v>
      </c>
      <c r="AG293" t="s">
        <v>117</v>
      </c>
      <c r="AR293">
        <v>2</v>
      </c>
      <c r="AU293" t="s">
        <v>118</v>
      </c>
    </row>
    <row r="294" spans="11:49" hidden="1" x14ac:dyDescent="0.2">
      <c r="K294" t="s">
        <v>813</v>
      </c>
      <c r="L294" t="s">
        <v>1202</v>
      </c>
      <c r="M294" t="s">
        <v>1203</v>
      </c>
      <c r="N294" t="s">
        <v>1204</v>
      </c>
      <c r="O294" t="s">
        <v>1205</v>
      </c>
      <c r="U294" t="s">
        <v>1119</v>
      </c>
      <c r="V294" t="s">
        <v>1116</v>
      </c>
      <c r="W294" t="s">
        <v>1116</v>
      </c>
      <c r="X294" t="s">
        <v>115</v>
      </c>
      <c r="Y294" t="s">
        <v>605</v>
      </c>
      <c r="Z294" t="s">
        <v>1116</v>
      </c>
      <c r="AA294" t="s">
        <v>584</v>
      </c>
      <c r="AB294" t="s">
        <v>609</v>
      </c>
      <c r="AC294" t="s">
        <v>617</v>
      </c>
      <c r="AD294" t="s">
        <v>537</v>
      </c>
      <c r="AE294" t="s">
        <v>633</v>
      </c>
      <c r="AF294" t="s">
        <v>120</v>
      </c>
      <c r="AG294" t="s">
        <v>121</v>
      </c>
      <c r="AR294">
        <v>3</v>
      </c>
      <c r="AS294">
        <v>1</v>
      </c>
      <c r="AU294" t="s">
        <v>122</v>
      </c>
    </row>
    <row r="295" spans="11:49" hidden="1" x14ac:dyDescent="0.2">
      <c r="K295" t="s">
        <v>813</v>
      </c>
      <c r="L295" t="s">
        <v>1206</v>
      </c>
      <c r="M295" t="s">
        <v>1207</v>
      </c>
      <c r="N295" t="s">
        <v>1208</v>
      </c>
      <c r="O295" t="s">
        <v>1209</v>
      </c>
      <c r="U295" t="s">
        <v>1121</v>
      </c>
      <c r="V295" t="s">
        <v>1118</v>
      </c>
      <c r="W295" t="s">
        <v>1118</v>
      </c>
      <c r="X295" t="s">
        <v>119</v>
      </c>
      <c r="Y295" t="s">
        <v>602</v>
      </c>
      <c r="Z295" t="s">
        <v>598</v>
      </c>
      <c r="AA295" t="s">
        <v>610</v>
      </c>
      <c r="AB295" t="s">
        <v>538</v>
      </c>
      <c r="AC295" t="s">
        <v>614</v>
      </c>
      <c r="AD295" t="s">
        <v>1117</v>
      </c>
      <c r="AE295" t="s">
        <v>621</v>
      </c>
      <c r="AF295" t="s">
        <v>124</v>
      </c>
      <c r="AG295" t="s">
        <v>125</v>
      </c>
      <c r="AR295">
        <v>4</v>
      </c>
      <c r="AS295">
        <v>13</v>
      </c>
      <c r="AU295" t="s">
        <v>126</v>
      </c>
    </row>
    <row r="296" spans="11:49" hidden="1" x14ac:dyDescent="0.2">
      <c r="K296" t="s">
        <v>813</v>
      </c>
      <c r="L296" t="s">
        <v>1206</v>
      </c>
      <c r="M296" t="s">
        <v>1210</v>
      </c>
      <c r="N296" t="s">
        <v>1211</v>
      </c>
      <c r="O296" t="s">
        <v>1212</v>
      </c>
      <c r="U296" t="s">
        <v>145</v>
      </c>
      <c r="V296" t="s">
        <v>598</v>
      </c>
      <c r="W296" t="s">
        <v>598</v>
      </c>
      <c r="X296" t="s">
        <v>123</v>
      </c>
      <c r="Y296" t="s">
        <v>638</v>
      </c>
      <c r="Z296" t="s">
        <v>1118</v>
      </c>
      <c r="AA296" t="s">
        <v>628</v>
      </c>
      <c r="AB296" t="s">
        <v>539</v>
      </c>
      <c r="AC296" t="s">
        <v>625</v>
      </c>
      <c r="AD296" t="s">
        <v>618</v>
      </c>
      <c r="AE296" t="s">
        <v>582</v>
      </c>
      <c r="AF296" t="s">
        <v>128</v>
      </c>
      <c r="AG296" t="s">
        <v>129</v>
      </c>
      <c r="AR296">
        <v>5</v>
      </c>
      <c r="AS296">
        <v>25</v>
      </c>
      <c r="AU296" t="s">
        <v>130</v>
      </c>
    </row>
    <row r="297" spans="11:49" hidden="1" x14ac:dyDescent="0.2">
      <c r="K297" t="s">
        <v>813</v>
      </c>
      <c r="L297" t="s">
        <v>1213</v>
      </c>
      <c r="M297" t="s">
        <v>1214</v>
      </c>
      <c r="N297" t="s">
        <v>1215</v>
      </c>
      <c r="O297" t="s">
        <v>1216</v>
      </c>
      <c r="U297" t="s">
        <v>146</v>
      </c>
      <c r="V297" t="s">
        <v>628</v>
      </c>
      <c r="W297" t="s">
        <v>628</v>
      </c>
      <c r="X297" t="s">
        <v>127</v>
      </c>
      <c r="Y297" t="s">
        <v>609</v>
      </c>
      <c r="AF297" t="s">
        <v>131</v>
      </c>
      <c r="AG297" t="s">
        <v>132</v>
      </c>
      <c r="AR297">
        <v>6</v>
      </c>
      <c r="AS297">
        <v>37</v>
      </c>
      <c r="AU297" t="s">
        <v>133</v>
      </c>
    </row>
    <row r="298" spans="11:49" hidden="1" x14ac:dyDescent="0.2">
      <c r="K298" t="s">
        <v>813</v>
      </c>
      <c r="L298" t="s">
        <v>1217</v>
      </c>
      <c r="M298" t="s">
        <v>1218</v>
      </c>
      <c r="N298" t="s">
        <v>1219</v>
      </c>
      <c r="O298" t="s">
        <v>1220</v>
      </c>
      <c r="U298" t="s">
        <v>139</v>
      </c>
      <c r="V298" t="s">
        <v>610</v>
      </c>
      <c r="W298" t="s">
        <v>610</v>
      </c>
      <c r="X298" t="s">
        <v>134</v>
      </c>
      <c r="Y298" t="s">
        <v>637</v>
      </c>
      <c r="AF298" t="s">
        <v>135</v>
      </c>
      <c r="AR298">
        <v>7</v>
      </c>
      <c r="AS298">
        <v>45</v>
      </c>
      <c r="AU298" t="s">
        <v>136</v>
      </c>
    </row>
    <row r="299" spans="11:49" hidden="1" x14ac:dyDescent="0.2">
      <c r="K299" t="s">
        <v>813</v>
      </c>
      <c r="L299" t="s">
        <v>1221</v>
      </c>
      <c r="M299" t="s">
        <v>1222</v>
      </c>
      <c r="N299" t="s">
        <v>1223</v>
      </c>
      <c r="O299" t="s">
        <v>1224</v>
      </c>
      <c r="U299" t="s">
        <v>137</v>
      </c>
      <c r="V299" t="s">
        <v>584</v>
      </c>
      <c r="W299" t="s">
        <v>584</v>
      </c>
      <c r="X299" t="s">
        <v>540</v>
      </c>
      <c r="Y299" t="s">
        <v>536</v>
      </c>
      <c r="AR299">
        <v>8</v>
      </c>
      <c r="AS299">
        <v>49</v>
      </c>
      <c r="AU299" t="s">
        <v>138</v>
      </c>
    </row>
    <row r="300" spans="11:49" hidden="1" x14ac:dyDescent="0.2">
      <c r="K300" t="s">
        <v>813</v>
      </c>
      <c r="L300" t="s">
        <v>1225</v>
      </c>
      <c r="M300" t="s">
        <v>1226</v>
      </c>
      <c r="N300" t="s">
        <v>1227</v>
      </c>
      <c r="O300" t="s">
        <v>1228</v>
      </c>
      <c r="U300" t="s">
        <v>534</v>
      </c>
      <c r="V300" t="s">
        <v>535</v>
      </c>
      <c r="W300" t="s">
        <v>535</v>
      </c>
      <c r="X300" t="s">
        <v>137</v>
      </c>
      <c r="Y300" t="s">
        <v>584</v>
      </c>
      <c r="AR300">
        <v>9</v>
      </c>
      <c r="AS300">
        <v>50</v>
      </c>
      <c r="AU300" t="s">
        <v>1115</v>
      </c>
    </row>
    <row r="301" spans="11:49" hidden="1" x14ac:dyDescent="0.2">
      <c r="K301" t="s">
        <v>813</v>
      </c>
      <c r="L301" t="s">
        <v>1229</v>
      </c>
      <c r="M301" t="s">
        <v>1230</v>
      </c>
      <c r="N301" t="s">
        <v>1231</v>
      </c>
      <c r="O301" t="s">
        <v>1232</v>
      </c>
      <c r="U301" t="s">
        <v>541</v>
      </c>
      <c r="V301" t="s">
        <v>539</v>
      </c>
      <c r="W301" t="s">
        <v>539</v>
      </c>
      <c r="X301" t="s">
        <v>139</v>
      </c>
      <c r="Y301" t="s">
        <v>610</v>
      </c>
      <c r="AR301">
        <v>10</v>
      </c>
      <c r="AS301">
        <v>51</v>
      </c>
      <c r="AU301" t="s">
        <v>141</v>
      </c>
    </row>
    <row r="302" spans="11:49" hidden="1" x14ac:dyDescent="0.2">
      <c r="K302" t="s">
        <v>813</v>
      </c>
      <c r="L302" t="s">
        <v>1233</v>
      </c>
      <c r="M302" t="s">
        <v>1234</v>
      </c>
      <c r="N302" t="s">
        <v>1235</v>
      </c>
      <c r="O302" t="s">
        <v>1236</v>
      </c>
      <c r="U302" t="s">
        <v>119</v>
      </c>
      <c r="V302" t="s">
        <v>602</v>
      </c>
      <c r="W302" t="s">
        <v>602</v>
      </c>
      <c r="X302" t="s">
        <v>140</v>
      </c>
      <c r="Y302" t="s">
        <v>617</v>
      </c>
      <c r="AS302">
        <v>52</v>
      </c>
    </row>
    <row r="303" spans="11:49" ht="11.4" hidden="1" x14ac:dyDescent="0.2">
      <c r="K303" t="s">
        <v>813</v>
      </c>
      <c r="L303" t="s">
        <v>1237</v>
      </c>
      <c r="M303" t="s">
        <v>1238</v>
      </c>
      <c r="N303" t="s">
        <v>1239</v>
      </c>
      <c r="O303" t="s">
        <v>1240</v>
      </c>
      <c r="U303" t="s">
        <v>542</v>
      </c>
      <c r="V303" t="s">
        <v>538</v>
      </c>
      <c r="W303" t="s">
        <v>538</v>
      </c>
      <c r="X303" t="s">
        <v>142</v>
      </c>
      <c r="Y303" t="s">
        <v>614</v>
      </c>
      <c r="AN303" s="316"/>
      <c r="AO303" s="316"/>
      <c r="AP303" s="316"/>
      <c r="AQ303" s="316"/>
      <c r="AR303" s="316"/>
      <c r="AS303" s="316"/>
      <c r="AT303" s="316"/>
      <c r="AU303" s="316"/>
      <c r="AV303" s="316"/>
    </row>
    <row r="304" spans="11:49" ht="11.4" hidden="1" x14ac:dyDescent="0.2">
      <c r="K304" t="s">
        <v>813</v>
      </c>
      <c r="L304" t="s">
        <v>1241</v>
      </c>
      <c r="M304" t="s">
        <v>1242</v>
      </c>
      <c r="N304" t="s">
        <v>1243</v>
      </c>
      <c r="O304" t="s">
        <v>1244</v>
      </c>
      <c r="U304" t="s">
        <v>127</v>
      </c>
      <c r="V304" t="s">
        <v>609</v>
      </c>
      <c r="W304" t="s">
        <v>609</v>
      </c>
      <c r="X304" t="s">
        <v>143</v>
      </c>
      <c r="Y304" t="s">
        <v>625</v>
      </c>
      <c r="AN304" s="316"/>
      <c r="AO304" s="316"/>
      <c r="AP304" s="316"/>
      <c r="AQ304" s="316"/>
      <c r="AR304" s="316"/>
      <c r="AS304" s="316"/>
      <c r="AT304" s="316"/>
      <c r="AU304" s="316"/>
      <c r="AW304" s="316"/>
    </row>
    <row r="305" spans="11:49" ht="11.4" hidden="1" x14ac:dyDescent="0.2">
      <c r="K305" t="s">
        <v>813</v>
      </c>
      <c r="L305" t="s">
        <v>1245</v>
      </c>
      <c r="M305" t="s">
        <v>1246</v>
      </c>
      <c r="N305" t="s">
        <v>1247</v>
      </c>
      <c r="O305" t="s">
        <v>1248</v>
      </c>
      <c r="U305" t="s">
        <v>143</v>
      </c>
      <c r="V305" t="s">
        <v>625</v>
      </c>
      <c r="W305" t="s">
        <v>625</v>
      </c>
      <c r="X305" t="s">
        <v>144</v>
      </c>
      <c r="Y305" t="s">
        <v>633</v>
      </c>
      <c r="AN305" s="316"/>
      <c r="AO305" s="316"/>
      <c r="AP305" s="316"/>
      <c r="AQ305" s="316"/>
      <c r="AR305" s="316"/>
      <c r="AS305" s="316"/>
      <c r="AT305" s="316"/>
      <c r="AU305" s="316"/>
      <c r="AW305" s="316"/>
    </row>
    <row r="306" spans="11:49" ht="11.4" hidden="1" x14ac:dyDescent="0.2">
      <c r="K306" t="s">
        <v>813</v>
      </c>
      <c r="L306" t="s">
        <v>1249</v>
      </c>
      <c r="M306" t="s">
        <v>1250</v>
      </c>
      <c r="N306" t="s">
        <v>1251</v>
      </c>
      <c r="O306" t="s">
        <v>1252</v>
      </c>
      <c r="U306" t="s">
        <v>140</v>
      </c>
      <c r="V306" t="s">
        <v>617</v>
      </c>
      <c r="W306" t="s">
        <v>617</v>
      </c>
      <c r="X306" t="s">
        <v>543</v>
      </c>
      <c r="Y306" t="s">
        <v>537</v>
      </c>
      <c r="AN306" s="316"/>
      <c r="AO306" s="316"/>
      <c r="AP306" s="316"/>
      <c r="AQ306" s="316"/>
      <c r="AR306" s="316"/>
      <c r="AS306" s="316"/>
      <c r="AT306" s="316"/>
      <c r="AU306" s="316"/>
      <c r="AW306" s="316"/>
    </row>
    <row r="307" spans="11:49" ht="11.4" hidden="1" x14ac:dyDescent="0.2">
      <c r="K307" t="s">
        <v>813</v>
      </c>
      <c r="L307" t="s">
        <v>1253</v>
      </c>
      <c r="M307" t="s">
        <v>1254</v>
      </c>
      <c r="N307" t="s">
        <v>1255</v>
      </c>
      <c r="O307" t="s">
        <v>1256</v>
      </c>
      <c r="U307" t="s">
        <v>142</v>
      </c>
      <c r="V307" t="s">
        <v>614</v>
      </c>
      <c r="W307" t="s">
        <v>614</v>
      </c>
      <c r="X307" t="s">
        <v>1119</v>
      </c>
      <c r="Y307" t="s">
        <v>1116</v>
      </c>
      <c r="AN307" s="316"/>
      <c r="AO307" s="316"/>
      <c r="AP307" s="316"/>
      <c r="AQ307" s="316"/>
      <c r="AR307" s="316"/>
      <c r="AS307" s="316"/>
      <c r="AT307" s="316"/>
      <c r="AU307" s="316"/>
      <c r="AW307" s="316"/>
    </row>
    <row r="308" spans="11:49" ht="11.4" hidden="1" x14ac:dyDescent="0.2">
      <c r="K308" t="s">
        <v>813</v>
      </c>
      <c r="L308" t="s">
        <v>1257</v>
      </c>
      <c r="M308" t="s">
        <v>1258</v>
      </c>
      <c r="N308" t="s">
        <v>1259</v>
      </c>
      <c r="O308" t="s">
        <v>1260</v>
      </c>
      <c r="U308" t="s">
        <v>134</v>
      </c>
      <c r="V308" t="s">
        <v>637</v>
      </c>
      <c r="W308" t="s">
        <v>637</v>
      </c>
      <c r="X308" t="s">
        <v>145</v>
      </c>
      <c r="Y308" t="s">
        <v>598</v>
      </c>
      <c r="AN308" s="316"/>
      <c r="AO308" s="316"/>
      <c r="AP308" s="316"/>
      <c r="AQ308" s="316"/>
      <c r="AR308" s="316"/>
      <c r="AS308" s="316"/>
      <c r="AT308" s="316"/>
      <c r="AU308" s="316"/>
      <c r="AW308" s="316"/>
    </row>
    <row r="309" spans="11:49" ht="11.4" hidden="1" x14ac:dyDescent="0.2">
      <c r="K309" t="s">
        <v>813</v>
      </c>
      <c r="L309" t="s">
        <v>1261</v>
      </c>
      <c r="M309" t="s">
        <v>1262</v>
      </c>
      <c r="N309" t="s">
        <v>1263</v>
      </c>
      <c r="O309" t="s">
        <v>1264</v>
      </c>
      <c r="U309" t="s">
        <v>115</v>
      </c>
      <c r="V309" t="s">
        <v>605</v>
      </c>
      <c r="W309" t="s">
        <v>605</v>
      </c>
      <c r="X309" t="s">
        <v>542</v>
      </c>
      <c r="Y309" t="s">
        <v>538</v>
      </c>
      <c r="AN309" s="316"/>
      <c r="AO309" s="316"/>
      <c r="AP309" s="316"/>
      <c r="AQ309" s="316"/>
      <c r="AR309" s="316"/>
      <c r="AS309" s="316"/>
      <c r="AT309" s="316"/>
      <c r="AU309" s="316"/>
      <c r="AW309" s="316"/>
    </row>
    <row r="310" spans="11:49" ht="11.4" hidden="1" x14ac:dyDescent="0.2">
      <c r="K310" t="s">
        <v>813</v>
      </c>
      <c r="L310" t="s">
        <v>1265</v>
      </c>
      <c r="M310" t="s">
        <v>1266</v>
      </c>
      <c r="N310" t="s">
        <v>1267</v>
      </c>
      <c r="O310" t="s">
        <v>1268</v>
      </c>
      <c r="U310" t="s">
        <v>1120</v>
      </c>
      <c r="V310" t="s">
        <v>1117</v>
      </c>
      <c r="W310" t="s">
        <v>1117</v>
      </c>
      <c r="X310" t="s">
        <v>1120</v>
      </c>
      <c r="Y310" t="s">
        <v>1117</v>
      </c>
      <c r="AN310" s="316"/>
      <c r="AO310" s="316"/>
      <c r="AP310" s="316"/>
      <c r="AQ310" s="316"/>
      <c r="AR310" s="316"/>
      <c r="AS310" s="316"/>
      <c r="AT310" s="316"/>
      <c r="AU310" s="316"/>
      <c r="AW310" s="316"/>
    </row>
    <row r="311" spans="11:49" ht="11.4" hidden="1" x14ac:dyDescent="0.2">
      <c r="K311" t="s">
        <v>813</v>
      </c>
      <c r="L311" t="s">
        <v>1269</v>
      </c>
      <c r="M311" t="s">
        <v>1270</v>
      </c>
      <c r="N311" t="s">
        <v>1271</v>
      </c>
      <c r="O311" t="s">
        <v>1272</v>
      </c>
      <c r="U311" t="s">
        <v>543</v>
      </c>
      <c r="V311" t="s">
        <v>537</v>
      </c>
      <c r="W311" t="s">
        <v>537</v>
      </c>
      <c r="X311" t="s">
        <v>541</v>
      </c>
      <c r="Y311" t="s">
        <v>539</v>
      </c>
      <c r="AN311" s="316"/>
      <c r="AO311" s="316"/>
      <c r="AP311" s="316"/>
      <c r="AQ311" s="316"/>
      <c r="AR311" s="316"/>
      <c r="AS311" s="316"/>
      <c r="AT311" s="316"/>
      <c r="AU311" s="316"/>
      <c r="AW311" s="316"/>
    </row>
    <row r="312" spans="11:49" ht="11.4" hidden="1" x14ac:dyDescent="0.2">
      <c r="K312" t="s">
        <v>813</v>
      </c>
      <c r="L312" t="s">
        <v>1273</v>
      </c>
      <c r="M312" t="s">
        <v>1274</v>
      </c>
      <c r="N312" t="s">
        <v>1275</v>
      </c>
      <c r="O312" t="s">
        <v>1276</v>
      </c>
      <c r="U312" t="s">
        <v>149</v>
      </c>
      <c r="V312" t="s">
        <v>618</v>
      </c>
      <c r="W312" t="s">
        <v>618</v>
      </c>
      <c r="X312" t="s">
        <v>146</v>
      </c>
      <c r="Y312" t="s">
        <v>628</v>
      </c>
      <c r="AN312" s="316"/>
      <c r="AO312" s="316"/>
      <c r="AP312" s="316"/>
      <c r="AQ312" s="316"/>
      <c r="AR312" s="316"/>
      <c r="AS312" s="316"/>
      <c r="AT312" s="316"/>
      <c r="AU312" s="316"/>
      <c r="AW312" s="316"/>
    </row>
    <row r="313" spans="11:49" ht="11.4" hidden="1" x14ac:dyDescent="0.2">
      <c r="K313" t="s">
        <v>813</v>
      </c>
      <c r="L313" t="s">
        <v>1277</v>
      </c>
      <c r="M313" t="s">
        <v>1278</v>
      </c>
      <c r="N313" t="s">
        <v>1279</v>
      </c>
      <c r="O313" t="s">
        <v>1280</v>
      </c>
      <c r="U313" t="s">
        <v>147</v>
      </c>
      <c r="V313" t="s">
        <v>582</v>
      </c>
      <c r="W313" t="s">
        <v>582</v>
      </c>
      <c r="X313" t="s">
        <v>148</v>
      </c>
      <c r="Y313" t="s">
        <v>621</v>
      </c>
      <c r="AN313" s="316"/>
      <c r="AO313" s="316"/>
      <c r="AP313" s="316"/>
      <c r="AQ313" s="316"/>
      <c r="AR313" s="316"/>
      <c r="AS313" s="316"/>
      <c r="AT313" s="316"/>
      <c r="AU313" s="316"/>
      <c r="AW313" s="316"/>
    </row>
    <row r="314" spans="11:49" ht="11.4" hidden="1" x14ac:dyDescent="0.2">
      <c r="K314" t="s">
        <v>898</v>
      </c>
      <c r="L314" t="s">
        <v>1281</v>
      </c>
      <c r="M314" t="s">
        <v>1282</v>
      </c>
      <c r="N314" t="s">
        <v>1283</v>
      </c>
      <c r="O314" t="s">
        <v>1284</v>
      </c>
      <c r="U314" t="s">
        <v>540</v>
      </c>
      <c r="V314" t="s">
        <v>536</v>
      </c>
      <c r="W314" t="s">
        <v>536</v>
      </c>
      <c r="X314" t="s">
        <v>147</v>
      </c>
      <c r="Y314" t="s">
        <v>582</v>
      </c>
      <c r="AN314" s="316"/>
      <c r="AO314" s="316"/>
      <c r="AP314" s="316"/>
      <c r="AQ314" s="316"/>
      <c r="AR314" s="316"/>
      <c r="AS314" s="316"/>
      <c r="AT314" s="316"/>
      <c r="AU314" s="316"/>
      <c r="AW314" s="316"/>
    </row>
    <row r="315" spans="11:49" ht="11.4" hidden="1" x14ac:dyDescent="0.2">
      <c r="K315" t="s">
        <v>898</v>
      </c>
      <c r="L315" t="s">
        <v>1285</v>
      </c>
      <c r="M315" t="s">
        <v>1286</v>
      </c>
      <c r="N315" t="s">
        <v>1287</v>
      </c>
      <c r="O315" t="s">
        <v>1288</v>
      </c>
      <c r="U315" t="s">
        <v>144</v>
      </c>
      <c r="V315" t="s">
        <v>633</v>
      </c>
      <c r="W315" t="s">
        <v>633</v>
      </c>
      <c r="X315" t="s">
        <v>149</v>
      </c>
      <c r="Y315" t="s">
        <v>618</v>
      </c>
      <c r="AN315" s="316"/>
      <c r="AO315" s="316"/>
      <c r="AP315" s="316"/>
      <c r="AQ315" s="316"/>
      <c r="AR315" s="316"/>
      <c r="AS315" s="316"/>
      <c r="AT315" s="316"/>
      <c r="AU315" s="316"/>
      <c r="AW315" s="316"/>
    </row>
    <row r="316" spans="11:49" ht="11.4" hidden="1" x14ac:dyDescent="0.2">
      <c r="K316" t="s">
        <v>898</v>
      </c>
      <c r="L316" t="s">
        <v>1289</v>
      </c>
      <c r="M316" t="s">
        <v>1290</v>
      </c>
      <c r="N316" t="s">
        <v>1291</v>
      </c>
      <c r="O316" t="s">
        <v>1292</v>
      </c>
      <c r="U316" t="s">
        <v>148</v>
      </c>
      <c r="V316" t="s">
        <v>621</v>
      </c>
      <c r="W316" t="s">
        <v>621</v>
      </c>
      <c r="X316" t="s">
        <v>1121</v>
      </c>
      <c r="Y316" t="s">
        <v>1118</v>
      </c>
      <c r="AN316" s="316"/>
      <c r="AO316" s="316"/>
      <c r="AP316" s="316"/>
      <c r="AQ316" s="316"/>
      <c r="AR316" s="316"/>
      <c r="AS316" s="316"/>
      <c r="AT316" s="316"/>
      <c r="AU316" s="316"/>
      <c r="AW316" s="316"/>
    </row>
    <row r="317" spans="11:49" hidden="1" x14ac:dyDescent="0.2">
      <c r="K317" t="s">
        <v>898</v>
      </c>
      <c r="L317" t="s">
        <v>1293</v>
      </c>
      <c r="M317" t="s">
        <v>1294</v>
      </c>
      <c r="N317" t="s">
        <v>1295</v>
      </c>
      <c r="O317" t="s">
        <v>1296</v>
      </c>
    </row>
    <row r="318" spans="11:49" hidden="1" x14ac:dyDescent="0.2">
      <c r="K318" t="s">
        <v>898</v>
      </c>
      <c r="L318" t="s">
        <v>1297</v>
      </c>
      <c r="M318" t="s">
        <v>1298</v>
      </c>
      <c r="N318" t="s">
        <v>1299</v>
      </c>
      <c r="O318" t="s">
        <v>1300</v>
      </c>
      <c r="Z318" t="s">
        <v>638</v>
      </c>
      <c r="AA318" t="s">
        <v>535</v>
      </c>
      <c r="AB318" t="s">
        <v>602</v>
      </c>
      <c r="AC318" t="s">
        <v>637</v>
      </c>
      <c r="AD318" t="s">
        <v>605</v>
      </c>
      <c r="AE318" t="s">
        <v>536</v>
      </c>
    </row>
    <row r="319" spans="11:49" hidden="1" x14ac:dyDescent="0.2">
      <c r="K319" t="s">
        <v>898</v>
      </c>
      <c r="L319" t="s">
        <v>1301</v>
      </c>
      <c r="M319" t="s">
        <v>1302</v>
      </c>
      <c r="N319" t="s">
        <v>1303</v>
      </c>
      <c r="O319" t="s">
        <v>1304</v>
      </c>
      <c r="Z319" t="s">
        <v>1116</v>
      </c>
      <c r="AA319" t="s">
        <v>584</v>
      </c>
      <c r="AB319" t="s">
        <v>609</v>
      </c>
      <c r="AC319" t="s">
        <v>617</v>
      </c>
      <c r="AD319" t="s">
        <v>537</v>
      </c>
      <c r="AE319" t="s">
        <v>633</v>
      </c>
    </row>
    <row r="320" spans="11:49" hidden="1" x14ac:dyDescent="0.2">
      <c r="K320" t="s">
        <v>898</v>
      </c>
      <c r="L320" t="s">
        <v>1305</v>
      </c>
      <c r="M320" t="s">
        <v>1306</v>
      </c>
      <c r="N320" t="s">
        <v>1307</v>
      </c>
      <c r="O320" t="s">
        <v>1308</v>
      </c>
      <c r="Z320" t="s">
        <v>598</v>
      </c>
      <c r="AA320" t="s">
        <v>610</v>
      </c>
      <c r="AB320" t="s">
        <v>538</v>
      </c>
      <c r="AC320" t="s">
        <v>614</v>
      </c>
      <c r="AD320" t="s">
        <v>1117</v>
      </c>
      <c r="AE320" t="s">
        <v>621</v>
      </c>
    </row>
    <row r="321" spans="11:38" hidden="1" x14ac:dyDescent="0.2">
      <c r="K321" t="s">
        <v>898</v>
      </c>
      <c r="L321" t="s">
        <v>1309</v>
      </c>
      <c r="M321" t="s">
        <v>1310</v>
      </c>
      <c r="N321" t="s">
        <v>1311</v>
      </c>
      <c r="O321" t="s">
        <v>1312</v>
      </c>
      <c r="W321" t="s">
        <v>150</v>
      </c>
      <c r="Z321" t="s">
        <v>1118</v>
      </c>
      <c r="AA321" t="s">
        <v>628</v>
      </c>
      <c r="AB321" t="s">
        <v>539</v>
      </c>
      <c r="AC321" t="s">
        <v>625</v>
      </c>
      <c r="AD321" t="s">
        <v>618</v>
      </c>
      <c r="AE321" t="s">
        <v>582</v>
      </c>
    </row>
    <row r="322" spans="11:38" hidden="1" x14ac:dyDescent="0.2">
      <c r="K322" t="s">
        <v>898</v>
      </c>
      <c r="L322" t="s">
        <v>1313</v>
      </c>
      <c r="M322" t="s">
        <v>1314</v>
      </c>
      <c r="N322" t="s">
        <v>1315</v>
      </c>
      <c r="O322" t="s">
        <v>1316</v>
      </c>
      <c r="W322" t="s">
        <v>424</v>
      </c>
      <c r="X322" t="s">
        <v>544</v>
      </c>
    </row>
    <row r="323" spans="11:38" hidden="1" x14ac:dyDescent="0.2">
      <c r="K323" t="s">
        <v>898</v>
      </c>
      <c r="L323" t="s">
        <v>1317</v>
      </c>
      <c r="M323" t="s">
        <v>1318</v>
      </c>
      <c r="N323" t="s">
        <v>1319</v>
      </c>
      <c r="O323" t="s">
        <v>1320</v>
      </c>
      <c r="W323">
        <v>1</v>
      </c>
      <c r="Y323">
        <v>2</v>
      </c>
      <c r="AA323">
        <v>3</v>
      </c>
      <c r="AC323">
        <v>4</v>
      </c>
      <c r="AE323">
        <v>5</v>
      </c>
      <c r="AG323">
        <v>6</v>
      </c>
      <c r="AI323">
        <v>7</v>
      </c>
      <c r="AK323">
        <v>8</v>
      </c>
    </row>
    <row r="324" spans="11:38" hidden="1" x14ac:dyDescent="0.2">
      <c r="K324" t="s">
        <v>898</v>
      </c>
      <c r="L324" t="s">
        <v>1321</v>
      </c>
      <c r="M324" t="s">
        <v>1322</v>
      </c>
      <c r="N324" t="s">
        <v>1323</v>
      </c>
      <c r="O324" t="s">
        <v>1324</v>
      </c>
      <c r="R324" t="s">
        <v>1108</v>
      </c>
      <c r="V324" t="s">
        <v>1107</v>
      </c>
      <c r="W324" t="s">
        <v>581</v>
      </c>
      <c r="X324" t="s">
        <v>601</v>
      </c>
      <c r="Y324" t="s">
        <v>581</v>
      </c>
      <c r="Z324" t="s">
        <v>613</v>
      </c>
      <c r="AA324" t="s">
        <v>613</v>
      </c>
      <c r="AB324" t="s">
        <v>966</v>
      </c>
      <c r="AC324" t="s">
        <v>601</v>
      </c>
      <c r="AD324" t="s">
        <v>967</v>
      </c>
      <c r="AE324" t="s">
        <v>608</v>
      </c>
      <c r="AF324" t="s">
        <v>487</v>
      </c>
      <c r="AG324" t="s">
        <v>632</v>
      </c>
      <c r="AH324" t="s">
        <v>968</v>
      </c>
      <c r="AI324" t="s">
        <v>487</v>
      </c>
      <c r="AJ324" t="s">
        <v>969</v>
      </c>
      <c r="AK324" t="s">
        <v>608</v>
      </c>
      <c r="AL324" t="s">
        <v>632</v>
      </c>
    </row>
    <row r="325" spans="11:38" hidden="1" x14ac:dyDescent="0.2">
      <c r="K325" t="s">
        <v>898</v>
      </c>
      <c r="L325" t="s">
        <v>1325</v>
      </c>
      <c r="M325" t="s">
        <v>1326</v>
      </c>
      <c r="N325" t="s">
        <v>1327</v>
      </c>
      <c r="O325" t="s">
        <v>1328</v>
      </c>
    </row>
    <row r="326" spans="11:38" hidden="1" x14ac:dyDescent="0.2">
      <c r="K326" t="s">
        <v>898</v>
      </c>
      <c r="L326" t="s">
        <v>1329</v>
      </c>
      <c r="M326" t="s">
        <v>1330</v>
      </c>
      <c r="N326" t="s">
        <v>1331</v>
      </c>
      <c r="O326" t="s">
        <v>1332</v>
      </c>
      <c r="R326" t="s">
        <v>581</v>
      </c>
      <c r="S326" t="s">
        <v>638</v>
      </c>
      <c r="V326" t="s">
        <v>535</v>
      </c>
      <c r="W326" t="s">
        <v>638</v>
      </c>
      <c r="X326" t="s">
        <v>535</v>
      </c>
      <c r="Y326" t="s">
        <v>638</v>
      </c>
      <c r="Z326" t="s">
        <v>602</v>
      </c>
      <c r="AA326" t="s">
        <v>602</v>
      </c>
      <c r="AB326" t="s">
        <v>605</v>
      </c>
      <c r="AC326" t="s">
        <v>535</v>
      </c>
      <c r="AD326" t="s">
        <v>605</v>
      </c>
      <c r="AE326" t="s">
        <v>637</v>
      </c>
      <c r="AF326" t="s">
        <v>605</v>
      </c>
      <c r="AG326" t="s">
        <v>638</v>
      </c>
      <c r="AH326" t="s">
        <v>535</v>
      </c>
      <c r="AI326" t="s">
        <v>628</v>
      </c>
      <c r="AJ326" t="s">
        <v>535</v>
      </c>
      <c r="AK326" t="s">
        <v>637</v>
      </c>
      <c r="AL326" t="s">
        <v>536</v>
      </c>
    </row>
    <row r="327" spans="11:38" hidden="1" x14ac:dyDescent="0.2">
      <c r="K327" t="s">
        <v>898</v>
      </c>
      <c r="L327" t="s">
        <v>1333</v>
      </c>
      <c r="M327" t="s">
        <v>1334</v>
      </c>
      <c r="N327" t="s">
        <v>1335</v>
      </c>
      <c r="O327" t="s">
        <v>1336</v>
      </c>
      <c r="R327" t="s">
        <v>581</v>
      </c>
      <c r="S327" t="s">
        <v>1116</v>
      </c>
      <c r="V327" t="s">
        <v>605</v>
      </c>
      <c r="W327" t="s">
        <v>1116</v>
      </c>
      <c r="X327" t="s">
        <v>584</v>
      </c>
      <c r="Y327" t="s">
        <v>1116</v>
      </c>
      <c r="Z327" t="s">
        <v>609</v>
      </c>
      <c r="AA327" t="s">
        <v>609</v>
      </c>
      <c r="AB327" t="s">
        <v>638</v>
      </c>
      <c r="AC327" t="s">
        <v>584</v>
      </c>
      <c r="AD327" t="s">
        <v>638</v>
      </c>
      <c r="AE327" t="s">
        <v>617</v>
      </c>
      <c r="AF327" t="s">
        <v>537</v>
      </c>
      <c r="AG327" t="s">
        <v>637</v>
      </c>
      <c r="AH327" t="s">
        <v>602</v>
      </c>
      <c r="AI327" t="s">
        <v>629</v>
      </c>
      <c r="AJ327" t="s">
        <v>602</v>
      </c>
      <c r="AK327" t="s">
        <v>617</v>
      </c>
      <c r="AL327" t="s">
        <v>633</v>
      </c>
    </row>
    <row r="328" spans="11:38" hidden="1" x14ac:dyDescent="0.2">
      <c r="K328" t="s">
        <v>898</v>
      </c>
      <c r="L328" t="s">
        <v>1337</v>
      </c>
      <c r="M328" t="s">
        <v>1338</v>
      </c>
      <c r="N328" t="s">
        <v>1339</v>
      </c>
      <c r="O328" t="s">
        <v>1340</v>
      </c>
      <c r="R328" t="s">
        <v>581</v>
      </c>
      <c r="S328" t="s">
        <v>1118</v>
      </c>
      <c r="V328" t="s">
        <v>602</v>
      </c>
      <c r="W328" t="s">
        <v>598</v>
      </c>
      <c r="X328" t="s">
        <v>610</v>
      </c>
      <c r="Y328" t="s">
        <v>598</v>
      </c>
      <c r="Z328" t="s">
        <v>538</v>
      </c>
      <c r="AA328" t="s">
        <v>538</v>
      </c>
      <c r="AB328" t="s">
        <v>637</v>
      </c>
      <c r="AC328" t="s">
        <v>610</v>
      </c>
      <c r="AD328" t="s">
        <v>637</v>
      </c>
      <c r="AE328" t="s">
        <v>614</v>
      </c>
      <c r="AF328" t="s">
        <v>1117</v>
      </c>
      <c r="AG328" t="s">
        <v>633</v>
      </c>
      <c r="AH328" t="s">
        <v>638</v>
      </c>
      <c r="AI328" t="s">
        <v>625</v>
      </c>
      <c r="AJ328" t="s">
        <v>638</v>
      </c>
      <c r="AK328" t="s">
        <v>614</v>
      </c>
      <c r="AL328" t="s">
        <v>621</v>
      </c>
    </row>
    <row r="329" spans="11:38" hidden="1" x14ac:dyDescent="0.2">
      <c r="K329" t="s">
        <v>898</v>
      </c>
      <c r="L329" t="s">
        <v>1341</v>
      </c>
      <c r="M329" t="s">
        <v>1342</v>
      </c>
      <c r="N329" t="s">
        <v>1343</v>
      </c>
      <c r="O329" t="s">
        <v>1344</v>
      </c>
      <c r="R329" t="s">
        <v>581</v>
      </c>
      <c r="S329" t="s">
        <v>598</v>
      </c>
      <c r="V329" t="s">
        <v>638</v>
      </c>
      <c r="W329" t="s">
        <v>1118</v>
      </c>
      <c r="X329" t="s">
        <v>628</v>
      </c>
      <c r="Y329" t="s">
        <v>1118</v>
      </c>
      <c r="Z329" t="s">
        <v>539</v>
      </c>
      <c r="AA329" t="s">
        <v>539</v>
      </c>
      <c r="AB329" t="s">
        <v>637</v>
      </c>
      <c r="AC329" t="s">
        <v>628</v>
      </c>
      <c r="AD329" t="s">
        <v>536</v>
      </c>
      <c r="AE329" t="s">
        <v>625</v>
      </c>
      <c r="AF329" t="s">
        <v>618</v>
      </c>
      <c r="AG329" t="s">
        <v>1118</v>
      </c>
      <c r="AH329" t="s">
        <v>609</v>
      </c>
      <c r="AI329" t="s">
        <v>1117</v>
      </c>
      <c r="AJ329" t="s">
        <v>609</v>
      </c>
      <c r="AK329" t="s">
        <v>625</v>
      </c>
      <c r="AL329" t="s">
        <v>582</v>
      </c>
    </row>
    <row r="330" spans="11:38" hidden="1" x14ac:dyDescent="0.2">
      <c r="K330" t="s">
        <v>898</v>
      </c>
      <c r="L330" t="s">
        <v>1345</v>
      </c>
      <c r="M330" t="s">
        <v>1346</v>
      </c>
      <c r="N330" t="s">
        <v>1347</v>
      </c>
      <c r="O330" t="s">
        <v>1348</v>
      </c>
      <c r="R330" t="s">
        <v>601</v>
      </c>
      <c r="S330" t="s">
        <v>628</v>
      </c>
      <c r="V330" t="s">
        <v>609</v>
      </c>
      <c r="AB330" t="s">
        <v>617</v>
      </c>
      <c r="AD330" t="s">
        <v>617</v>
      </c>
      <c r="AH330" t="s">
        <v>584</v>
      </c>
      <c r="AJ330" t="s">
        <v>637</v>
      </c>
    </row>
    <row r="331" spans="11:38" hidden="1" x14ac:dyDescent="0.2">
      <c r="K331" t="s">
        <v>898</v>
      </c>
      <c r="L331" t="s">
        <v>1349</v>
      </c>
      <c r="M331" t="s">
        <v>1350</v>
      </c>
      <c r="N331" t="s">
        <v>1351</v>
      </c>
      <c r="O331" t="s">
        <v>1352</v>
      </c>
      <c r="R331" t="s">
        <v>601</v>
      </c>
      <c r="S331" t="s">
        <v>610</v>
      </c>
      <c r="V331" t="s">
        <v>637</v>
      </c>
      <c r="AB331" t="s">
        <v>614</v>
      </c>
      <c r="AD331" t="s">
        <v>614</v>
      </c>
      <c r="AH331" t="s">
        <v>610</v>
      </c>
      <c r="AJ331" t="s">
        <v>584</v>
      </c>
    </row>
    <row r="332" spans="11:38" hidden="1" x14ac:dyDescent="0.2">
      <c r="K332" t="s">
        <v>898</v>
      </c>
      <c r="L332" t="s">
        <v>1353</v>
      </c>
      <c r="M332" t="s">
        <v>1354</v>
      </c>
      <c r="N332" t="s">
        <v>1355</v>
      </c>
      <c r="O332" t="s">
        <v>1356</v>
      </c>
      <c r="R332" t="s">
        <v>601</v>
      </c>
      <c r="S332" t="s">
        <v>584</v>
      </c>
      <c r="V332" t="s">
        <v>536</v>
      </c>
      <c r="AB332" t="s">
        <v>625</v>
      </c>
      <c r="AD332" t="s">
        <v>625</v>
      </c>
      <c r="AH332" t="s">
        <v>1116</v>
      </c>
      <c r="AJ332" t="s">
        <v>610</v>
      </c>
    </row>
    <row r="333" spans="11:38" hidden="1" x14ac:dyDescent="0.2">
      <c r="K333" t="s">
        <v>898</v>
      </c>
      <c r="L333" t="s">
        <v>1357</v>
      </c>
      <c r="M333" t="s">
        <v>1358</v>
      </c>
      <c r="N333" t="s">
        <v>1359</v>
      </c>
      <c r="O333" t="s">
        <v>1360</v>
      </c>
      <c r="R333" t="s">
        <v>601</v>
      </c>
      <c r="S333" t="s">
        <v>535</v>
      </c>
      <c r="V333" t="s">
        <v>584</v>
      </c>
      <c r="AB333" t="s">
        <v>633</v>
      </c>
      <c r="AD333" t="s">
        <v>633</v>
      </c>
      <c r="AH333" t="s">
        <v>598</v>
      </c>
      <c r="AJ333" t="s">
        <v>617</v>
      </c>
    </row>
    <row r="334" spans="11:38" hidden="1" x14ac:dyDescent="0.2">
      <c r="K334" t="s">
        <v>898</v>
      </c>
      <c r="L334" t="s">
        <v>1361</v>
      </c>
      <c r="M334" t="s">
        <v>1362</v>
      </c>
      <c r="N334" t="s">
        <v>1363</v>
      </c>
      <c r="O334" t="s">
        <v>1364</v>
      </c>
      <c r="R334" t="s">
        <v>613</v>
      </c>
      <c r="S334" t="s">
        <v>539</v>
      </c>
      <c r="V334" t="s">
        <v>610</v>
      </c>
      <c r="AB334" t="s">
        <v>537</v>
      </c>
      <c r="AD334" t="s">
        <v>537</v>
      </c>
      <c r="AH334" t="s">
        <v>538</v>
      </c>
      <c r="AJ334" t="s">
        <v>614</v>
      </c>
    </row>
    <row r="335" spans="11:38" hidden="1" x14ac:dyDescent="0.2">
      <c r="K335" t="s">
        <v>898</v>
      </c>
      <c r="L335" t="s">
        <v>1365</v>
      </c>
      <c r="M335" t="s">
        <v>1366</v>
      </c>
      <c r="N335" t="s">
        <v>1367</v>
      </c>
      <c r="O335" t="s">
        <v>1368</v>
      </c>
      <c r="R335" t="s">
        <v>613</v>
      </c>
      <c r="S335" t="s">
        <v>602</v>
      </c>
      <c r="V335" t="s">
        <v>617</v>
      </c>
      <c r="AB335" t="s">
        <v>1117</v>
      </c>
      <c r="AD335" t="s">
        <v>1116</v>
      </c>
      <c r="AH335" t="s">
        <v>539</v>
      </c>
      <c r="AJ335" t="s">
        <v>625</v>
      </c>
    </row>
    <row r="336" spans="11:38" hidden="1" x14ac:dyDescent="0.2">
      <c r="K336" t="s">
        <v>898</v>
      </c>
      <c r="L336" t="s">
        <v>1369</v>
      </c>
      <c r="M336" t="s">
        <v>1370</v>
      </c>
      <c r="N336" t="s">
        <v>1371</v>
      </c>
      <c r="O336" t="s">
        <v>1372</v>
      </c>
      <c r="R336" t="s">
        <v>613</v>
      </c>
      <c r="S336" t="s">
        <v>538</v>
      </c>
      <c r="V336" t="s">
        <v>614</v>
      </c>
      <c r="AB336" t="s">
        <v>618</v>
      </c>
      <c r="AD336" t="s">
        <v>598</v>
      </c>
      <c r="AH336" t="s">
        <v>628</v>
      </c>
      <c r="AJ336" t="s">
        <v>1116</v>
      </c>
    </row>
    <row r="337" spans="11:36" hidden="1" x14ac:dyDescent="0.2">
      <c r="K337" t="s">
        <v>898</v>
      </c>
      <c r="L337" t="s">
        <v>1373</v>
      </c>
      <c r="M337" t="s">
        <v>1374</v>
      </c>
      <c r="N337" t="s">
        <v>1375</v>
      </c>
      <c r="O337" t="s">
        <v>1376</v>
      </c>
      <c r="R337" t="s">
        <v>613</v>
      </c>
      <c r="S337" t="s">
        <v>609</v>
      </c>
      <c r="V337" t="s">
        <v>625</v>
      </c>
      <c r="AB337" t="s">
        <v>1118</v>
      </c>
      <c r="AD337" t="s">
        <v>1117</v>
      </c>
      <c r="AH337" t="s">
        <v>1118</v>
      </c>
      <c r="AJ337" t="s">
        <v>598</v>
      </c>
    </row>
    <row r="338" spans="11:36" hidden="1" x14ac:dyDescent="0.2">
      <c r="K338" t="s">
        <v>898</v>
      </c>
      <c r="L338" t="s">
        <v>1377</v>
      </c>
      <c r="M338" t="s">
        <v>1378</v>
      </c>
      <c r="N338" t="s">
        <v>1379</v>
      </c>
      <c r="O338" t="s">
        <v>1380</v>
      </c>
      <c r="R338" t="s">
        <v>608</v>
      </c>
      <c r="S338" t="s">
        <v>625</v>
      </c>
      <c r="V338" t="s">
        <v>633</v>
      </c>
      <c r="AD338" t="s">
        <v>621</v>
      </c>
      <c r="AJ338" t="s">
        <v>538</v>
      </c>
    </row>
    <row r="339" spans="11:36" hidden="1" x14ac:dyDescent="0.2">
      <c r="K339" t="s">
        <v>903</v>
      </c>
      <c r="L339" t="s">
        <v>1381</v>
      </c>
      <c r="M339" t="s">
        <v>1382</v>
      </c>
      <c r="N339" t="s">
        <v>1383</v>
      </c>
      <c r="O339" t="s">
        <v>1384</v>
      </c>
      <c r="R339" t="s">
        <v>608</v>
      </c>
      <c r="S339" t="s">
        <v>617</v>
      </c>
      <c r="V339" t="s">
        <v>537</v>
      </c>
      <c r="AD339" t="s">
        <v>582</v>
      </c>
      <c r="AJ339" t="s">
        <v>539</v>
      </c>
    </row>
    <row r="340" spans="11:36" hidden="1" x14ac:dyDescent="0.2">
      <c r="K340" t="s">
        <v>903</v>
      </c>
      <c r="L340" t="s">
        <v>1385</v>
      </c>
      <c r="M340" t="s">
        <v>1386</v>
      </c>
      <c r="N340" t="s">
        <v>1387</v>
      </c>
      <c r="O340" t="s">
        <v>1388</v>
      </c>
      <c r="R340" t="s">
        <v>608</v>
      </c>
      <c r="S340" t="s">
        <v>614</v>
      </c>
      <c r="V340" t="s">
        <v>1116</v>
      </c>
      <c r="AD340" t="s">
        <v>618</v>
      </c>
      <c r="AJ340" t="s">
        <v>628</v>
      </c>
    </row>
    <row r="341" spans="11:36" hidden="1" x14ac:dyDescent="0.2">
      <c r="K341" t="s">
        <v>903</v>
      </c>
      <c r="L341" t="s">
        <v>1389</v>
      </c>
      <c r="M341" t="s">
        <v>1390</v>
      </c>
      <c r="N341" t="s">
        <v>1391</v>
      </c>
      <c r="O341" t="s">
        <v>1392</v>
      </c>
      <c r="R341" t="s">
        <v>608</v>
      </c>
      <c r="S341" t="s">
        <v>637</v>
      </c>
      <c r="V341" t="s">
        <v>598</v>
      </c>
      <c r="AD341" t="s">
        <v>1118</v>
      </c>
      <c r="AJ341" t="s">
        <v>1118</v>
      </c>
    </row>
    <row r="342" spans="11:36" hidden="1" x14ac:dyDescent="0.2">
      <c r="K342" t="s">
        <v>903</v>
      </c>
      <c r="L342" t="s">
        <v>1393</v>
      </c>
      <c r="M342" t="s">
        <v>1394</v>
      </c>
      <c r="N342" t="s">
        <v>1395</v>
      </c>
      <c r="O342" t="s">
        <v>1396</v>
      </c>
      <c r="R342" t="s">
        <v>487</v>
      </c>
      <c r="S342" t="s">
        <v>605</v>
      </c>
      <c r="V342" t="s">
        <v>538</v>
      </c>
    </row>
    <row r="343" spans="11:36" hidden="1" x14ac:dyDescent="0.2">
      <c r="K343" t="s">
        <v>903</v>
      </c>
      <c r="L343" t="s">
        <v>1397</v>
      </c>
      <c r="M343" t="s">
        <v>1398</v>
      </c>
      <c r="N343" t="s">
        <v>1399</v>
      </c>
      <c r="O343" t="s">
        <v>1400</v>
      </c>
      <c r="R343" t="s">
        <v>487</v>
      </c>
      <c r="S343" t="s">
        <v>1117</v>
      </c>
      <c r="V343" t="s">
        <v>1117</v>
      </c>
    </row>
    <row r="344" spans="11:36" hidden="1" x14ac:dyDescent="0.2">
      <c r="K344" t="s">
        <v>903</v>
      </c>
      <c r="L344" t="s">
        <v>1401</v>
      </c>
      <c r="M344" t="s">
        <v>1402</v>
      </c>
      <c r="N344" t="s">
        <v>1403</v>
      </c>
      <c r="O344" t="s">
        <v>1404</v>
      </c>
      <c r="R344" t="s">
        <v>487</v>
      </c>
      <c r="S344" t="s">
        <v>537</v>
      </c>
      <c r="V344" t="s">
        <v>539</v>
      </c>
    </row>
    <row r="345" spans="11:36" hidden="1" x14ac:dyDescent="0.2">
      <c r="K345" t="s">
        <v>903</v>
      </c>
      <c r="L345" t="s">
        <v>1405</v>
      </c>
      <c r="M345" t="s">
        <v>1406</v>
      </c>
      <c r="N345" t="s">
        <v>1407</v>
      </c>
      <c r="O345" t="s">
        <v>1408</v>
      </c>
      <c r="R345" t="s">
        <v>487</v>
      </c>
      <c r="S345" t="s">
        <v>618</v>
      </c>
      <c r="V345" t="s">
        <v>628</v>
      </c>
    </row>
    <row r="346" spans="11:36" hidden="1" x14ac:dyDescent="0.2">
      <c r="K346" t="s">
        <v>903</v>
      </c>
      <c r="L346" t="s">
        <v>1409</v>
      </c>
      <c r="M346" t="s">
        <v>1410</v>
      </c>
      <c r="N346" t="s">
        <v>1411</v>
      </c>
      <c r="O346" t="s">
        <v>1412</v>
      </c>
      <c r="R346" t="s">
        <v>632</v>
      </c>
      <c r="S346" t="s">
        <v>582</v>
      </c>
      <c r="V346" t="s">
        <v>621</v>
      </c>
    </row>
    <row r="347" spans="11:36" hidden="1" x14ac:dyDescent="0.2">
      <c r="K347" t="s">
        <v>903</v>
      </c>
      <c r="L347" t="s">
        <v>1413</v>
      </c>
      <c r="M347" t="s">
        <v>1414</v>
      </c>
      <c r="N347" t="s">
        <v>1415</v>
      </c>
      <c r="O347" t="s">
        <v>1416</v>
      </c>
      <c r="R347" t="s">
        <v>632</v>
      </c>
      <c r="S347" t="s">
        <v>536</v>
      </c>
      <c r="V347" t="s">
        <v>582</v>
      </c>
    </row>
    <row r="348" spans="11:36" hidden="1" x14ac:dyDescent="0.2">
      <c r="K348" t="s">
        <v>903</v>
      </c>
      <c r="L348" t="s">
        <v>1417</v>
      </c>
      <c r="M348" t="s">
        <v>1418</v>
      </c>
      <c r="N348" t="s">
        <v>1419</v>
      </c>
      <c r="O348" t="s">
        <v>1420</v>
      </c>
      <c r="R348" t="s">
        <v>632</v>
      </c>
      <c r="S348" t="s">
        <v>633</v>
      </c>
      <c r="V348" t="s">
        <v>618</v>
      </c>
    </row>
    <row r="349" spans="11:36" hidden="1" x14ac:dyDescent="0.2">
      <c r="K349" t="s">
        <v>903</v>
      </c>
      <c r="L349" t="s">
        <v>1421</v>
      </c>
      <c r="M349" t="s">
        <v>1422</v>
      </c>
      <c r="N349" t="s">
        <v>1423</v>
      </c>
      <c r="O349" t="s">
        <v>1424</v>
      </c>
      <c r="R349" t="s">
        <v>632</v>
      </c>
      <c r="S349" t="s">
        <v>621</v>
      </c>
      <c r="V349" t="s">
        <v>1118</v>
      </c>
    </row>
    <row r="350" spans="11:36" hidden="1" x14ac:dyDescent="0.2">
      <c r="K350" t="s">
        <v>903</v>
      </c>
      <c r="L350" t="s">
        <v>1425</v>
      </c>
      <c r="M350" t="s">
        <v>1426</v>
      </c>
      <c r="N350" t="s">
        <v>1427</v>
      </c>
      <c r="O350" t="s">
        <v>1428</v>
      </c>
    </row>
    <row r="351" spans="11:36" hidden="1" x14ac:dyDescent="0.2">
      <c r="K351" t="s">
        <v>903</v>
      </c>
      <c r="L351" t="s">
        <v>1429</v>
      </c>
      <c r="M351" t="s">
        <v>1430</v>
      </c>
      <c r="N351" t="s">
        <v>1431</v>
      </c>
      <c r="O351" t="s">
        <v>1432</v>
      </c>
    </row>
    <row r="352" spans="11:36" hidden="1" x14ac:dyDescent="0.2">
      <c r="K352" t="s">
        <v>903</v>
      </c>
      <c r="L352" t="s">
        <v>1433</v>
      </c>
      <c r="M352" t="s">
        <v>1434</v>
      </c>
      <c r="N352" t="s">
        <v>1435</v>
      </c>
      <c r="O352" t="s">
        <v>1436</v>
      </c>
    </row>
    <row r="353" spans="11:15" hidden="1" x14ac:dyDescent="0.2">
      <c r="K353" t="s">
        <v>903</v>
      </c>
      <c r="L353" t="s">
        <v>1437</v>
      </c>
      <c r="M353" t="s">
        <v>1438</v>
      </c>
      <c r="N353" t="s">
        <v>1439</v>
      </c>
      <c r="O353" t="s">
        <v>1440</v>
      </c>
    </row>
    <row r="354" spans="11:15" hidden="1" x14ac:dyDescent="0.2">
      <c r="K354" t="s">
        <v>903</v>
      </c>
      <c r="L354" t="s">
        <v>1441</v>
      </c>
      <c r="M354" t="s">
        <v>1442</v>
      </c>
      <c r="N354" t="s">
        <v>1443</v>
      </c>
      <c r="O354" t="s">
        <v>1444</v>
      </c>
    </row>
    <row r="355" spans="11:15" hidden="1" x14ac:dyDescent="0.2">
      <c r="K355" t="s">
        <v>903</v>
      </c>
      <c r="L355" t="s">
        <v>1445</v>
      </c>
      <c r="M355" t="s">
        <v>1446</v>
      </c>
      <c r="N355" t="s">
        <v>1447</v>
      </c>
      <c r="O355" t="s">
        <v>1448</v>
      </c>
    </row>
    <row r="356" spans="11:15" hidden="1" x14ac:dyDescent="0.2">
      <c r="K356" t="s">
        <v>903</v>
      </c>
      <c r="L356" t="s">
        <v>1449</v>
      </c>
      <c r="M356" t="s">
        <v>1450</v>
      </c>
      <c r="N356" t="s">
        <v>1451</v>
      </c>
      <c r="O356" t="s">
        <v>1452</v>
      </c>
    </row>
    <row r="357" spans="11:15" hidden="1" x14ac:dyDescent="0.2">
      <c r="K357" t="s">
        <v>903</v>
      </c>
      <c r="L357" t="s">
        <v>1453</v>
      </c>
      <c r="M357" t="s">
        <v>1454</v>
      </c>
      <c r="N357" t="s">
        <v>1455</v>
      </c>
      <c r="O357" t="s">
        <v>1456</v>
      </c>
    </row>
    <row r="358" spans="11:15" hidden="1" x14ac:dyDescent="0.2">
      <c r="K358" t="s">
        <v>903</v>
      </c>
      <c r="L358" t="s">
        <v>1457</v>
      </c>
      <c r="M358" t="s">
        <v>1458</v>
      </c>
      <c r="N358" t="s">
        <v>1459</v>
      </c>
      <c r="O358" t="s">
        <v>1460</v>
      </c>
    </row>
    <row r="359" spans="11:15" hidden="1" x14ac:dyDescent="0.2">
      <c r="K359" t="s">
        <v>903</v>
      </c>
      <c r="L359" t="s">
        <v>1461</v>
      </c>
      <c r="M359" t="s">
        <v>1462</v>
      </c>
      <c r="N359" t="s">
        <v>1463</v>
      </c>
      <c r="O359" t="s">
        <v>1464</v>
      </c>
    </row>
    <row r="360" spans="11:15" hidden="1" x14ac:dyDescent="0.2">
      <c r="K360" t="s">
        <v>903</v>
      </c>
      <c r="L360" t="s">
        <v>1465</v>
      </c>
      <c r="M360" t="s">
        <v>1466</v>
      </c>
      <c r="N360" t="s">
        <v>1467</v>
      </c>
      <c r="O360" t="s">
        <v>1468</v>
      </c>
    </row>
    <row r="361" spans="11:15" hidden="1" x14ac:dyDescent="0.2">
      <c r="K361" t="s">
        <v>903</v>
      </c>
      <c r="L361" t="s">
        <v>1469</v>
      </c>
      <c r="M361" t="s">
        <v>1470</v>
      </c>
      <c r="N361" t="s">
        <v>1471</v>
      </c>
      <c r="O361" t="s">
        <v>1472</v>
      </c>
    </row>
    <row r="362" spans="11:15" hidden="1" x14ac:dyDescent="0.2">
      <c r="K362" t="s">
        <v>903</v>
      </c>
      <c r="L362" t="s">
        <v>1473</v>
      </c>
      <c r="M362" t="s">
        <v>1474</v>
      </c>
      <c r="N362" t="s">
        <v>1475</v>
      </c>
      <c r="O362" t="s">
        <v>1476</v>
      </c>
    </row>
    <row r="363" spans="11:15" hidden="1" x14ac:dyDescent="0.2">
      <c r="K363" t="s">
        <v>903</v>
      </c>
      <c r="L363" t="s">
        <v>1477</v>
      </c>
      <c r="M363" t="s">
        <v>1478</v>
      </c>
      <c r="N363" t="s">
        <v>1479</v>
      </c>
      <c r="O363" t="s">
        <v>1480</v>
      </c>
    </row>
    <row r="364" spans="11:15" hidden="1" x14ac:dyDescent="0.2">
      <c r="K364" t="s">
        <v>903</v>
      </c>
      <c r="L364" t="s">
        <v>1481</v>
      </c>
      <c r="M364" t="s">
        <v>1482</v>
      </c>
      <c r="N364" t="s">
        <v>1483</v>
      </c>
      <c r="O364" t="s">
        <v>1484</v>
      </c>
    </row>
    <row r="365" spans="11:15" hidden="1" x14ac:dyDescent="0.2">
      <c r="K365" t="s">
        <v>907</v>
      </c>
      <c r="L365" t="s">
        <v>1485</v>
      </c>
      <c r="M365" t="s">
        <v>1486</v>
      </c>
      <c r="N365" t="s">
        <v>1487</v>
      </c>
      <c r="O365" t="s">
        <v>1488</v>
      </c>
    </row>
    <row r="366" spans="11:15" hidden="1" x14ac:dyDescent="0.2">
      <c r="K366" t="s">
        <v>907</v>
      </c>
      <c r="L366" t="s">
        <v>1489</v>
      </c>
      <c r="M366" t="s">
        <v>1490</v>
      </c>
      <c r="N366" t="s">
        <v>1491</v>
      </c>
      <c r="O366" t="s">
        <v>1492</v>
      </c>
    </row>
    <row r="367" spans="11:15" hidden="1" x14ac:dyDescent="0.2">
      <c r="K367" t="s">
        <v>907</v>
      </c>
      <c r="L367" t="s">
        <v>1493</v>
      </c>
      <c r="M367" t="s">
        <v>1494</v>
      </c>
      <c r="N367" t="s">
        <v>1495</v>
      </c>
      <c r="O367" t="s">
        <v>1496</v>
      </c>
    </row>
    <row r="368" spans="11:15" hidden="1" x14ac:dyDescent="0.2">
      <c r="K368" t="s">
        <v>907</v>
      </c>
      <c r="L368" t="s">
        <v>1497</v>
      </c>
      <c r="M368" t="s">
        <v>1498</v>
      </c>
      <c r="N368" t="s">
        <v>1499</v>
      </c>
      <c r="O368" t="s">
        <v>1500</v>
      </c>
    </row>
    <row r="369" spans="11:15" hidden="1" x14ac:dyDescent="0.2">
      <c r="K369" t="s">
        <v>907</v>
      </c>
      <c r="L369" t="s">
        <v>1501</v>
      </c>
      <c r="M369" t="s">
        <v>1502</v>
      </c>
      <c r="N369" t="s">
        <v>1503</v>
      </c>
      <c r="O369" t="s">
        <v>1504</v>
      </c>
    </row>
    <row r="370" spans="11:15" hidden="1" x14ac:dyDescent="0.2">
      <c r="K370" t="s">
        <v>907</v>
      </c>
      <c r="L370" t="s">
        <v>1505</v>
      </c>
      <c r="M370" t="s">
        <v>1506</v>
      </c>
      <c r="N370" t="s">
        <v>1507</v>
      </c>
      <c r="O370" t="s">
        <v>1508</v>
      </c>
    </row>
    <row r="371" spans="11:15" hidden="1" x14ac:dyDescent="0.2">
      <c r="K371" t="s">
        <v>907</v>
      </c>
      <c r="L371" t="s">
        <v>1509</v>
      </c>
      <c r="M371" t="s">
        <v>1510</v>
      </c>
      <c r="N371" t="s">
        <v>1511</v>
      </c>
      <c r="O371" t="s">
        <v>1512</v>
      </c>
    </row>
    <row r="372" spans="11:15" hidden="1" x14ac:dyDescent="0.2">
      <c r="K372" t="s">
        <v>907</v>
      </c>
      <c r="L372" t="s">
        <v>1513</v>
      </c>
      <c r="M372" t="s">
        <v>1514</v>
      </c>
      <c r="N372" t="s">
        <v>1515</v>
      </c>
      <c r="O372" t="s">
        <v>1516</v>
      </c>
    </row>
    <row r="373" spans="11:15" hidden="1" x14ac:dyDescent="0.2">
      <c r="K373" t="s">
        <v>907</v>
      </c>
      <c r="L373" t="s">
        <v>1517</v>
      </c>
      <c r="M373" t="s">
        <v>1518</v>
      </c>
      <c r="N373" t="s">
        <v>1519</v>
      </c>
      <c r="O373" t="s">
        <v>1520</v>
      </c>
    </row>
    <row r="374" spans="11:15" hidden="1" x14ac:dyDescent="0.2">
      <c r="K374" t="s">
        <v>907</v>
      </c>
      <c r="L374" t="s">
        <v>1521</v>
      </c>
      <c r="M374" t="s">
        <v>1522</v>
      </c>
      <c r="N374" t="s">
        <v>1523</v>
      </c>
      <c r="O374" t="s">
        <v>1524</v>
      </c>
    </row>
    <row r="375" spans="11:15" hidden="1" x14ac:dyDescent="0.2">
      <c r="K375" t="s">
        <v>907</v>
      </c>
      <c r="L375" t="s">
        <v>1525</v>
      </c>
      <c r="M375" t="s">
        <v>1526</v>
      </c>
      <c r="N375" t="s">
        <v>1527</v>
      </c>
      <c r="O375" t="s">
        <v>1528</v>
      </c>
    </row>
    <row r="376" spans="11:15" hidden="1" x14ac:dyDescent="0.2">
      <c r="K376" t="s">
        <v>907</v>
      </c>
      <c r="L376" t="s">
        <v>1529</v>
      </c>
      <c r="M376" t="s">
        <v>1530</v>
      </c>
      <c r="N376" t="s">
        <v>1531</v>
      </c>
      <c r="O376" t="s">
        <v>1532</v>
      </c>
    </row>
    <row r="377" spans="11:15" hidden="1" x14ac:dyDescent="0.2">
      <c r="K377" t="s">
        <v>907</v>
      </c>
      <c r="L377" t="s">
        <v>1533</v>
      </c>
      <c r="M377" t="s">
        <v>1534</v>
      </c>
      <c r="N377" t="s">
        <v>1535</v>
      </c>
      <c r="O377" t="s">
        <v>1536</v>
      </c>
    </row>
    <row r="378" spans="11:15" hidden="1" x14ac:dyDescent="0.2">
      <c r="K378" t="s">
        <v>907</v>
      </c>
      <c r="L378" t="s">
        <v>1537</v>
      </c>
      <c r="M378" t="s">
        <v>1538</v>
      </c>
      <c r="N378" t="s">
        <v>1539</v>
      </c>
      <c r="O378" t="s">
        <v>1540</v>
      </c>
    </row>
    <row r="379" spans="11:15" hidden="1" x14ac:dyDescent="0.2">
      <c r="K379" t="s">
        <v>907</v>
      </c>
      <c r="L379" t="s">
        <v>1541</v>
      </c>
      <c r="M379" t="s">
        <v>1542</v>
      </c>
      <c r="N379" t="s">
        <v>1543</v>
      </c>
      <c r="O379" t="s">
        <v>1544</v>
      </c>
    </row>
    <row r="380" spans="11:15" hidden="1" x14ac:dyDescent="0.2">
      <c r="K380" t="s">
        <v>907</v>
      </c>
      <c r="L380" t="s">
        <v>1545</v>
      </c>
      <c r="M380" t="s">
        <v>1546</v>
      </c>
      <c r="N380" t="s">
        <v>1547</v>
      </c>
      <c r="O380" t="s">
        <v>1548</v>
      </c>
    </row>
    <row r="381" spans="11:15" hidden="1" x14ac:dyDescent="0.2">
      <c r="K381" t="s">
        <v>907</v>
      </c>
      <c r="L381" t="s">
        <v>1549</v>
      </c>
      <c r="M381" t="s">
        <v>1550</v>
      </c>
      <c r="N381" t="s">
        <v>1551</v>
      </c>
      <c r="O381" t="s">
        <v>1552</v>
      </c>
    </row>
    <row r="382" spans="11:15" hidden="1" x14ac:dyDescent="0.2">
      <c r="K382" t="s">
        <v>907</v>
      </c>
      <c r="L382" t="s">
        <v>1553</v>
      </c>
      <c r="M382" t="s">
        <v>1554</v>
      </c>
      <c r="N382" t="s">
        <v>1555</v>
      </c>
      <c r="O382" t="s">
        <v>1556</v>
      </c>
    </row>
    <row r="383" spans="11:15" hidden="1" x14ac:dyDescent="0.2">
      <c r="K383" t="s">
        <v>907</v>
      </c>
      <c r="L383" t="s">
        <v>1557</v>
      </c>
      <c r="M383" t="s">
        <v>1558</v>
      </c>
      <c r="N383" t="s">
        <v>1559</v>
      </c>
      <c r="O383" t="s">
        <v>1560</v>
      </c>
    </row>
    <row r="384" spans="11:15" hidden="1" x14ac:dyDescent="0.2">
      <c r="K384" t="s">
        <v>907</v>
      </c>
      <c r="L384" t="s">
        <v>1561</v>
      </c>
      <c r="M384" t="s">
        <v>1562</v>
      </c>
      <c r="N384" t="s">
        <v>1563</v>
      </c>
      <c r="O384" t="s">
        <v>1564</v>
      </c>
    </row>
    <row r="385" spans="11:15" hidden="1" x14ac:dyDescent="0.2">
      <c r="K385" t="s">
        <v>907</v>
      </c>
      <c r="L385" t="s">
        <v>1565</v>
      </c>
      <c r="M385" t="s">
        <v>1566</v>
      </c>
      <c r="N385" t="s">
        <v>1567</v>
      </c>
      <c r="O385" t="s">
        <v>1568</v>
      </c>
    </row>
    <row r="386" spans="11:15" hidden="1" x14ac:dyDescent="0.2">
      <c r="K386" t="s">
        <v>907</v>
      </c>
      <c r="L386" t="s">
        <v>1569</v>
      </c>
      <c r="M386" t="s">
        <v>1570</v>
      </c>
      <c r="N386" t="s">
        <v>1571</v>
      </c>
      <c r="O386" t="s">
        <v>1572</v>
      </c>
    </row>
    <row r="387" spans="11:15" hidden="1" x14ac:dyDescent="0.2">
      <c r="K387" t="s">
        <v>907</v>
      </c>
      <c r="L387" t="s">
        <v>1573</v>
      </c>
      <c r="M387" t="s">
        <v>1574</v>
      </c>
      <c r="N387" t="s">
        <v>1575</v>
      </c>
      <c r="O387" t="s">
        <v>1576</v>
      </c>
    </row>
    <row r="388" spans="11:15" hidden="1" x14ac:dyDescent="0.2">
      <c r="K388" t="s">
        <v>907</v>
      </c>
      <c r="L388" t="s">
        <v>1577</v>
      </c>
      <c r="M388" t="s">
        <v>1578</v>
      </c>
      <c r="N388" t="s">
        <v>1579</v>
      </c>
      <c r="O388" t="s">
        <v>1580</v>
      </c>
    </row>
    <row r="389" spans="11:15" hidden="1" x14ac:dyDescent="0.2">
      <c r="K389" t="s">
        <v>907</v>
      </c>
      <c r="L389" t="s">
        <v>1581</v>
      </c>
      <c r="M389" t="s">
        <v>1582</v>
      </c>
      <c r="N389" t="s">
        <v>1583</v>
      </c>
      <c r="O389" t="s">
        <v>1584</v>
      </c>
    </row>
    <row r="390" spans="11:15" hidden="1" x14ac:dyDescent="0.2">
      <c r="K390" t="s">
        <v>907</v>
      </c>
      <c r="L390" t="s">
        <v>1585</v>
      </c>
      <c r="M390" t="s">
        <v>1586</v>
      </c>
      <c r="N390" t="s">
        <v>1587</v>
      </c>
      <c r="O390" t="s">
        <v>1588</v>
      </c>
    </row>
    <row r="391" spans="11:15" hidden="1" x14ac:dyDescent="0.2">
      <c r="K391" t="s">
        <v>911</v>
      </c>
      <c r="L391" t="s">
        <v>1589</v>
      </c>
      <c r="M391" t="s">
        <v>1590</v>
      </c>
      <c r="N391" t="s">
        <v>1591</v>
      </c>
      <c r="O391" t="s">
        <v>1592</v>
      </c>
    </row>
    <row r="392" spans="11:15" hidden="1" x14ac:dyDescent="0.2">
      <c r="K392" t="s">
        <v>911</v>
      </c>
      <c r="L392" t="s">
        <v>1593</v>
      </c>
      <c r="M392" t="s">
        <v>1594</v>
      </c>
      <c r="N392" t="s">
        <v>1595</v>
      </c>
      <c r="O392" t="s">
        <v>1596</v>
      </c>
    </row>
    <row r="393" spans="11:15" hidden="1" x14ac:dyDescent="0.2">
      <c r="K393" t="s">
        <v>911</v>
      </c>
      <c r="L393" t="s">
        <v>1597</v>
      </c>
      <c r="M393" t="s">
        <v>1598</v>
      </c>
      <c r="N393" t="s">
        <v>1599</v>
      </c>
      <c r="O393" t="s">
        <v>1600</v>
      </c>
    </row>
    <row r="394" spans="11:15" hidden="1" x14ac:dyDescent="0.2">
      <c r="K394" t="s">
        <v>911</v>
      </c>
      <c r="L394" t="s">
        <v>1601</v>
      </c>
      <c r="M394" t="s">
        <v>1602</v>
      </c>
      <c r="N394" t="s">
        <v>1603</v>
      </c>
      <c r="O394" t="s">
        <v>1604</v>
      </c>
    </row>
    <row r="395" spans="11:15" hidden="1" x14ac:dyDescent="0.2">
      <c r="K395" t="s">
        <v>911</v>
      </c>
      <c r="L395" t="s">
        <v>1605</v>
      </c>
      <c r="M395" t="s">
        <v>1606</v>
      </c>
      <c r="N395" t="s">
        <v>1607</v>
      </c>
      <c r="O395" t="s">
        <v>1608</v>
      </c>
    </row>
    <row r="396" spans="11:15" hidden="1" x14ac:dyDescent="0.2">
      <c r="K396" t="s">
        <v>911</v>
      </c>
      <c r="L396" t="s">
        <v>1609</v>
      </c>
      <c r="M396" t="s">
        <v>1610</v>
      </c>
      <c r="N396" t="s">
        <v>1611</v>
      </c>
      <c r="O396" t="s">
        <v>1612</v>
      </c>
    </row>
    <row r="397" spans="11:15" hidden="1" x14ac:dyDescent="0.2">
      <c r="K397" t="s">
        <v>911</v>
      </c>
      <c r="L397" t="s">
        <v>1613</v>
      </c>
      <c r="M397" t="s">
        <v>1614</v>
      </c>
      <c r="N397" t="s">
        <v>1615</v>
      </c>
      <c r="O397" t="s">
        <v>1616</v>
      </c>
    </row>
    <row r="398" spans="11:15" hidden="1" x14ac:dyDescent="0.2">
      <c r="K398" t="s">
        <v>911</v>
      </c>
      <c r="L398" t="s">
        <v>1617</v>
      </c>
      <c r="M398" t="s">
        <v>1618</v>
      </c>
      <c r="N398" t="s">
        <v>1619</v>
      </c>
      <c r="O398" t="s">
        <v>1620</v>
      </c>
    </row>
    <row r="399" spans="11:15" hidden="1" x14ac:dyDescent="0.2">
      <c r="K399" t="s">
        <v>911</v>
      </c>
      <c r="L399" t="s">
        <v>1621</v>
      </c>
      <c r="M399" t="s">
        <v>1622</v>
      </c>
      <c r="N399" t="s">
        <v>1623</v>
      </c>
      <c r="O399" t="s">
        <v>1624</v>
      </c>
    </row>
    <row r="400" spans="11:15" hidden="1" x14ac:dyDescent="0.2">
      <c r="K400" t="s">
        <v>911</v>
      </c>
      <c r="L400" t="s">
        <v>1625</v>
      </c>
      <c r="M400" t="s">
        <v>1626</v>
      </c>
      <c r="N400" t="s">
        <v>1627</v>
      </c>
      <c r="O400" t="s">
        <v>1628</v>
      </c>
    </row>
    <row r="401" spans="11:15" hidden="1" x14ac:dyDescent="0.2">
      <c r="K401" t="s">
        <v>911</v>
      </c>
      <c r="L401" t="s">
        <v>1629</v>
      </c>
      <c r="M401" t="s">
        <v>1630</v>
      </c>
      <c r="N401" t="s">
        <v>1631</v>
      </c>
      <c r="O401" t="s">
        <v>1632</v>
      </c>
    </row>
    <row r="402" spans="11:15" hidden="1" x14ac:dyDescent="0.2">
      <c r="K402" t="s">
        <v>911</v>
      </c>
      <c r="L402" t="s">
        <v>1633</v>
      </c>
      <c r="M402" t="s">
        <v>1634</v>
      </c>
      <c r="N402" t="s">
        <v>1635</v>
      </c>
      <c r="O402" t="s">
        <v>1636</v>
      </c>
    </row>
    <row r="403" spans="11:15" hidden="1" x14ac:dyDescent="0.2">
      <c r="K403" t="s">
        <v>911</v>
      </c>
      <c r="L403" t="s">
        <v>1637</v>
      </c>
      <c r="M403" t="s">
        <v>1638</v>
      </c>
      <c r="N403" t="s">
        <v>1639</v>
      </c>
      <c r="O403" t="s">
        <v>1640</v>
      </c>
    </row>
    <row r="404" spans="11:15" hidden="1" x14ac:dyDescent="0.2">
      <c r="K404" t="s">
        <v>911</v>
      </c>
      <c r="L404" t="s">
        <v>1641</v>
      </c>
      <c r="M404" t="s">
        <v>1642</v>
      </c>
      <c r="N404" t="s">
        <v>1643</v>
      </c>
      <c r="O404" t="s">
        <v>1644</v>
      </c>
    </row>
    <row r="405" spans="11:15" hidden="1" x14ac:dyDescent="0.2">
      <c r="K405" t="s">
        <v>911</v>
      </c>
      <c r="L405" t="s">
        <v>1645</v>
      </c>
      <c r="M405" t="s">
        <v>1646</v>
      </c>
      <c r="N405" t="s">
        <v>1647</v>
      </c>
      <c r="O405" t="s">
        <v>1648</v>
      </c>
    </row>
    <row r="406" spans="11:15" hidden="1" x14ac:dyDescent="0.2">
      <c r="K406" t="s">
        <v>911</v>
      </c>
      <c r="L406" t="s">
        <v>1649</v>
      </c>
      <c r="M406" t="s">
        <v>1650</v>
      </c>
      <c r="N406" t="s">
        <v>1651</v>
      </c>
      <c r="O406" t="s">
        <v>1652</v>
      </c>
    </row>
    <row r="407" spans="11:15" hidden="1" x14ac:dyDescent="0.2">
      <c r="K407" t="s">
        <v>911</v>
      </c>
      <c r="L407" t="s">
        <v>1653</v>
      </c>
      <c r="M407" t="s">
        <v>1654</v>
      </c>
      <c r="N407" t="s">
        <v>1655</v>
      </c>
      <c r="O407" t="s">
        <v>1656</v>
      </c>
    </row>
    <row r="408" spans="11:15" hidden="1" x14ac:dyDescent="0.2">
      <c r="K408" t="s">
        <v>911</v>
      </c>
      <c r="L408" t="s">
        <v>1657</v>
      </c>
      <c r="M408" t="s">
        <v>1658</v>
      </c>
      <c r="N408" t="s">
        <v>1659</v>
      </c>
      <c r="O408" t="s">
        <v>1660</v>
      </c>
    </row>
    <row r="409" spans="11:15" hidden="1" x14ac:dyDescent="0.2">
      <c r="K409" t="s">
        <v>911</v>
      </c>
      <c r="L409" t="s">
        <v>1661</v>
      </c>
      <c r="M409" t="s">
        <v>1662</v>
      </c>
      <c r="N409" t="s">
        <v>1663</v>
      </c>
      <c r="O409" t="s">
        <v>1664</v>
      </c>
    </row>
    <row r="410" spans="11:15" hidden="1" x14ac:dyDescent="0.2">
      <c r="K410" t="s">
        <v>911</v>
      </c>
      <c r="L410" t="s">
        <v>1665</v>
      </c>
      <c r="M410" t="s">
        <v>1666</v>
      </c>
      <c r="N410" t="s">
        <v>1667</v>
      </c>
      <c r="O410" t="s">
        <v>1668</v>
      </c>
    </row>
    <row r="411" spans="11:15" hidden="1" x14ac:dyDescent="0.2">
      <c r="K411" t="s">
        <v>911</v>
      </c>
      <c r="L411" t="s">
        <v>1669</v>
      </c>
      <c r="M411" t="s">
        <v>1670</v>
      </c>
      <c r="N411" t="s">
        <v>1671</v>
      </c>
      <c r="O411" t="s">
        <v>1672</v>
      </c>
    </row>
    <row r="412" spans="11:15" hidden="1" x14ac:dyDescent="0.2">
      <c r="K412" t="s">
        <v>911</v>
      </c>
      <c r="L412" t="s">
        <v>1673</v>
      </c>
      <c r="M412" t="s">
        <v>1674</v>
      </c>
      <c r="N412" t="s">
        <v>1675</v>
      </c>
      <c r="O412" t="s">
        <v>1676</v>
      </c>
    </row>
    <row r="413" spans="11:15" hidden="1" x14ac:dyDescent="0.2">
      <c r="K413" t="s">
        <v>911</v>
      </c>
      <c r="L413" t="s">
        <v>1677</v>
      </c>
      <c r="M413" t="s">
        <v>1678</v>
      </c>
      <c r="N413" t="s">
        <v>1679</v>
      </c>
      <c r="O413" t="s">
        <v>1680</v>
      </c>
    </row>
    <row r="414" spans="11:15" hidden="1" x14ac:dyDescent="0.2">
      <c r="K414" t="s">
        <v>911</v>
      </c>
      <c r="L414" t="s">
        <v>1681</v>
      </c>
      <c r="M414" t="s">
        <v>1682</v>
      </c>
      <c r="N414" t="s">
        <v>1683</v>
      </c>
      <c r="O414" t="s">
        <v>1684</v>
      </c>
    </row>
    <row r="415" spans="11:15" hidden="1" x14ac:dyDescent="0.2">
      <c r="K415" t="s">
        <v>911</v>
      </c>
      <c r="L415" t="s">
        <v>1685</v>
      </c>
      <c r="M415" t="s">
        <v>1686</v>
      </c>
      <c r="N415" t="s">
        <v>1687</v>
      </c>
      <c r="O415" t="s">
        <v>1688</v>
      </c>
    </row>
    <row r="416" spans="11:15" hidden="1" x14ac:dyDescent="0.2">
      <c r="K416" t="s">
        <v>911</v>
      </c>
      <c r="L416" t="s">
        <v>1689</v>
      </c>
      <c r="M416" t="s">
        <v>1690</v>
      </c>
      <c r="N416" t="s">
        <v>1691</v>
      </c>
      <c r="O416" t="s">
        <v>1692</v>
      </c>
    </row>
    <row r="417" spans="11:15" hidden="1" x14ac:dyDescent="0.2">
      <c r="K417" t="s">
        <v>916</v>
      </c>
      <c r="L417" t="s">
        <v>1693</v>
      </c>
      <c r="M417" t="s">
        <v>1694</v>
      </c>
      <c r="N417" t="s">
        <v>1695</v>
      </c>
      <c r="O417" t="s">
        <v>1696</v>
      </c>
    </row>
    <row r="418" spans="11:15" hidden="1" x14ac:dyDescent="0.2">
      <c r="K418" t="s">
        <v>916</v>
      </c>
      <c r="L418" t="s">
        <v>1697</v>
      </c>
      <c r="M418" t="s">
        <v>1698</v>
      </c>
      <c r="N418" t="s">
        <v>1699</v>
      </c>
      <c r="O418" t="s">
        <v>1700</v>
      </c>
    </row>
    <row r="419" spans="11:15" hidden="1" x14ac:dyDescent="0.2">
      <c r="K419" t="s">
        <v>916</v>
      </c>
      <c r="L419" t="s">
        <v>1701</v>
      </c>
      <c r="M419" t="s">
        <v>1702</v>
      </c>
      <c r="N419" t="s">
        <v>1703</v>
      </c>
      <c r="O419" t="s">
        <v>1704</v>
      </c>
    </row>
    <row r="420" spans="11:15" hidden="1" x14ac:dyDescent="0.2">
      <c r="K420" t="s">
        <v>916</v>
      </c>
      <c r="L420" t="s">
        <v>1705</v>
      </c>
      <c r="M420" t="s">
        <v>1706</v>
      </c>
      <c r="N420" t="s">
        <v>1707</v>
      </c>
      <c r="O420" t="s">
        <v>1708</v>
      </c>
    </row>
    <row r="421" spans="11:15" hidden="1" x14ac:dyDescent="0.2">
      <c r="K421" t="s">
        <v>916</v>
      </c>
      <c r="L421" t="s">
        <v>1709</v>
      </c>
      <c r="M421" t="s">
        <v>1710</v>
      </c>
      <c r="N421" t="s">
        <v>1711</v>
      </c>
      <c r="O421" t="s">
        <v>1712</v>
      </c>
    </row>
    <row r="422" spans="11:15" hidden="1" x14ac:dyDescent="0.2">
      <c r="K422" t="s">
        <v>916</v>
      </c>
      <c r="L422" t="s">
        <v>1713</v>
      </c>
      <c r="M422" t="s">
        <v>1714</v>
      </c>
      <c r="N422" t="s">
        <v>1715</v>
      </c>
      <c r="O422" t="s">
        <v>1716</v>
      </c>
    </row>
    <row r="423" spans="11:15" hidden="1" x14ac:dyDescent="0.2">
      <c r="K423" t="s">
        <v>916</v>
      </c>
      <c r="L423" t="s">
        <v>1717</v>
      </c>
      <c r="M423" t="s">
        <v>1718</v>
      </c>
      <c r="N423" t="s">
        <v>1719</v>
      </c>
      <c r="O423" t="s">
        <v>1720</v>
      </c>
    </row>
    <row r="424" spans="11:15" hidden="1" x14ac:dyDescent="0.2">
      <c r="K424" t="s">
        <v>916</v>
      </c>
      <c r="L424" t="s">
        <v>1721</v>
      </c>
      <c r="M424" t="s">
        <v>1722</v>
      </c>
      <c r="N424" t="s">
        <v>1723</v>
      </c>
      <c r="O424" t="s">
        <v>1724</v>
      </c>
    </row>
    <row r="425" spans="11:15" hidden="1" x14ac:dyDescent="0.2">
      <c r="K425" t="s">
        <v>916</v>
      </c>
      <c r="L425" t="s">
        <v>1725</v>
      </c>
      <c r="M425" t="s">
        <v>1726</v>
      </c>
      <c r="N425" t="s">
        <v>1727</v>
      </c>
      <c r="O425" t="s">
        <v>1728</v>
      </c>
    </row>
    <row r="426" spans="11:15" hidden="1" x14ac:dyDescent="0.2">
      <c r="K426" t="s">
        <v>916</v>
      </c>
      <c r="L426" t="s">
        <v>1729</v>
      </c>
      <c r="M426" t="s">
        <v>1730</v>
      </c>
      <c r="N426" t="s">
        <v>1731</v>
      </c>
      <c r="O426" t="s">
        <v>1732</v>
      </c>
    </row>
    <row r="427" spans="11:15" hidden="1" x14ac:dyDescent="0.2">
      <c r="K427" t="s">
        <v>916</v>
      </c>
      <c r="L427" t="s">
        <v>1733</v>
      </c>
      <c r="M427" t="s">
        <v>1734</v>
      </c>
      <c r="N427" t="s">
        <v>1735</v>
      </c>
      <c r="O427" t="s">
        <v>1736</v>
      </c>
    </row>
    <row r="428" spans="11:15" hidden="1" x14ac:dyDescent="0.2">
      <c r="K428" t="s">
        <v>916</v>
      </c>
      <c r="L428" t="s">
        <v>1737</v>
      </c>
      <c r="M428" t="s">
        <v>1738</v>
      </c>
      <c r="N428" t="s">
        <v>1739</v>
      </c>
      <c r="O428" t="s">
        <v>1740</v>
      </c>
    </row>
    <row r="429" spans="11:15" hidden="1" x14ac:dyDescent="0.2">
      <c r="K429" t="s">
        <v>916</v>
      </c>
      <c r="L429" t="s">
        <v>1741</v>
      </c>
      <c r="M429" t="s">
        <v>1742</v>
      </c>
      <c r="N429" t="s">
        <v>1743</v>
      </c>
      <c r="O429" t="s">
        <v>1744</v>
      </c>
    </row>
    <row r="430" spans="11:15" hidden="1" x14ac:dyDescent="0.2">
      <c r="K430" t="s">
        <v>916</v>
      </c>
      <c r="L430" t="s">
        <v>1745</v>
      </c>
      <c r="M430" t="s">
        <v>1746</v>
      </c>
      <c r="N430" t="s">
        <v>1747</v>
      </c>
      <c r="O430" t="s">
        <v>1748</v>
      </c>
    </row>
    <row r="431" spans="11:15" hidden="1" x14ac:dyDescent="0.2">
      <c r="K431" t="s">
        <v>916</v>
      </c>
      <c r="L431" t="s">
        <v>1749</v>
      </c>
      <c r="M431" t="s">
        <v>1750</v>
      </c>
      <c r="N431" t="s">
        <v>1751</v>
      </c>
      <c r="O431" t="s">
        <v>1752</v>
      </c>
    </row>
    <row r="432" spans="11:15" hidden="1" x14ac:dyDescent="0.2">
      <c r="K432" t="s">
        <v>916</v>
      </c>
      <c r="L432" t="s">
        <v>1753</v>
      </c>
      <c r="M432" t="s">
        <v>1754</v>
      </c>
      <c r="N432" t="s">
        <v>1755</v>
      </c>
      <c r="O432" t="s">
        <v>1756</v>
      </c>
    </row>
    <row r="433" spans="11:15" hidden="1" x14ac:dyDescent="0.2">
      <c r="K433" t="s">
        <v>916</v>
      </c>
      <c r="L433" t="s">
        <v>1757</v>
      </c>
      <c r="M433" t="s">
        <v>1758</v>
      </c>
      <c r="N433" t="s">
        <v>1759</v>
      </c>
      <c r="O433" t="s">
        <v>1760</v>
      </c>
    </row>
    <row r="434" spans="11:15" hidden="1" x14ac:dyDescent="0.2">
      <c r="K434" t="s">
        <v>916</v>
      </c>
      <c r="L434" t="s">
        <v>1761</v>
      </c>
      <c r="M434" t="s">
        <v>1762</v>
      </c>
      <c r="N434" t="s">
        <v>1763</v>
      </c>
      <c r="O434" t="s">
        <v>1764</v>
      </c>
    </row>
    <row r="435" spans="11:15" hidden="1" x14ac:dyDescent="0.2">
      <c r="K435" t="s">
        <v>916</v>
      </c>
      <c r="L435" t="s">
        <v>1765</v>
      </c>
      <c r="M435" t="s">
        <v>1766</v>
      </c>
      <c r="N435" t="s">
        <v>1767</v>
      </c>
      <c r="O435" t="s">
        <v>1768</v>
      </c>
    </row>
    <row r="436" spans="11:15" hidden="1" x14ac:dyDescent="0.2">
      <c r="K436" t="s">
        <v>916</v>
      </c>
      <c r="L436" t="s">
        <v>1769</v>
      </c>
      <c r="M436" t="s">
        <v>1770</v>
      </c>
      <c r="N436" t="s">
        <v>1771</v>
      </c>
      <c r="O436" t="s">
        <v>1772</v>
      </c>
    </row>
    <row r="437" spans="11:15" hidden="1" x14ac:dyDescent="0.2">
      <c r="K437" t="s">
        <v>916</v>
      </c>
      <c r="L437" t="s">
        <v>1773</v>
      </c>
      <c r="M437" t="s">
        <v>1774</v>
      </c>
      <c r="N437" t="s">
        <v>1775</v>
      </c>
      <c r="O437" t="s">
        <v>1776</v>
      </c>
    </row>
    <row r="438" spans="11:15" hidden="1" x14ac:dyDescent="0.2">
      <c r="K438" t="s">
        <v>916</v>
      </c>
      <c r="L438" t="s">
        <v>1777</v>
      </c>
      <c r="M438" t="s">
        <v>1778</v>
      </c>
      <c r="N438" t="s">
        <v>1779</v>
      </c>
      <c r="O438" t="s">
        <v>1780</v>
      </c>
    </row>
    <row r="439" spans="11:15" hidden="1" x14ac:dyDescent="0.2">
      <c r="K439" t="s">
        <v>916</v>
      </c>
      <c r="L439" t="s">
        <v>1781</v>
      </c>
      <c r="M439" t="s">
        <v>1782</v>
      </c>
      <c r="N439" t="s">
        <v>1783</v>
      </c>
      <c r="O439" t="s">
        <v>1784</v>
      </c>
    </row>
    <row r="440" spans="11:15" hidden="1" x14ac:dyDescent="0.2">
      <c r="K440" t="s">
        <v>916</v>
      </c>
      <c r="L440" t="s">
        <v>1785</v>
      </c>
      <c r="M440" t="s">
        <v>1786</v>
      </c>
      <c r="N440" t="s">
        <v>1787</v>
      </c>
      <c r="O440" t="s">
        <v>1788</v>
      </c>
    </row>
    <row r="441" spans="11:15" hidden="1" x14ac:dyDescent="0.2">
      <c r="K441" t="s">
        <v>916</v>
      </c>
      <c r="L441" t="s">
        <v>1789</v>
      </c>
      <c r="M441" t="s">
        <v>1790</v>
      </c>
      <c r="N441" t="s">
        <v>1791</v>
      </c>
      <c r="O441" t="s">
        <v>1792</v>
      </c>
    </row>
    <row r="442" spans="11:15" hidden="1" x14ac:dyDescent="0.2">
      <c r="K442" t="s">
        <v>511</v>
      </c>
      <c r="L442" t="s">
        <v>1793</v>
      </c>
      <c r="M442" t="s">
        <v>1794</v>
      </c>
      <c r="N442" t="s">
        <v>1795</v>
      </c>
      <c r="O442" t="s">
        <v>1796</v>
      </c>
    </row>
    <row r="443" spans="11:15" hidden="1" x14ac:dyDescent="0.2">
      <c r="K443" t="s">
        <v>511</v>
      </c>
      <c r="L443" t="s">
        <v>1797</v>
      </c>
      <c r="M443" t="s">
        <v>1798</v>
      </c>
      <c r="N443" t="s">
        <v>1799</v>
      </c>
      <c r="O443" t="s">
        <v>1800</v>
      </c>
    </row>
    <row r="444" spans="11:15" hidden="1" x14ac:dyDescent="0.2">
      <c r="K444" t="s">
        <v>511</v>
      </c>
      <c r="L444" t="s">
        <v>1801</v>
      </c>
      <c r="M444" t="s">
        <v>1802</v>
      </c>
      <c r="N444" t="s">
        <v>1803</v>
      </c>
      <c r="O444" t="s">
        <v>1804</v>
      </c>
    </row>
    <row r="445" spans="11:15" hidden="1" x14ac:dyDescent="0.2">
      <c r="K445" t="s">
        <v>511</v>
      </c>
      <c r="L445" t="s">
        <v>1805</v>
      </c>
      <c r="M445" t="s">
        <v>1806</v>
      </c>
      <c r="N445" t="s">
        <v>1807</v>
      </c>
      <c r="O445" t="s">
        <v>1808</v>
      </c>
    </row>
    <row r="446" spans="11:15" hidden="1" x14ac:dyDescent="0.2">
      <c r="K446" t="s">
        <v>511</v>
      </c>
      <c r="L446" t="s">
        <v>1809</v>
      </c>
      <c r="M446" t="s">
        <v>1810</v>
      </c>
      <c r="N446" t="s">
        <v>1811</v>
      </c>
      <c r="O446" t="s">
        <v>1812</v>
      </c>
    </row>
    <row r="447" spans="11:15" hidden="1" x14ac:dyDescent="0.2">
      <c r="K447" t="s">
        <v>511</v>
      </c>
      <c r="L447" t="s">
        <v>1813</v>
      </c>
      <c r="M447" t="s">
        <v>1814</v>
      </c>
      <c r="N447" t="s">
        <v>1815</v>
      </c>
      <c r="O447" t="s">
        <v>1816</v>
      </c>
    </row>
    <row r="448" spans="11:15" hidden="1" x14ac:dyDescent="0.2">
      <c r="K448" t="s">
        <v>511</v>
      </c>
      <c r="L448" t="s">
        <v>1817</v>
      </c>
      <c r="M448" t="s">
        <v>1818</v>
      </c>
      <c r="N448" t="s">
        <v>1819</v>
      </c>
      <c r="O448" t="s">
        <v>1820</v>
      </c>
    </row>
    <row r="449" spans="11:15" hidden="1" x14ac:dyDescent="0.2">
      <c r="K449" t="s">
        <v>511</v>
      </c>
      <c r="L449" t="s">
        <v>1821</v>
      </c>
      <c r="M449" t="s">
        <v>1822</v>
      </c>
      <c r="N449" t="s">
        <v>1823</v>
      </c>
      <c r="O449" t="s">
        <v>1824</v>
      </c>
    </row>
    <row r="450" spans="11:15" hidden="1" x14ac:dyDescent="0.2">
      <c r="K450" t="s">
        <v>511</v>
      </c>
      <c r="L450" t="s">
        <v>1825</v>
      </c>
      <c r="M450" t="s">
        <v>1826</v>
      </c>
      <c r="N450" t="s">
        <v>1827</v>
      </c>
      <c r="O450" t="s">
        <v>1828</v>
      </c>
    </row>
    <row r="451" spans="11:15" hidden="1" x14ac:dyDescent="0.2">
      <c r="K451" t="s">
        <v>511</v>
      </c>
      <c r="L451" t="s">
        <v>1829</v>
      </c>
      <c r="M451" t="s">
        <v>1830</v>
      </c>
      <c r="N451" t="s">
        <v>1831</v>
      </c>
      <c r="O451" t="s">
        <v>1832</v>
      </c>
    </row>
    <row r="452" spans="11:15" hidden="1" x14ac:dyDescent="0.2">
      <c r="K452" t="s">
        <v>511</v>
      </c>
      <c r="L452" t="s">
        <v>1833</v>
      </c>
      <c r="M452" t="s">
        <v>1834</v>
      </c>
      <c r="N452" t="s">
        <v>1835</v>
      </c>
      <c r="O452" t="s">
        <v>1836</v>
      </c>
    </row>
    <row r="453" spans="11:15" hidden="1" x14ac:dyDescent="0.2">
      <c r="K453" t="s">
        <v>511</v>
      </c>
      <c r="L453" t="s">
        <v>1837</v>
      </c>
      <c r="M453" t="s">
        <v>1838</v>
      </c>
      <c r="N453" t="s">
        <v>1839</v>
      </c>
      <c r="O453" t="s">
        <v>1840</v>
      </c>
    </row>
    <row r="454" spans="11:15" hidden="1" x14ac:dyDescent="0.2">
      <c r="K454" t="s">
        <v>511</v>
      </c>
      <c r="L454" t="s">
        <v>1841</v>
      </c>
      <c r="M454" t="s">
        <v>1842</v>
      </c>
      <c r="N454" t="s">
        <v>1843</v>
      </c>
      <c r="O454" t="s">
        <v>1844</v>
      </c>
    </row>
    <row r="455" spans="11:15" hidden="1" x14ac:dyDescent="0.2">
      <c r="K455" t="s">
        <v>511</v>
      </c>
      <c r="L455" t="s">
        <v>1845</v>
      </c>
      <c r="M455" t="s">
        <v>1846</v>
      </c>
      <c r="N455" t="s">
        <v>1847</v>
      </c>
      <c r="O455" t="s">
        <v>1848</v>
      </c>
    </row>
    <row r="456" spans="11:15" hidden="1" x14ac:dyDescent="0.2">
      <c r="K456" t="s">
        <v>511</v>
      </c>
      <c r="L456" t="s">
        <v>1849</v>
      </c>
      <c r="M456" t="s">
        <v>1850</v>
      </c>
      <c r="N456" t="s">
        <v>1851</v>
      </c>
      <c r="O456" t="s">
        <v>1852</v>
      </c>
    </row>
    <row r="457" spans="11:15" hidden="1" x14ac:dyDescent="0.2">
      <c r="K457" t="s">
        <v>511</v>
      </c>
      <c r="L457" t="s">
        <v>1853</v>
      </c>
      <c r="M457" t="s">
        <v>1854</v>
      </c>
      <c r="N457" t="s">
        <v>1855</v>
      </c>
      <c r="O457" t="s">
        <v>1856</v>
      </c>
    </row>
    <row r="458" spans="11:15" hidden="1" x14ac:dyDescent="0.2">
      <c r="K458" t="s">
        <v>511</v>
      </c>
      <c r="L458" t="s">
        <v>1857</v>
      </c>
      <c r="M458" t="s">
        <v>1858</v>
      </c>
      <c r="N458" t="s">
        <v>1859</v>
      </c>
      <c r="O458" t="s">
        <v>1860</v>
      </c>
    </row>
    <row r="459" spans="11:15" hidden="1" x14ac:dyDescent="0.2">
      <c r="K459" t="s">
        <v>511</v>
      </c>
      <c r="L459" t="s">
        <v>1861</v>
      </c>
      <c r="M459" t="s">
        <v>1862</v>
      </c>
      <c r="N459" t="s">
        <v>1863</v>
      </c>
      <c r="O459" t="s">
        <v>1864</v>
      </c>
    </row>
    <row r="460" spans="11:15" hidden="1" x14ac:dyDescent="0.2">
      <c r="K460" t="s">
        <v>511</v>
      </c>
      <c r="L460" t="s">
        <v>1865</v>
      </c>
      <c r="M460" t="s">
        <v>1866</v>
      </c>
      <c r="N460" t="s">
        <v>1867</v>
      </c>
      <c r="O460" t="s">
        <v>1868</v>
      </c>
    </row>
    <row r="461" spans="11:15" hidden="1" x14ac:dyDescent="0.2">
      <c r="K461" t="s">
        <v>511</v>
      </c>
      <c r="L461" t="s">
        <v>1869</v>
      </c>
      <c r="M461" t="s">
        <v>1870</v>
      </c>
      <c r="N461" t="s">
        <v>1871</v>
      </c>
      <c r="O461" t="s">
        <v>1872</v>
      </c>
    </row>
    <row r="462" spans="11:15" hidden="1" x14ac:dyDescent="0.2">
      <c r="K462" t="s">
        <v>511</v>
      </c>
      <c r="L462" t="s">
        <v>1873</v>
      </c>
      <c r="M462" t="s">
        <v>1874</v>
      </c>
      <c r="N462" t="s">
        <v>1875</v>
      </c>
      <c r="O462" t="s">
        <v>1876</v>
      </c>
    </row>
    <row r="463" spans="11:15" hidden="1" x14ac:dyDescent="0.2">
      <c r="K463" t="s">
        <v>511</v>
      </c>
      <c r="L463" t="s">
        <v>1877</v>
      </c>
      <c r="M463" t="s">
        <v>1878</v>
      </c>
      <c r="N463" t="s">
        <v>1879</v>
      </c>
      <c r="O463" t="s">
        <v>1880</v>
      </c>
    </row>
    <row r="464" spans="11:15" hidden="1" x14ac:dyDescent="0.2">
      <c r="K464" t="s">
        <v>511</v>
      </c>
      <c r="L464" t="s">
        <v>1881</v>
      </c>
      <c r="M464" t="s">
        <v>1882</v>
      </c>
      <c r="N464" t="s">
        <v>1883</v>
      </c>
      <c r="O464" t="s">
        <v>1884</v>
      </c>
    </row>
    <row r="465" spans="11:15" hidden="1" x14ac:dyDescent="0.2">
      <c r="K465" t="s">
        <v>511</v>
      </c>
      <c r="L465" t="s">
        <v>1885</v>
      </c>
      <c r="M465" t="s">
        <v>1886</v>
      </c>
      <c r="N465" t="s">
        <v>1887</v>
      </c>
      <c r="O465" t="s">
        <v>1888</v>
      </c>
    </row>
    <row r="466" spans="11:15" hidden="1" x14ac:dyDescent="0.2">
      <c r="K466" t="s">
        <v>511</v>
      </c>
      <c r="L466" t="s">
        <v>1889</v>
      </c>
      <c r="M466" t="s">
        <v>1890</v>
      </c>
      <c r="N466" t="s">
        <v>1891</v>
      </c>
      <c r="O466" t="s">
        <v>1892</v>
      </c>
    </row>
    <row r="467" spans="11:15" hidden="1" x14ac:dyDescent="0.2">
      <c r="K467" t="s">
        <v>511</v>
      </c>
      <c r="L467" t="s">
        <v>1893</v>
      </c>
      <c r="M467" t="s">
        <v>1894</v>
      </c>
      <c r="N467" t="s">
        <v>1895</v>
      </c>
      <c r="O467" t="s">
        <v>1896</v>
      </c>
    </row>
    <row r="468" spans="11:15" hidden="1" x14ac:dyDescent="0.2">
      <c r="K468" t="s">
        <v>900</v>
      </c>
      <c r="L468" t="s">
        <v>1897</v>
      </c>
      <c r="M468" t="s">
        <v>1898</v>
      </c>
      <c r="N468" t="s">
        <v>1899</v>
      </c>
      <c r="O468" t="s">
        <v>1900</v>
      </c>
    </row>
    <row r="469" spans="11:15" hidden="1" x14ac:dyDescent="0.2">
      <c r="K469" t="s">
        <v>900</v>
      </c>
      <c r="L469" t="s">
        <v>1901</v>
      </c>
      <c r="M469" t="s">
        <v>1902</v>
      </c>
      <c r="N469" t="s">
        <v>1903</v>
      </c>
      <c r="O469" t="s">
        <v>1904</v>
      </c>
    </row>
    <row r="470" spans="11:15" hidden="1" x14ac:dyDescent="0.2">
      <c r="K470" t="s">
        <v>900</v>
      </c>
      <c r="L470" t="s">
        <v>1905</v>
      </c>
      <c r="M470" t="s">
        <v>1906</v>
      </c>
      <c r="N470" t="s">
        <v>1907</v>
      </c>
      <c r="O470" t="s">
        <v>1908</v>
      </c>
    </row>
    <row r="471" spans="11:15" hidden="1" x14ac:dyDescent="0.2">
      <c r="K471" t="s">
        <v>900</v>
      </c>
      <c r="L471" t="s">
        <v>1909</v>
      </c>
      <c r="M471" t="s">
        <v>1910</v>
      </c>
      <c r="N471" t="s">
        <v>1911</v>
      </c>
      <c r="O471" t="s">
        <v>1912</v>
      </c>
    </row>
    <row r="472" spans="11:15" hidden="1" x14ac:dyDescent="0.2">
      <c r="K472" t="s">
        <v>900</v>
      </c>
      <c r="L472" t="s">
        <v>1913</v>
      </c>
      <c r="M472" t="s">
        <v>1914</v>
      </c>
      <c r="N472" t="s">
        <v>1915</v>
      </c>
      <c r="O472" t="s">
        <v>1916</v>
      </c>
    </row>
    <row r="473" spans="11:15" hidden="1" x14ac:dyDescent="0.2">
      <c r="K473" t="s">
        <v>900</v>
      </c>
      <c r="L473" t="s">
        <v>1917</v>
      </c>
      <c r="M473" t="s">
        <v>1918</v>
      </c>
      <c r="N473" t="s">
        <v>1919</v>
      </c>
      <c r="O473" t="s">
        <v>1920</v>
      </c>
    </row>
    <row r="474" spans="11:15" hidden="1" x14ac:dyDescent="0.2">
      <c r="K474" t="s">
        <v>900</v>
      </c>
      <c r="L474" t="s">
        <v>1921</v>
      </c>
      <c r="M474" t="s">
        <v>1922</v>
      </c>
      <c r="N474" t="s">
        <v>1923</v>
      </c>
      <c r="O474" t="s">
        <v>1924</v>
      </c>
    </row>
    <row r="475" spans="11:15" hidden="1" x14ac:dyDescent="0.2">
      <c r="K475" t="s">
        <v>900</v>
      </c>
      <c r="L475" t="s">
        <v>1925</v>
      </c>
      <c r="M475" t="s">
        <v>1926</v>
      </c>
      <c r="N475" t="s">
        <v>1927</v>
      </c>
      <c r="O475" t="s">
        <v>1928</v>
      </c>
    </row>
    <row r="476" spans="11:15" hidden="1" x14ac:dyDescent="0.2">
      <c r="K476" t="s">
        <v>900</v>
      </c>
      <c r="L476" t="s">
        <v>1929</v>
      </c>
      <c r="M476" t="s">
        <v>1930</v>
      </c>
      <c r="N476" t="s">
        <v>1931</v>
      </c>
      <c r="O476" t="s">
        <v>1932</v>
      </c>
    </row>
    <row r="477" spans="11:15" hidden="1" x14ac:dyDescent="0.2">
      <c r="K477" t="s">
        <v>900</v>
      </c>
      <c r="L477" t="s">
        <v>1933</v>
      </c>
      <c r="M477" t="s">
        <v>1934</v>
      </c>
      <c r="N477" t="s">
        <v>1935</v>
      </c>
      <c r="O477" t="s">
        <v>1936</v>
      </c>
    </row>
    <row r="478" spans="11:15" hidden="1" x14ac:dyDescent="0.2">
      <c r="K478" t="s">
        <v>900</v>
      </c>
      <c r="L478" t="s">
        <v>1937</v>
      </c>
      <c r="M478" t="s">
        <v>1938</v>
      </c>
      <c r="N478" t="s">
        <v>1939</v>
      </c>
      <c r="O478" t="s">
        <v>1940</v>
      </c>
    </row>
    <row r="479" spans="11:15" hidden="1" x14ac:dyDescent="0.2">
      <c r="K479" t="s">
        <v>900</v>
      </c>
      <c r="L479" t="s">
        <v>1941</v>
      </c>
      <c r="M479" t="s">
        <v>1942</v>
      </c>
      <c r="N479" t="s">
        <v>1943</v>
      </c>
      <c r="O479" t="s">
        <v>1944</v>
      </c>
    </row>
    <row r="480" spans="11:15" hidden="1" x14ac:dyDescent="0.2">
      <c r="K480" t="s">
        <v>900</v>
      </c>
      <c r="L480" t="s">
        <v>1945</v>
      </c>
      <c r="M480" t="s">
        <v>1946</v>
      </c>
      <c r="N480" t="s">
        <v>1947</v>
      </c>
      <c r="O480" t="s">
        <v>1948</v>
      </c>
    </row>
    <row r="481" spans="11:15" hidden="1" x14ac:dyDescent="0.2">
      <c r="K481" t="s">
        <v>900</v>
      </c>
      <c r="L481" t="s">
        <v>1949</v>
      </c>
      <c r="M481" t="s">
        <v>1950</v>
      </c>
      <c r="N481" t="s">
        <v>1951</v>
      </c>
      <c r="O481" t="s">
        <v>1952</v>
      </c>
    </row>
    <row r="482" spans="11:15" hidden="1" x14ac:dyDescent="0.2">
      <c r="K482" t="s">
        <v>900</v>
      </c>
      <c r="L482" t="s">
        <v>1953</v>
      </c>
      <c r="M482" t="s">
        <v>1954</v>
      </c>
      <c r="N482" t="s">
        <v>1955</v>
      </c>
      <c r="O482" t="s">
        <v>1956</v>
      </c>
    </row>
    <row r="483" spans="11:15" hidden="1" x14ac:dyDescent="0.2">
      <c r="K483" t="s">
        <v>900</v>
      </c>
      <c r="L483" t="s">
        <v>1957</v>
      </c>
      <c r="M483" t="s">
        <v>1958</v>
      </c>
      <c r="N483" t="s">
        <v>1959</v>
      </c>
      <c r="O483" t="s">
        <v>1960</v>
      </c>
    </row>
    <row r="484" spans="11:15" hidden="1" x14ac:dyDescent="0.2">
      <c r="K484" t="s">
        <v>900</v>
      </c>
      <c r="L484" t="s">
        <v>1961</v>
      </c>
      <c r="M484" t="s">
        <v>1962</v>
      </c>
      <c r="N484" t="s">
        <v>1963</v>
      </c>
      <c r="O484" t="s">
        <v>1964</v>
      </c>
    </row>
    <row r="485" spans="11:15" hidden="1" x14ac:dyDescent="0.2">
      <c r="K485" t="s">
        <v>900</v>
      </c>
      <c r="L485" t="s">
        <v>1965</v>
      </c>
      <c r="M485" t="s">
        <v>1966</v>
      </c>
      <c r="N485" t="s">
        <v>1967</v>
      </c>
      <c r="O485" t="s">
        <v>1965</v>
      </c>
    </row>
    <row r="486" spans="11:15" hidden="1" x14ac:dyDescent="0.2">
      <c r="K486" t="s">
        <v>900</v>
      </c>
      <c r="L486" t="s">
        <v>1968</v>
      </c>
      <c r="M486" t="s">
        <v>1969</v>
      </c>
      <c r="N486" t="s">
        <v>1970</v>
      </c>
      <c r="O486" t="s">
        <v>1971</v>
      </c>
    </row>
    <row r="487" spans="11:15" hidden="1" x14ac:dyDescent="0.2">
      <c r="K487" t="s">
        <v>900</v>
      </c>
      <c r="L487" t="s">
        <v>1972</v>
      </c>
      <c r="M487" t="s">
        <v>1973</v>
      </c>
      <c r="N487" t="s">
        <v>1974</v>
      </c>
      <c r="O487" t="s">
        <v>1975</v>
      </c>
    </row>
    <row r="488" spans="11:15" hidden="1" x14ac:dyDescent="0.2">
      <c r="K488" t="s">
        <v>900</v>
      </c>
      <c r="L488" t="s">
        <v>1976</v>
      </c>
      <c r="M488" t="s">
        <v>1977</v>
      </c>
      <c r="N488" t="s">
        <v>1978</v>
      </c>
      <c r="O488" t="s">
        <v>1979</v>
      </c>
    </row>
    <row r="489" spans="11:15" hidden="1" x14ac:dyDescent="0.2">
      <c r="K489" t="s">
        <v>900</v>
      </c>
      <c r="L489" t="s">
        <v>1980</v>
      </c>
      <c r="M489" t="s">
        <v>1981</v>
      </c>
      <c r="N489" t="s">
        <v>1982</v>
      </c>
      <c r="O489" t="s">
        <v>1983</v>
      </c>
    </row>
    <row r="490" spans="11:15" hidden="1" x14ac:dyDescent="0.2">
      <c r="K490" t="s">
        <v>900</v>
      </c>
      <c r="L490" t="s">
        <v>1984</v>
      </c>
      <c r="M490" t="s">
        <v>1985</v>
      </c>
      <c r="N490" t="s">
        <v>1986</v>
      </c>
      <c r="O490" t="s">
        <v>1987</v>
      </c>
    </row>
    <row r="491" spans="11:15" hidden="1" x14ac:dyDescent="0.2">
      <c r="K491" t="s">
        <v>900</v>
      </c>
      <c r="L491" t="s">
        <v>1988</v>
      </c>
      <c r="M491" t="s">
        <v>1989</v>
      </c>
      <c r="N491" t="s">
        <v>1990</v>
      </c>
      <c r="O491" t="s">
        <v>1991</v>
      </c>
    </row>
    <row r="492" spans="11:15" hidden="1" x14ac:dyDescent="0.2">
      <c r="K492" t="s">
        <v>900</v>
      </c>
      <c r="L492" t="s">
        <v>1992</v>
      </c>
      <c r="M492" t="s">
        <v>1993</v>
      </c>
      <c r="N492" t="s">
        <v>1994</v>
      </c>
      <c r="O492" t="s">
        <v>1995</v>
      </c>
    </row>
    <row r="493" spans="11:15" hidden="1" x14ac:dyDescent="0.2">
      <c r="K493" t="s">
        <v>900</v>
      </c>
      <c r="L493" t="s">
        <v>1996</v>
      </c>
      <c r="M493" t="s">
        <v>1997</v>
      </c>
      <c r="N493" t="s">
        <v>1998</v>
      </c>
      <c r="O493" t="s">
        <v>1999</v>
      </c>
    </row>
    <row r="494" spans="11:15" hidden="1" x14ac:dyDescent="0.2">
      <c r="K494" t="s">
        <v>920</v>
      </c>
      <c r="L494" t="s">
        <v>2000</v>
      </c>
      <c r="M494" t="s">
        <v>2001</v>
      </c>
      <c r="N494" t="s">
        <v>2002</v>
      </c>
      <c r="O494" t="s">
        <v>2003</v>
      </c>
    </row>
    <row r="495" spans="11:15" hidden="1" x14ac:dyDescent="0.2">
      <c r="K495" t="s">
        <v>920</v>
      </c>
      <c r="L495" t="s">
        <v>2004</v>
      </c>
      <c r="M495" t="s">
        <v>2005</v>
      </c>
      <c r="N495" t="s">
        <v>2006</v>
      </c>
      <c r="O495" t="s">
        <v>2007</v>
      </c>
    </row>
    <row r="496" spans="11:15" hidden="1" x14ac:dyDescent="0.2">
      <c r="K496" t="s">
        <v>920</v>
      </c>
      <c r="L496" t="s">
        <v>2008</v>
      </c>
      <c r="M496" t="s">
        <v>2009</v>
      </c>
      <c r="N496" t="s">
        <v>2010</v>
      </c>
      <c r="O496" t="s">
        <v>2011</v>
      </c>
    </row>
    <row r="497" spans="11:15" hidden="1" x14ac:dyDescent="0.2">
      <c r="K497" t="s">
        <v>920</v>
      </c>
      <c r="L497" t="s">
        <v>2012</v>
      </c>
      <c r="M497" t="s">
        <v>2013</v>
      </c>
      <c r="N497" t="s">
        <v>2014</v>
      </c>
      <c r="O497" t="s">
        <v>2015</v>
      </c>
    </row>
    <row r="498" spans="11:15" hidden="1" x14ac:dyDescent="0.2">
      <c r="K498" t="s">
        <v>920</v>
      </c>
      <c r="L498" t="s">
        <v>2016</v>
      </c>
      <c r="M498" t="s">
        <v>2017</v>
      </c>
      <c r="N498" t="s">
        <v>2018</v>
      </c>
      <c r="O498" t="s">
        <v>2019</v>
      </c>
    </row>
    <row r="499" spans="11:15" hidden="1" x14ac:dyDescent="0.2">
      <c r="K499" t="s">
        <v>920</v>
      </c>
      <c r="L499" t="s">
        <v>2020</v>
      </c>
      <c r="M499" t="s">
        <v>2021</v>
      </c>
      <c r="N499" t="s">
        <v>2022</v>
      </c>
      <c r="O499" t="s">
        <v>2023</v>
      </c>
    </row>
    <row r="500" spans="11:15" hidden="1" x14ac:dyDescent="0.2">
      <c r="K500" t="s">
        <v>920</v>
      </c>
      <c r="L500" t="s">
        <v>2024</v>
      </c>
      <c r="M500" t="s">
        <v>2025</v>
      </c>
      <c r="N500" t="s">
        <v>2026</v>
      </c>
      <c r="O500" t="s">
        <v>2027</v>
      </c>
    </row>
    <row r="501" spans="11:15" hidden="1" x14ac:dyDescent="0.2">
      <c r="K501" t="s">
        <v>920</v>
      </c>
      <c r="L501" t="s">
        <v>2028</v>
      </c>
      <c r="M501" t="s">
        <v>2029</v>
      </c>
      <c r="N501" t="s">
        <v>2030</v>
      </c>
      <c r="O501" t="s">
        <v>2031</v>
      </c>
    </row>
    <row r="502" spans="11:15" hidden="1" x14ac:dyDescent="0.2">
      <c r="K502" t="s">
        <v>920</v>
      </c>
      <c r="L502" t="s">
        <v>2032</v>
      </c>
      <c r="M502" t="s">
        <v>2033</v>
      </c>
      <c r="N502" t="s">
        <v>2034</v>
      </c>
      <c r="O502" t="s">
        <v>2035</v>
      </c>
    </row>
    <row r="503" spans="11:15" hidden="1" x14ac:dyDescent="0.2">
      <c r="K503" t="s">
        <v>920</v>
      </c>
      <c r="L503" t="s">
        <v>2036</v>
      </c>
      <c r="M503" t="s">
        <v>2037</v>
      </c>
      <c r="N503" t="s">
        <v>2038</v>
      </c>
      <c r="O503" t="s">
        <v>2039</v>
      </c>
    </row>
    <row r="504" spans="11:15" hidden="1" x14ac:dyDescent="0.2">
      <c r="K504" t="s">
        <v>920</v>
      </c>
      <c r="L504" t="s">
        <v>2040</v>
      </c>
      <c r="M504" t="s">
        <v>2041</v>
      </c>
      <c r="N504" t="s">
        <v>2042</v>
      </c>
      <c r="O504" t="s">
        <v>2043</v>
      </c>
    </row>
    <row r="505" spans="11:15" hidden="1" x14ac:dyDescent="0.2">
      <c r="K505" t="s">
        <v>920</v>
      </c>
      <c r="L505" t="s">
        <v>2044</v>
      </c>
      <c r="M505" t="s">
        <v>2045</v>
      </c>
      <c r="N505" t="s">
        <v>2046</v>
      </c>
      <c r="O505" t="s">
        <v>2047</v>
      </c>
    </row>
    <row r="506" spans="11:15" hidden="1" x14ac:dyDescent="0.2">
      <c r="K506" t="s">
        <v>920</v>
      </c>
      <c r="L506" t="s">
        <v>2048</v>
      </c>
      <c r="M506" t="s">
        <v>2049</v>
      </c>
      <c r="N506" t="s">
        <v>2050</v>
      </c>
      <c r="O506" t="s">
        <v>2051</v>
      </c>
    </row>
    <row r="507" spans="11:15" hidden="1" x14ac:dyDescent="0.2">
      <c r="K507" t="s">
        <v>920</v>
      </c>
      <c r="L507" t="s">
        <v>2052</v>
      </c>
      <c r="M507" t="s">
        <v>2053</v>
      </c>
      <c r="N507" t="s">
        <v>2054</v>
      </c>
      <c r="O507" t="s">
        <v>2055</v>
      </c>
    </row>
    <row r="508" spans="11:15" hidden="1" x14ac:dyDescent="0.2">
      <c r="K508" t="s">
        <v>920</v>
      </c>
      <c r="L508" t="s">
        <v>2056</v>
      </c>
      <c r="M508" t="s">
        <v>2057</v>
      </c>
      <c r="N508" t="s">
        <v>2058</v>
      </c>
      <c r="O508" t="s">
        <v>2059</v>
      </c>
    </row>
    <row r="509" spans="11:15" hidden="1" x14ac:dyDescent="0.2">
      <c r="K509" t="s">
        <v>920</v>
      </c>
      <c r="L509" t="s">
        <v>2056</v>
      </c>
      <c r="M509" t="s">
        <v>2060</v>
      </c>
      <c r="N509" t="s">
        <v>2061</v>
      </c>
      <c r="O509" t="s">
        <v>2062</v>
      </c>
    </row>
    <row r="510" spans="11:15" hidden="1" x14ac:dyDescent="0.2">
      <c r="K510" t="s">
        <v>920</v>
      </c>
      <c r="L510" t="s">
        <v>2063</v>
      </c>
      <c r="M510" t="s">
        <v>2064</v>
      </c>
      <c r="N510" t="s">
        <v>2065</v>
      </c>
      <c r="O510" t="s">
        <v>2066</v>
      </c>
    </row>
    <row r="511" spans="11:15" hidden="1" x14ac:dyDescent="0.2">
      <c r="K511" t="s">
        <v>920</v>
      </c>
      <c r="L511" t="s">
        <v>2067</v>
      </c>
      <c r="M511" t="s">
        <v>2068</v>
      </c>
      <c r="N511" t="s">
        <v>2069</v>
      </c>
      <c r="O511" t="s">
        <v>2070</v>
      </c>
    </row>
    <row r="512" spans="11:15" hidden="1" x14ac:dyDescent="0.2">
      <c r="K512" t="s">
        <v>920</v>
      </c>
      <c r="L512" t="s">
        <v>2071</v>
      </c>
      <c r="M512" t="s">
        <v>2072</v>
      </c>
      <c r="N512" t="s">
        <v>2073</v>
      </c>
      <c r="O512" t="s">
        <v>2074</v>
      </c>
    </row>
    <row r="513" spans="11:15" hidden="1" x14ac:dyDescent="0.2">
      <c r="K513" t="s">
        <v>920</v>
      </c>
      <c r="L513" t="s">
        <v>2075</v>
      </c>
      <c r="M513" t="s">
        <v>2076</v>
      </c>
      <c r="N513" t="s">
        <v>2077</v>
      </c>
      <c r="O513" t="s">
        <v>2078</v>
      </c>
    </row>
    <row r="514" spans="11:15" hidden="1" x14ac:dyDescent="0.2">
      <c r="K514" t="s">
        <v>920</v>
      </c>
      <c r="L514" t="s">
        <v>2079</v>
      </c>
      <c r="M514" t="s">
        <v>2080</v>
      </c>
      <c r="N514" t="s">
        <v>2081</v>
      </c>
      <c r="O514" t="s">
        <v>2082</v>
      </c>
    </row>
    <row r="515" spans="11:15" hidden="1" x14ac:dyDescent="0.2">
      <c r="K515" t="s">
        <v>920</v>
      </c>
      <c r="L515" t="s">
        <v>2083</v>
      </c>
      <c r="M515" t="s">
        <v>2084</v>
      </c>
      <c r="N515" t="s">
        <v>2085</v>
      </c>
      <c r="O515" t="s">
        <v>2086</v>
      </c>
    </row>
    <row r="516" spans="11:15" hidden="1" x14ac:dyDescent="0.2">
      <c r="K516" t="s">
        <v>920</v>
      </c>
      <c r="L516" t="s">
        <v>2087</v>
      </c>
      <c r="M516" t="s">
        <v>2088</v>
      </c>
      <c r="N516" t="s">
        <v>2089</v>
      </c>
      <c r="O516" t="s">
        <v>2090</v>
      </c>
    </row>
    <row r="517" spans="11:15" hidden="1" x14ac:dyDescent="0.2">
      <c r="K517" t="s">
        <v>920</v>
      </c>
      <c r="L517" t="s">
        <v>2091</v>
      </c>
      <c r="M517" t="s">
        <v>2092</v>
      </c>
      <c r="N517" t="s">
        <v>2093</v>
      </c>
      <c r="O517" t="s">
        <v>2094</v>
      </c>
    </row>
    <row r="518" spans="11:15" hidden="1" x14ac:dyDescent="0.2">
      <c r="K518" t="s">
        <v>920</v>
      </c>
      <c r="L518" t="s">
        <v>2095</v>
      </c>
      <c r="M518" t="s">
        <v>2096</v>
      </c>
      <c r="N518" t="s">
        <v>2097</v>
      </c>
      <c r="O518" t="s">
        <v>2098</v>
      </c>
    </row>
    <row r="519" spans="11:15" hidden="1" x14ac:dyDescent="0.2">
      <c r="K519" t="s">
        <v>920</v>
      </c>
      <c r="L519" t="s">
        <v>2099</v>
      </c>
      <c r="M519" t="s">
        <v>2100</v>
      </c>
      <c r="N519" t="s">
        <v>2101</v>
      </c>
      <c r="O519" t="s">
        <v>2102</v>
      </c>
    </row>
    <row r="520" spans="11:15" hidden="1" x14ac:dyDescent="0.2">
      <c r="K520" t="s">
        <v>923</v>
      </c>
      <c r="L520" t="s">
        <v>2103</v>
      </c>
      <c r="M520" t="s">
        <v>2104</v>
      </c>
      <c r="N520" t="s">
        <v>2105</v>
      </c>
      <c r="O520" t="s">
        <v>2106</v>
      </c>
    </row>
    <row r="521" spans="11:15" hidden="1" x14ac:dyDescent="0.2">
      <c r="K521" t="s">
        <v>923</v>
      </c>
      <c r="L521" t="s">
        <v>2107</v>
      </c>
      <c r="M521" t="s">
        <v>2108</v>
      </c>
      <c r="N521" t="s">
        <v>2109</v>
      </c>
      <c r="O521" t="s">
        <v>2110</v>
      </c>
    </row>
    <row r="522" spans="11:15" hidden="1" x14ac:dyDescent="0.2">
      <c r="K522" t="s">
        <v>923</v>
      </c>
      <c r="L522" t="s">
        <v>2111</v>
      </c>
      <c r="M522" t="s">
        <v>2112</v>
      </c>
      <c r="N522" t="s">
        <v>2113</v>
      </c>
      <c r="O522" t="s">
        <v>2114</v>
      </c>
    </row>
    <row r="523" spans="11:15" hidden="1" x14ac:dyDescent="0.2">
      <c r="K523" t="s">
        <v>923</v>
      </c>
      <c r="L523" t="s">
        <v>2115</v>
      </c>
      <c r="M523" t="s">
        <v>2116</v>
      </c>
      <c r="N523" t="s">
        <v>2117</v>
      </c>
      <c r="O523" t="s">
        <v>2118</v>
      </c>
    </row>
    <row r="524" spans="11:15" hidden="1" x14ac:dyDescent="0.2">
      <c r="K524" t="s">
        <v>923</v>
      </c>
      <c r="L524" t="s">
        <v>2119</v>
      </c>
      <c r="M524" t="s">
        <v>2120</v>
      </c>
      <c r="N524" t="s">
        <v>2121</v>
      </c>
      <c r="O524" t="s">
        <v>2122</v>
      </c>
    </row>
    <row r="525" spans="11:15" hidden="1" x14ac:dyDescent="0.2">
      <c r="K525" t="s">
        <v>923</v>
      </c>
      <c r="L525" t="s">
        <v>2123</v>
      </c>
      <c r="M525" t="s">
        <v>2124</v>
      </c>
      <c r="N525" t="s">
        <v>2125</v>
      </c>
      <c r="O525" t="s">
        <v>2126</v>
      </c>
    </row>
    <row r="526" spans="11:15" hidden="1" x14ac:dyDescent="0.2">
      <c r="K526" t="s">
        <v>923</v>
      </c>
      <c r="L526" t="s">
        <v>2127</v>
      </c>
      <c r="M526" t="s">
        <v>2128</v>
      </c>
      <c r="N526" t="s">
        <v>2129</v>
      </c>
      <c r="O526" t="s">
        <v>2130</v>
      </c>
    </row>
    <row r="527" spans="11:15" hidden="1" x14ac:dyDescent="0.2">
      <c r="K527" t="s">
        <v>923</v>
      </c>
      <c r="L527" t="s">
        <v>2131</v>
      </c>
      <c r="M527" t="s">
        <v>2132</v>
      </c>
      <c r="N527" t="s">
        <v>2133</v>
      </c>
      <c r="O527" t="s">
        <v>2134</v>
      </c>
    </row>
    <row r="528" spans="11:15" hidden="1" x14ac:dyDescent="0.2">
      <c r="K528" t="s">
        <v>923</v>
      </c>
      <c r="L528" t="s">
        <v>2135</v>
      </c>
      <c r="M528" t="s">
        <v>2136</v>
      </c>
      <c r="N528" t="s">
        <v>2137</v>
      </c>
      <c r="O528" t="s">
        <v>2138</v>
      </c>
    </row>
    <row r="529" spans="11:15" hidden="1" x14ac:dyDescent="0.2">
      <c r="K529" t="s">
        <v>923</v>
      </c>
      <c r="L529" t="s">
        <v>2139</v>
      </c>
      <c r="M529" t="s">
        <v>2140</v>
      </c>
      <c r="N529" t="s">
        <v>2141</v>
      </c>
      <c r="O529" t="s">
        <v>2142</v>
      </c>
    </row>
    <row r="530" spans="11:15" hidden="1" x14ac:dyDescent="0.2">
      <c r="K530" t="s">
        <v>923</v>
      </c>
      <c r="L530" t="s">
        <v>2143</v>
      </c>
      <c r="M530" t="s">
        <v>2144</v>
      </c>
      <c r="N530" t="s">
        <v>2145</v>
      </c>
      <c r="O530" t="s">
        <v>2146</v>
      </c>
    </row>
    <row r="531" spans="11:15" hidden="1" x14ac:dyDescent="0.2">
      <c r="K531" t="s">
        <v>923</v>
      </c>
      <c r="L531" t="s">
        <v>2147</v>
      </c>
      <c r="M531" t="s">
        <v>2148</v>
      </c>
      <c r="N531" t="s">
        <v>2149</v>
      </c>
      <c r="O531" t="s">
        <v>2150</v>
      </c>
    </row>
    <row r="532" spans="11:15" hidden="1" x14ac:dyDescent="0.2">
      <c r="K532" t="s">
        <v>923</v>
      </c>
      <c r="L532" t="s">
        <v>2151</v>
      </c>
      <c r="M532" t="s">
        <v>2152</v>
      </c>
      <c r="N532" t="s">
        <v>2153</v>
      </c>
      <c r="O532" t="s">
        <v>2154</v>
      </c>
    </row>
    <row r="533" spans="11:15" hidden="1" x14ac:dyDescent="0.2">
      <c r="K533" t="s">
        <v>923</v>
      </c>
      <c r="L533" t="s">
        <v>2155</v>
      </c>
      <c r="M533" t="s">
        <v>2156</v>
      </c>
      <c r="N533" t="s">
        <v>2157</v>
      </c>
      <c r="O533" t="s">
        <v>2158</v>
      </c>
    </row>
    <row r="534" spans="11:15" hidden="1" x14ac:dyDescent="0.2">
      <c r="K534" t="s">
        <v>923</v>
      </c>
      <c r="L534" t="s">
        <v>2159</v>
      </c>
      <c r="M534" t="s">
        <v>2160</v>
      </c>
      <c r="N534" t="s">
        <v>2161</v>
      </c>
      <c r="O534" t="s">
        <v>2162</v>
      </c>
    </row>
    <row r="535" spans="11:15" hidden="1" x14ac:dyDescent="0.2">
      <c r="K535" t="s">
        <v>923</v>
      </c>
      <c r="L535" t="s">
        <v>2163</v>
      </c>
      <c r="M535" t="s">
        <v>2164</v>
      </c>
      <c r="N535" t="s">
        <v>2165</v>
      </c>
      <c r="O535" t="s">
        <v>2166</v>
      </c>
    </row>
    <row r="536" spans="11:15" hidden="1" x14ac:dyDescent="0.2">
      <c r="K536" t="s">
        <v>923</v>
      </c>
      <c r="L536" t="s">
        <v>2167</v>
      </c>
      <c r="M536" t="s">
        <v>2168</v>
      </c>
      <c r="N536" t="s">
        <v>2169</v>
      </c>
      <c r="O536" t="s">
        <v>2170</v>
      </c>
    </row>
    <row r="537" spans="11:15" hidden="1" x14ac:dyDescent="0.2">
      <c r="K537" t="s">
        <v>923</v>
      </c>
      <c r="L537" t="s">
        <v>2171</v>
      </c>
      <c r="M537" t="s">
        <v>2172</v>
      </c>
      <c r="N537" t="s">
        <v>2173</v>
      </c>
      <c r="O537" t="s">
        <v>2174</v>
      </c>
    </row>
    <row r="538" spans="11:15" hidden="1" x14ac:dyDescent="0.2">
      <c r="K538" t="s">
        <v>923</v>
      </c>
      <c r="L538" t="s">
        <v>2175</v>
      </c>
      <c r="M538" t="s">
        <v>2176</v>
      </c>
      <c r="N538" t="s">
        <v>2177</v>
      </c>
      <c r="O538" t="s">
        <v>2178</v>
      </c>
    </row>
    <row r="539" spans="11:15" hidden="1" x14ac:dyDescent="0.2">
      <c r="K539" t="s">
        <v>923</v>
      </c>
      <c r="L539" t="s">
        <v>2179</v>
      </c>
      <c r="M539" t="s">
        <v>2180</v>
      </c>
      <c r="N539" t="s">
        <v>2181</v>
      </c>
      <c r="O539" t="s">
        <v>2182</v>
      </c>
    </row>
    <row r="540" spans="11:15" hidden="1" x14ac:dyDescent="0.2">
      <c r="K540" t="s">
        <v>923</v>
      </c>
      <c r="L540" t="s">
        <v>2183</v>
      </c>
      <c r="M540" t="s">
        <v>2184</v>
      </c>
      <c r="N540" t="s">
        <v>2185</v>
      </c>
      <c r="O540" t="s">
        <v>2186</v>
      </c>
    </row>
    <row r="541" spans="11:15" hidden="1" x14ac:dyDescent="0.2">
      <c r="K541" t="s">
        <v>923</v>
      </c>
      <c r="L541" t="s">
        <v>2187</v>
      </c>
      <c r="M541" t="s">
        <v>2188</v>
      </c>
      <c r="N541" t="s">
        <v>2189</v>
      </c>
      <c r="O541" t="s">
        <v>2190</v>
      </c>
    </row>
    <row r="542" spans="11:15" hidden="1" x14ac:dyDescent="0.2">
      <c r="K542" t="s">
        <v>923</v>
      </c>
      <c r="L542" t="s">
        <v>2191</v>
      </c>
      <c r="M542" t="s">
        <v>2192</v>
      </c>
      <c r="N542" t="s">
        <v>2193</v>
      </c>
      <c r="O542" t="s">
        <v>2194</v>
      </c>
    </row>
    <row r="543" spans="11:15" hidden="1" x14ac:dyDescent="0.2">
      <c r="K543" t="s">
        <v>923</v>
      </c>
      <c r="L543" t="s">
        <v>2195</v>
      </c>
      <c r="M543" t="s">
        <v>2196</v>
      </c>
      <c r="N543" t="s">
        <v>2197</v>
      </c>
      <c r="O543" t="s">
        <v>2198</v>
      </c>
    </row>
    <row r="544" spans="11:15" hidden="1" x14ac:dyDescent="0.2">
      <c r="K544" t="s">
        <v>923</v>
      </c>
      <c r="L544" t="s">
        <v>2199</v>
      </c>
      <c r="M544" t="s">
        <v>2200</v>
      </c>
      <c r="N544" t="s">
        <v>2201</v>
      </c>
      <c r="O544" t="s">
        <v>2202</v>
      </c>
    </row>
    <row r="545" spans="11:15" hidden="1" x14ac:dyDescent="0.2">
      <c r="K545" t="s">
        <v>923</v>
      </c>
      <c r="L545" t="s">
        <v>2203</v>
      </c>
      <c r="M545" t="s">
        <v>2204</v>
      </c>
      <c r="N545" t="s">
        <v>2205</v>
      </c>
      <c r="O545" t="s">
        <v>2206</v>
      </c>
    </row>
    <row r="546" spans="11:15" hidden="1" x14ac:dyDescent="0.2">
      <c r="K546" t="s">
        <v>928</v>
      </c>
      <c r="L546" t="s">
        <v>2207</v>
      </c>
      <c r="M546" t="s">
        <v>2208</v>
      </c>
      <c r="N546" t="s">
        <v>2209</v>
      </c>
      <c r="O546" t="s">
        <v>2210</v>
      </c>
    </row>
    <row r="547" spans="11:15" hidden="1" x14ac:dyDescent="0.2">
      <c r="K547" t="s">
        <v>928</v>
      </c>
      <c r="L547" t="s">
        <v>2211</v>
      </c>
      <c r="M547" t="s">
        <v>2212</v>
      </c>
      <c r="N547" t="s">
        <v>2213</v>
      </c>
      <c r="O547" t="s">
        <v>2214</v>
      </c>
    </row>
    <row r="548" spans="11:15" hidden="1" x14ac:dyDescent="0.2">
      <c r="K548" t="s">
        <v>928</v>
      </c>
      <c r="L548" t="s">
        <v>2215</v>
      </c>
      <c r="M548" t="s">
        <v>2216</v>
      </c>
      <c r="N548" t="s">
        <v>2217</v>
      </c>
      <c r="O548" t="s">
        <v>2218</v>
      </c>
    </row>
    <row r="549" spans="11:15" hidden="1" x14ac:dyDescent="0.2">
      <c r="K549" t="s">
        <v>928</v>
      </c>
      <c r="L549" t="s">
        <v>2219</v>
      </c>
      <c r="M549" t="s">
        <v>2220</v>
      </c>
      <c r="N549" t="s">
        <v>2221</v>
      </c>
      <c r="O549" t="s">
        <v>2222</v>
      </c>
    </row>
    <row r="550" spans="11:15" hidden="1" x14ac:dyDescent="0.2">
      <c r="K550" t="s">
        <v>928</v>
      </c>
      <c r="L550" t="s">
        <v>2223</v>
      </c>
      <c r="M550" t="s">
        <v>2224</v>
      </c>
      <c r="N550" t="s">
        <v>2225</v>
      </c>
      <c r="O550" t="s">
        <v>2226</v>
      </c>
    </row>
    <row r="551" spans="11:15" hidden="1" x14ac:dyDescent="0.2">
      <c r="K551" t="s">
        <v>928</v>
      </c>
      <c r="L551" t="s">
        <v>2227</v>
      </c>
      <c r="M551" t="s">
        <v>2228</v>
      </c>
      <c r="N551" t="s">
        <v>2229</v>
      </c>
      <c r="O551" t="s">
        <v>2230</v>
      </c>
    </row>
    <row r="552" spans="11:15" hidden="1" x14ac:dyDescent="0.2">
      <c r="K552" t="s">
        <v>928</v>
      </c>
      <c r="L552" t="s">
        <v>2231</v>
      </c>
      <c r="M552" t="s">
        <v>2232</v>
      </c>
      <c r="N552" t="s">
        <v>2233</v>
      </c>
      <c r="O552" t="s">
        <v>2234</v>
      </c>
    </row>
    <row r="553" spans="11:15" hidden="1" x14ac:dyDescent="0.2">
      <c r="K553" t="s">
        <v>928</v>
      </c>
      <c r="L553" t="s">
        <v>2235</v>
      </c>
      <c r="M553" t="s">
        <v>2236</v>
      </c>
      <c r="N553" t="s">
        <v>2237</v>
      </c>
      <c r="O553" t="s">
        <v>2238</v>
      </c>
    </row>
    <row r="554" spans="11:15" hidden="1" x14ac:dyDescent="0.2">
      <c r="K554" t="s">
        <v>928</v>
      </c>
      <c r="L554" t="s">
        <v>2239</v>
      </c>
      <c r="M554" t="s">
        <v>2240</v>
      </c>
      <c r="N554" t="s">
        <v>2241</v>
      </c>
      <c r="O554" t="s">
        <v>2242</v>
      </c>
    </row>
    <row r="555" spans="11:15" hidden="1" x14ac:dyDescent="0.2">
      <c r="K555" t="s">
        <v>928</v>
      </c>
      <c r="L555" t="s">
        <v>2243</v>
      </c>
      <c r="M555" t="s">
        <v>2244</v>
      </c>
      <c r="N555" t="s">
        <v>2245</v>
      </c>
      <c r="O555" t="s">
        <v>2246</v>
      </c>
    </row>
    <row r="556" spans="11:15" hidden="1" x14ac:dyDescent="0.2">
      <c r="K556" t="s">
        <v>928</v>
      </c>
      <c r="L556" t="s">
        <v>2247</v>
      </c>
      <c r="M556" t="s">
        <v>2248</v>
      </c>
      <c r="N556" t="s">
        <v>2249</v>
      </c>
      <c r="O556" t="s">
        <v>2250</v>
      </c>
    </row>
    <row r="557" spans="11:15" hidden="1" x14ac:dyDescent="0.2">
      <c r="K557" t="s">
        <v>928</v>
      </c>
      <c r="L557" t="s">
        <v>2251</v>
      </c>
      <c r="M557" t="s">
        <v>2252</v>
      </c>
      <c r="N557" t="s">
        <v>2253</v>
      </c>
      <c r="O557" t="s">
        <v>2254</v>
      </c>
    </row>
    <row r="558" spans="11:15" hidden="1" x14ac:dyDescent="0.2">
      <c r="K558" t="s">
        <v>928</v>
      </c>
      <c r="L558" t="s">
        <v>2255</v>
      </c>
      <c r="M558" t="s">
        <v>2256</v>
      </c>
      <c r="N558" t="s">
        <v>2257</v>
      </c>
      <c r="O558" t="s">
        <v>2258</v>
      </c>
    </row>
    <row r="559" spans="11:15" hidden="1" x14ac:dyDescent="0.2">
      <c r="K559" t="s">
        <v>928</v>
      </c>
      <c r="L559" t="s">
        <v>2259</v>
      </c>
      <c r="M559" t="s">
        <v>2260</v>
      </c>
      <c r="N559" t="s">
        <v>2261</v>
      </c>
      <c r="O559" t="s">
        <v>2262</v>
      </c>
    </row>
    <row r="560" spans="11:15" hidden="1" x14ac:dyDescent="0.2">
      <c r="K560" t="s">
        <v>928</v>
      </c>
      <c r="L560" t="s">
        <v>2263</v>
      </c>
      <c r="M560" t="s">
        <v>2264</v>
      </c>
      <c r="N560" t="s">
        <v>2265</v>
      </c>
      <c r="O560" t="s">
        <v>2266</v>
      </c>
    </row>
    <row r="561" spans="11:15" hidden="1" x14ac:dyDescent="0.2">
      <c r="K561" t="s">
        <v>928</v>
      </c>
      <c r="L561" t="s">
        <v>2267</v>
      </c>
      <c r="M561" t="s">
        <v>2268</v>
      </c>
      <c r="N561" t="s">
        <v>2269</v>
      </c>
      <c r="O561" t="s">
        <v>2270</v>
      </c>
    </row>
    <row r="562" spans="11:15" hidden="1" x14ac:dyDescent="0.2">
      <c r="K562" t="s">
        <v>928</v>
      </c>
      <c r="L562" t="s">
        <v>2271</v>
      </c>
      <c r="M562" t="s">
        <v>2272</v>
      </c>
      <c r="N562" t="s">
        <v>2273</v>
      </c>
      <c r="O562" t="s">
        <v>2274</v>
      </c>
    </row>
    <row r="563" spans="11:15" hidden="1" x14ac:dyDescent="0.2">
      <c r="K563" t="s">
        <v>928</v>
      </c>
      <c r="L563" t="s">
        <v>2275</v>
      </c>
      <c r="M563" t="s">
        <v>2276</v>
      </c>
      <c r="N563" t="s">
        <v>2277</v>
      </c>
      <c r="O563" t="s">
        <v>2278</v>
      </c>
    </row>
    <row r="564" spans="11:15" hidden="1" x14ac:dyDescent="0.2">
      <c r="K564" t="s">
        <v>928</v>
      </c>
      <c r="L564" t="s">
        <v>2279</v>
      </c>
      <c r="M564" t="s">
        <v>2280</v>
      </c>
      <c r="N564" t="s">
        <v>2281</v>
      </c>
      <c r="O564" t="s">
        <v>2282</v>
      </c>
    </row>
    <row r="565" spans="11:15" hidden="1" x14ac:dyDescent="0.2">
      <c r="K565" t="s">
        <v>928</v>
      </c>
      <c r="L565" t="s">
        <v>2283</v>
      </c>
      <c r="M565" t="s">
        <v>2284</v>
      </c>
      <c r="N565" t="s">
        <v>2285</v>
      </c>
      <c r="O565" t="s">
        <v>2286</v>
      </c>
    </row>
    <row r="566" spans="11:15" hidden="1" x14ac:dyDescent="0.2">
      <c r="K566" t="s">
        <v>928</v>
      </c>
      <c r="L566" t="s">
        <v>2287</v>
      </c>
      <c r="M566" t="s">
        <v>2288</v>
      </c>
      <c r="N566" t="s">
        <v>2289</v>
      </c>
      <c r="O566" t="s">
        <v>2290</v>
      </c>
    </row>
    <row r="567" spans="11:15" hidden="1" x14ac:dyDescent="0.2">
      <c r="K567" t="s">
        <v>928</v>
      </c>
      <c r="L567" t="s">
        <v>2291</v>
      </c>
      <c r="M567" t="s">
        <v>2292</v>
      </c>
      <c r="N567" t="s">
        <v>2293</v>
      </c>
      <c r="O567" t="s">
        <v>2294</v>
      </c>
    </row>
    <row r="568" spans="11:15" hidden="1" x14ac:dyDescent="0.2">
      <c r="K568" t="s">
        <v>928</v>
      </c>
      <c r="L568" t="s">
        <v>2295</v>
      </c>
      <c r="M568" t="s">
        <v>2296</v>
      </c>
      <c r="N568" t="s">
        <v>2297</v>
      </c>
      <c r="O568" t="s">
        <v>2298</v>
      </c>
    </row>
    <row r="569" spans="11:15" hidden="1" x14ac:dyDescent="0.2">
      <c r="K569" t="s">
        <v>928</v>
      </c>
      <c r="L569" t="s">
        <v>2299</v>
      </c>
      <c r="M569" t="s">
        <v>2300</v>
      </c>
      <c r="N569" t="s">
        <v>2301</v>
      </c>
      <c r="O569" t="s">
        <v>2302</v>
      </c>
    </row>
    <row r="570" spans="11:15" hidden="1" x14ac:dyDescent="0.2">
      <c r="K570" t="s">
        <v>928</v>
      </c>
      <c r="L570" t="s">
        <v>2303</v>
      </c>
      <c r="M570" t="s">
        <v>2304</v>
      </c>
      <c r="N570" t="s">
        <v>2305</v>
      </c>
      <c r="O570" t="s">
        <v>2306</v>
      </c>
    </row>
    <row r="571" spans="11:15" hidden="1" x14ac:dyDescent="0.2">
      <c r="K571" t="s">
        <v>928</v>
      </c>
      <c r="L571" t="s">
        <v>2307</v>
      </c>
      <c r="M571" t="s">
        <v>2308</v>
      </c>
      <c r="N571" t="s">
        <v>2309</v>
      </c>
      <c r="O571" t="s">
        <v>2310</v>
      </c>
    </row>
    <row r="572" spans="11:15" hidden="1" x14ac:dyDescent="0.2">
      <c r="K572" t="s">
        <v>932</v>
      </c>
      <c r="L572" t="s">
        <v>2311</v>
      </c>
      <c r="M572" t="s">
        <v>2312</v>
      </c>
      <c r="N572" t="s">
        <v>2313</v>
      </c>
      <c r="O572" t="s">
        <v>2314</v>
      </c>
    </row>
    <row r="573" spans="11:15" hidden="1" x14ac:dyDescent="0.2">
      <c r="K573" t="s">
        <v>932</v>
      </c>
      <c r="L573" t="s">
        <v>2315</v>
      </c>
      <c r="M573" t="s">
        <v>2316</v>
      </c>
      <c r="N573" t="s">
        <v>2317</v>
      </c>
      <c r="O573" t="s">
        <v>2318</v>
      </c>
    </row>
    <row r="574" spans="11:15" hidden="1" x14ac:dyDescent="0.2">
      <c r="K574" t="s">
        <v>932</v>
      </c>
      <c r="L574" t="s">
        <v>2319</v>
      </c>
      <c r="M574" t="s">
        <v>2320</v>
      </c>
      <c r="N574" t="s">
        <v>2321</v>
      </c>
      <c r="O574" t="s">
        <v>2322</v>
      </c>
    </row>
    <row r="575" spans="11:15" hidden="1" x14ac:dyDescent="0.2">
      <c r="K575" t="s">
        <v>932</v>
      </c>
      <c r="L575" t="s">
        <v>2323</v>
      </c>
      <c r="M575" t="s">
        <v>2324</v>
      </c>
      <c r="N575" t="s">
        <v>2325</v>
      </c>
      <c r="O575" t="s">
        <v>2326</v>
      </c>
    </row>
    <row r="576" spans="11:15" hidden="1" x14ac:dyDescent="0.2">
      <c r="K576" t="s">
        <v>932</v>
      </c>
      <c r="L576" t="s">
        <v>2327</v>
      </c>
      <c r="M576" t="s">
        <v>2328</v>
      </c>
      <c r="N576" t="s">
        <v>2329</v>
      </c>
      <c r="O576" t="s">
        <v>2330</v>
      </c>
    </row>
    <row r="577" spans="11:15" hidden="1" x14ac:dyDescent="0.2">
      <c r="K577" t="s">
        <v>932</v>
      </c>
      <c r="L577" t="s">
        <v>2331</v>
      </c>
      <c r="M577" t="s">
        <v>2332</v>
      </c>
      <c r="N577" t="s">
        <v>2333</v>
      </c>
      <c r="O577" t="s">
        <v>2334</v>
      </c>
    </row>
    <row r="578" spans="11:15" hidden="1" x14ac:dyDescent="0.2">
      <c r="K578" t="s">
        <v>932</v>
      </c>
      <c r="L578" t="s">
        <v>2335</v>
      </c>
      <c r="M578" t="s">
        <v>2336</v>
      </c>
      <c r="N578" t="s">
        <v>2337</v>
      </c>
      <c r="O578" t="s">
        <v>2338</v>
      </c>
    </row>
    <row r="579" spans="11:15" hidden="1" x14ac:dyDescent="0.2">
      <c r="K579" t="s">
        <v>932</v>
      </c>
      <c r="L579" t="s">
        <v>2339</v>
      </c>
      <c r="M579" t="s">
        <v>2340</v>
      </c>
      <c r="N579" t="s">
        <v>2341</v>
      </c>
      <c r="O579" t="s">
        <v>2342</v>
      </c>
    </row>
    <row r="580" spans="11:15" hidden="1" x14ac:dyDescent="0.2">
      <c r="K580" t="s">
        <v>932</v>
      </c>
      <c r="L580" t="s">
        <v>2343</v>
      </c>
      <c r="M580" t="s">
        <v>2344</v>
      </c>
      <c r="N580" t="s">
        <v>2345</v>
      </c>
      <c r="O580" t="s">
        <v>2346</v>
      </c>
    </row>
    <row r="581" spans="11:15" hidden="1" x14ac:dyDescent="0.2">
      <c r="K581" t="s">
        <v>932</v>
      </c>
      <c r="L581" t="s">
        <v>2347</v>
      </c>
      <c r="M581" t="s">
        <v>2348</v>
      </c>
      <c r="N581" t="s">
        <v>2349</v>
      </c>
      <c r="O581" t="s">
        <v>2350</v>
      </c>
    </row>
    <row r="582" spans="11:15" hidden="1" x14ac:dyDescent="0.2">
      <c r="K582" t="s">
        <v>932</v>
      </c>
      <c r="L582" t="s">
        <v>2351</v>
      </c>
      <c r="M582" t="s">
        <v>2352</v>
      </c>
      <c r="N582" t="s">
        <v>2353</v>
      </c>
      <c r="O582" t="s">
        <v>2354</v>
      </c>
    </row>
    <row r="583" spans="11:15" hidden="1" x14ac:dyDescent="0.2">
      <c r="K583" t="s">
        <v>932</v>
      </c>
      <c r="L583" t="s">
        <v>2355</v>
      </c>
      <c r="M583" t="s">
        <v>2356</v>
      </c>
      <c r="N583" t="s">
        <v>2357</v>
      </c>
      <c r="O583" t="s">
        <v>2358</v>
      </c>
    </row>
    <row r="584" spans="11:15" hidden="1" x14ac:dyDescent="0.2">
      <c r="K584" t="s">
        <v>932</v>
      </c>
      <c r="L584" t="s">
        <v>2359</v>
      </c>
      <c r="M584" t="s">
        <v>2360</v>
      </c>
      <c r="N584" t="s">
        <v>2361</v>
      </c>
      <c r="O584" t="s">
        <v>2362</v>
      </c>
    </row>
    <row r="585" spans="11:15" hidden="1" x14ac:dyDescent="0.2">
      <c r="K585" t="s">
        <v>932</v>
      </c>
      <c r="L585" t="s">
        <v>2363</v>
      </c>
      <c r="M585" t="s">
        <v>2364</v>
      </c>
      <c r="N585" t="s">
        <v>2365</v>
      </c>
      <c r="O585" t="s">
        <v>2366</v>
      </c>
    </row>
    <row r="586" spans="11:15" hidden="1" x14ac:dyDescent="0.2">
      <c r="K586" t="s">
        <v>932</v>
      </c>
      <c r="L586" t="s">
        <v>2367</v>
      </c>
      <c r="M586" t="s">
        <v>2368</v>
      </c>
      <c r="N586" t="s">
        <v>2369</v>
      </c>
      <c r="O586" t="s">
        <v>2370</v>
      </c>
    </row>
    <row r="587" spans="11:15" hidden="1" x14ac:dyDescent="0.2">
      <c r="K587" t="s">
        <v>932</v>
      </c>
      <c r="L587" t="s">
        <v>2371</v>
      </c>
      <c r="M587" t="s">
        <v>2372</v>
      </c>
      <c r="N587" t="s">
        <v>2373</v>
      </c>
      <c r="O587" t="s">
        <v>2374</v>
      </c>
    </row>
    <row r="588" spans="11:15" hidden="1" x14ac:dyDescent="0.2">
      <c r="K588" t="s">
        <v>932</v>
      </c>
      <c r="L588" t="s">
        <v>2375</v>
      </c>
      <c r="M588" t="s">
        <v>2376</v>
      </c>
      <c r="N588" t="s">
        <v>2377</v>
      </c>
      <c r="O588" t="s">
        <v>2378</v>
      </c>
    </row>
    <row r="589" spans="11:15" hidden="1" x14ac:dyDescent="0.2">
      <c r="K589" t="s">
        <v>932</v>
      </c>
      <c r="L589" t="s">
        <v>2379</v>
      </c>
      <c r="M589" t="s">
        <v>2380</v>
      </c>
      <c r="N589" t="s">
        <v>2381</v>
      </c>
      <c r="O589" t="s">
        <v>2382</v>
      </c>
    </row>
    <row r="590" spans="11:15" hidden="1" x14ac:dyDescent="0.2">
      <c r="K590" t="s">
        <v>932</v>
      </c>
      <c r="L590" t="s">
        <v>2383</v>
      </c>
      <c r="M590" t="s">
        <v>2384</v>
      </c>
      <c r="N590" t="s">
        <v>2385</v>
      </c>
      <c r="O590" t="s">
        <v>2386</v>
      </c>
    </row>
    <row r="591" spans="11:15" hidden="1" x14ac:dyDescent="0.2">
      <c r="K591" t="s">
        <v>932</v>
      </c>
      <c r="L591" t="s">
        <v>2387</v>
      </c>
      <c r="M591" t="s">
        <v>2388</v>
      </c>
      <c r="N591" t="s">
        <v>2389</v>
      </c>
      <c r="O591" t="s">
        <v>2390</v>
      </c>
    </row>
    <row r="592" spans="11:15" hidden="1" x14ac:dyDescent="0.2">
      <c r="K592" t="s">
        <v>932</v>
      </c>
      <c r="L592" t="s">
        <v>2391</v>
      </c>
      <c r="M592" t="s">
        <v>2392</v>
      </c>
      <c r="N592" t="s">
        <v>2393</v>
      </c>
      <c r="O592" t="s">
        <v>2394</v>
      </c>
    </row>
    <row r="593" spans="11:15" hidden="1" x14ac:dyDescent="0.2">
      <c r="K593" t="s">
        <v>932</v>
      </c>
      <c r="L593" t="s">
        <v>2391</v>
      </c>
      <c r="M593" t="s">
        <v>2395</v>
      </c>
      <c r="N593" t="s">
        <v>2396</v>
      </c>
      <c r="O593" t="s">
        <v>2397</v>
      </c>
    </row>
    <row r="594" spans="11:15" hidden="1" x14ac:dyDescent="0.2">
      <c r="K594" t="s">
        <v>932</v>
      </c>
      <c r="L594" t="s">
        <v>2398</v>
      </c>
      <c r="M594" t="s">
        <v>2399</v>
      </c>
      <c r="N594" t="s">
        <v>2400</v>
      </c>
      <c r="O594" t="s">
        <v>2401</v>
      </c>
    </row>
    <row r="595" spans="11:15" hidden="1" x14ac:dyDescent="0.2">
      <c r="K595" t="s">
        <v>932</v>
      </c>
      <c r="L595" t="s">
        <v>2402</v>
      </c>
      <c r="M595" t="s">
        <v>2403</v>
      </c>
      <c r="N595" t="s">
        <v>2404</v>
      </c>
      <c r="O595" t="s">
        <v>2405</v>
      </c>
    </row>
    <row r="596" spans="11:15" hidden="1" x14ac:dyDescent="0.2">
      <c r="K596" t="s">
        <v>932</v>
      </c>
      <c r="L596" t="s">
        <v>2406</v>
      </c>
      <c r="M596" t="s">
        <v>2407</v>
      </c>
      <c r="N596" t="s">
        <v>2408</v>
      </c>
      <c r="O596" t="s">
        <v>2409</v>
      </c>
    </row>
    <row r="597" spans="11:15" hidden="1" x14ac:dyDescent="0.2">
      <c r="K597" t="s">
        <v>932</v>
      </c>
      <c r="L597" t="s">
        <v>2410</v>
      </c>
      <c r="M597" t="s">
        <v>2411</v>
      </c>
      <c r="N597" t="s">
        <v>2412</v>
      </c>
      <c r="O597" t="s">
        <v>2413</v>
      </c>
    </row>
    <row r="598" spans="11:15" hidden="1" x14ac:dyDescent="0.2">
      <c r="K598" t="s">
        <v>936</v>
      </c>
      <c r="L598" t="s">
        <v>2414</v>
      </c>
      <c r="M598" t="s">
        <v>2415</v>
      </c>
      <c r="N598" t="s">
        <v>2416</v>
      </c>
      <c r="O598" t="s">
        <v>2417</v>
      </c>
    </row>
    <row r="599" spans="11:15" hidden="1" x14ac:dyDescent="0.2">
      <c r="K599" t="s">
        <v>936</v>
      </c>
      <c r="L599" t="s">
        <v>2418</v>
      </c>
      <c r="M599" t="s">
        <v>2419</v>
      </c>
      <c r="N599" t="s">
        <v>2420</v>
      </c>
      <c r="O599" t="s">
        <v>2421</v>
      </c>
    </row>
    <row r="600" spans="11:15" hidden="1" x14ac:dyDescent="0.2">
      <c r="K600" t="s">
        <v>936</v>
      </c>
      <c r="L600" t="s">
        <v>2422</v>
      </c>
      <c r="M600" t="s">
        <v>2423</v>
      </c>
      <c r="N600" t="s">
        <v>2424</v>
      </c>
      <c r="O600" t="s">
        <v>2425</v>
      </c>
    </row>
    <row r="601" spans="11:15" hidden="1" x14ac:dyDescent="0.2">
      <c r="K601" t="s">
        <v>936</v>
      </c>
      <c r="L601" t="s">
        <v>2426</v>
      </c>
      <c r="M601" t="s">
        <v>2427</v>
      </c>
      <c r="N601" t="s">
        <v>2428</v>
      </c>
      <c r="O601" t="s">
        <v>2429</v>
      </c>
    </row>
    <row r="602" spans="11:15" hidden="1" x14ac:dyDescent="0.2">
      <c r="K602" t="s">
        <v>936</v>
      </c>
      <c r="L602" t="s">
        <v>2430</v>
      </c>
      <c r="M602" t="s">
        <v>2431</v>
      </c>
      <c r="N602" t="s">
        <v>2432</v>
      </c>
      <c r="O602" t="s">
        <v>2433</v>
      </c>
    </row>
    <row r="603" spans="11:15" hidden="1" x14ac:dyDescent="0.2">
      <c r="K603" t="s">
        <v>936</v>
      </c>
      <c r="L603" t="s">
        <v>2434</v>
      </c>
      <c r="M603" t="s">
        <v>2435</v>
      </c>
      <c r="N603" t="s">
        <v>2436</v>
      </c>
      <c r="O603" t="s">
        <v>2434</v>
      </c>
    </row>
    <row r="604" spans="11:15" hidden="1" x14ac:dyDescent="0.2">
      <c r="K604" t="s">
        <v>936</v>
      </c>
      <c r="L604" t="s">
        <v>2437</v>
      </c>
      <c r="M604" t="s">
        <v>2438</v>
      </c>
      <c r="N604" t="s">
        <v>2439</v>
      </c>
      <c r="O604" t="s">
        <v>2440</v>
      </c>
    </row>
    <row r="605" spans="11:15" hidden="1" x14ac:dyDescent="0.2">
      <c r="K605" t="s">
        <v>936</v>
      </c>
      <c r="L605" t="s">
        <v>2441</v>
      </c>
      <c r="M605" t="s">
        <v>2442</v>
      </c>
      <c r="N605" t="s">
        <v>2443</v>
      </c>
      <c r="O605" t="s">
        <v>2444</v>
      </c>
    </row>
    <row r="606" spans="11:15" hidden="1" x14ac:dyDescent="0.2">
      <c r="K606" t="s">
        <v>936</v>
      </c>
      <c r="L606" t="s">
        <v>2445</v>
      </c>
      <c r="M606" t="s">
        <v>2446</v>
      </c>
      <c r="N606" t="s">
        <v>2447</v>
      </c>
      <c r="O606" t="s">
        <v>2448</v>
      </c>
    </row>
    <row r="607" spans="11:15" hidden="1" x14ac:dyDescent="0.2">
      <c r="K607" t="s">
        <v>936</v>
      </c>
      <c r="L607" t="s">
        <v>2449</v>
      </c>
      <c r="M607" t="s">
        <v>2450</v>
      </c>
      <c r="N607" t="s">
        <v>2451</v>
      </c>
      <c r="O607" t="s">
        <v>2452</v>
      </c>
    </row>
    <row r="608" spans="11:15" hidden="1" x14ac:dyDescent="0.2">
      <c r="K608" t="s">
        <v>936</v>
      </c>
      <c r="L608" t="s">
        <v>2453</v>
      </c>
      <c r="M608" t="s">
        <v>2454</v>
      </c>
      <c r="N608" t="s">
        <v>2455</v>
      </c>
      <c r="O608" t="s">
        <v>2456</v>
      </c>
    </row>
    <row r="609" spans="11:15" hidden="1" x14ac:dyDescent="0.2">
      <c r="K609" t="s">
        <v>936</v>
      </c>
      <c r="L609" t="s">
        <v>2457</v>
      </c>
      <c r="M609" t="s">
        <v>2458</v>
      </c>
      <c r="N609" t="s">
        <v>2459</v>
      </c>
      <c r="O609" t="s">
        <v>2460</v>
      </c>
    </row>
    <row r="610" spans="11:15" hidden="1" x14ac:dyDescent="0.2">
      <c r="K610" t="s">
        <v>936</v>
      </c>
      <c r="L610" t="s">
        <v>2461</v>
      </c>
      <c r="M610" t="s">
        <v>2462</v>
      </c>
      <c r="N610" t="s">
        <v>2463</v>
      </c>
      <c r="O610" t="s">
        <v>2464</v>
      </c>
    </row>
    <row r="611" spans="11:15" hidden="1" x14ac:dyDescent="0.2">
      <c r="K611" t="s">
        <v>936</v>
      </c>
      <c r="L611" t="s">
        <v>2465</v>
      </c>
      <c r="M611" t="s">
        <v>2466</v>
      </c>
      <c r="N611" t="s">
        <v>2467</v>
      </c>
      <c r="O611" t="s">
        <v>2468</v>
      </c>
    </row>
    <row r="612" spans="11:15" hidden="1" x14ac:dyDescent="0.2">
      <c r="K612" t="s">
        <v>936</v>
      </c>
      <c r="L612" t="s">
        <v>2469</v>
      </c>
      <c r="M612" t="s">
        <v>2470</v>
      </c>
      <c r="N612" t="s">
        <v>2471</v>
      </c>
      <c r="O612" t="s">
        <v>2472</v>
      </c>
    </row>
    <row r="613" spans="11:15" hidden="1" x14ac:dyDescent="0.2">
      <c r="K613" t="s">
        <v>936</v>
      </c>
      <c r="L613" t="s">
        <v>2469</v>
      </c>
      <c r="M613" t="s">
        <v>2473</v>
      </c>
      <c r="N613" t="s">
        <v>2474</v>
      </c>
      <c r="O613" t="s">
        <v>2475</v>
      </c>
    </row>
    <row r="614" spans="11:15" hidden="1" x14ac:dyDescent="0.2">
      <c r="K614" t="s">
        <v>936</v>
      </c>
      <c r="L614" t="s">
        <v>2476</v>
      </c>
      <c r="M614" t="s">
        <v>2477</v>
      </c>
      <c r="N614" t="s">
        <v>2478</v>
      </c>
      <c r="O614" t="s">
        <v>2479</v>
      </c>
    </row>
    <row r="615" spans="11:15" hidden="1" x14ac:dyDescent="0.2">
      <c r="K615" t="s">
        <v>936</v>
      </c>
      <c r="L615" t="s">
        <v>2480</v>
      </c>
      <c r="M615" t="s">
        <v>2481</v>
      </c>
      <c r="N615" t="s">
        <v>2482</v>
      </c>
      <c r="O615" t="s">
        <v>2483</v>
      </c>
    </row>
    <row r="616" spans="11:15" hidden="1" x14ac:dyDescent="0.2">
      <c r="K616" t="s">
        <v>936</v>
      </c>
      <c r="L616" t="s">
        <v>2484</v>
      </c>
      <c r="M616" t="s">
        <v>2485</v>
      </c>
      <c r="N616" t="s">
        <v>2486</v>
      </c>
      <c r="O616" t="s">
        <v>2487</v>
      </c>
    </row>
    <row r="617" spans="11:15" hidden="1" x14ac:dyDescent="0.2">
      <c r="K617" t="s">
        <v>936</v>
      </c>
      <c r="L617" t="s">
        <v>2488</v>
      </c>
      <c r="M617" t="s">
        <v>2489</v>
      </c>
      <c r="N617" t="s">
        <v>2490</v>
      </c>
      <c r="O617" t="s">
        <v>2488</v>
      </c>
    </row>
    <row r="618" spans="11:15" hidden="1" x14ac:dyDescent="0.2">
      <c r="K618" t="s">
        <v>936</v>
      </c>
      <c r="L618" t="s">
        <v>2491</v>
      </c>
      <c r="M618" t="s">
        <v>2492</v>
      </c>
      <c r="N618" t="s">
        <v>2493</v>
      </c>
      <c r="O618" t="s">
        <v>2494</v>
      </c>
    </row>
    <row r="619" spans="11:15" hidden="1" x14ac:dyDescent="0.2">
      <c r="K619" t="s">
        <v>936</v>
      </c>
      <c r="L619" t="s">
        <v>2495</v>
      </c>
      <c r="M619" t="s">
        <v>2496</v>
      </c>
      <c r="N619" t="s">
        <v>2497</v>
      </c>
      <c r="O619" t="s">
        <v>2498</v>
      </c>
    </row>
    <row r="620" spans="11:15" hidden="1" x14ac:dyDescent="0.2">
      <c r="K620" t="s">
        <v>936</v>
      </c>
      <c r="L620" t="s">
        <v>2499</v>
      </c>
      <c r="M620" t="s">
        <v>2500</v>
      </c>
      <c r="N620" t="s">
        <v>2501</v>
      </c>
      <c r="O620" t="s">
        <v>2502</v>
      </c>
    </row>
    <row r="621" spans="11:15" hidden="1" x14ac:dyDescent="0.2">
      <c r="K621" t="s">
        <v>936</v>
      </c>
      <c r="L621" t="s">
        <v>2503</v>
      </c>
      <c r="M621" t="s">
        <v>2504</v>
      </c>
      <c r="N621" t="s">
        <v>2505</v>
      </c>
      <c r="O621" t="s">
        <v>2506</v>
      </c>
    </row>
    <row r="622" spans="11:15" hidden="1" x14ac:dyDescent="0.2">
      <c r="K622" t="s">
        <v>936</v>
      </c>
      <c r="L622" t="s">
        <v>2503</v>
      </c>
      <c r="M622" t="s">
        <v>2507</v>
      </c>
      <c r="N622" t="s">
        <v>2508</v>
      </c>
      <c r="O622" t="s">
        <v>2509</v>
      </c>
    </row>
    <row r="623" spans="11:15" hidden="1" x14ac:dyDescent="0.2">
      <c r="K623" t="s">
        <v>936</v>
      </c>
      <c r="L623" t="s">
        <v>2510</v>
      </c>
      <c r="M623" t="s">
        <v>2511</v>
      </c>
      <c r="N623" t="s">
        <v>2512</v>
      </c>
      <c r="O623" t="s">
        <v>2510</v>
      </c>
    </row>
    <row r="624" spans="11:15" hidden="1" x14ac:dyDescent="0.2">
      <c r="K624" t="s">
        <v>816</v>
      </c>
      <c r="L624" t="s">
        <v>2513</v>
      </c>
      <c r="M624" t="s">
        <v>2514</v>
      </c>
      <c r="N624" t="s">
        <v>2515</v>
      </c>
      <c r="O624" t="s">
        <v>2516</v>
      </c>
    </row>
    <row r="625" spans="11:15" hidden="1" x14ac:dyDescent="0.2">
      <c r="K625" t="s">
        <v>816</v>
      </c>
      <c r="L625" t="s">
        <v>2517</v>
      </c>
      <c r="M625" t="s">
        <v>2518</v>
      </c>
      <c r="N625" t="s">
        <v>2519</v>
      </c>
      <c r="O625" t="s">
        <v>2520</v>
      </c>
    </row>
    <row r="626" spans="11:15" hidden="1" x14ac:dyDescent="0.2">
      <c r="K626" t="s">
        <v>816</v>
      </c>
      <c r="L626" t="s">
        <v>2521</v>
      </c>
      <c r="M626" t="s">
        <v>2522</v>
      </c>
      <c r="N626" t="s">
        <v>2523</v>
      </c>
      <c r="O626" t="s">
        <v>2524</v>
      </c>
    </row>
    <row r="627" spans="11:15" hidden="1" x14ac:dyDescent="0.2">
      <c r="K627" t="s">
        <v>816</v>
      </c>
      <c r="L627" t="s">
        <v>2525</v>
      </c>
      <c r="M627" t="s">
        <v>2526</v>
      </c>
      <c r="N627" t="s">
        <v>2527</v>
      </c>
      <c r="O627" t="s">
        <v>2528</v>
      </c>
    </row>
    <row r="628" spans="11:15" hidden="1" x14ac:dyDescent="0.2">
      <c r="K628" t="s">
        <v>816</v>
      </c>
      <c r="L628" t="s">
        <v>2529</v>
      </c>
      <c r="M628" t="s">
        <v>2530</v>
      </c>
      <c r="N628" t="s">
        <v>2531</v>
      </c>
      <c r="O628" t="s">
        <v>2532</v>
      </c>
    </row>
    <row r="629" spans="11:15" hidden="1" x14ac:dyDescent="0.2">
      <c r="K629" t="s">
        <v>816</v>
      </c>
      <c r="L629" t="s">
        <v>1709</v>
      </c>
      <c r="M629" t="s">
        <v>2533</v>
      </c>
      <c r="N629" t="s">
        <v>2534</v>
      </c>
      <c r="O629" t="s">
        <v>2535</v>
      </c>
    </row>
    <row r="630" spans="11:15" hidden="1" x14ac:dyDescent="0.2">
      <c r="K630" t="s">
        <v>816</v>
      </c>
      <c r="L630" t="s">
        <v>2536</v>
      </c>
      <c r="M630" t="s">
        <v>2537</v>
      </c>
      <c r="N630" t="s">
        <v>2538</v>
      </c>
      <c r="O630" t="s">
        <v>2539</v>
      </c>
    </row>
    <row r="631" spans="11:15" hidden="1" x14ac:dyDescent="0.2">
      <c r="K631" t="s">
        <v>816</v>
      </c>
      <c r="L631" t="s">
        <v>2540</v>
      </c>
      <c r="M631" t="s">
        <v>2541</v>
      </c>
      <c r="N631" t="s">
        <v>2542</v>
      </c>
      <c r="O631" t="s">
        <v>2543</v>
      </c>
    </row>
    <row r="632" spans="11:15" hidden="1" x14ac:dyDescent="0.2">
      <c r="K632" t="s">
        <v>816</v>
      </c>
      <c r="L632" t="s">
        <v>2544</v>
      </c>
      <c r="M632" t="s">
        <v>2545</v>
      </c>
      <c r="N632" t="s">
        <v>2546</v>
      </c>
      <c r="O632" t="s">
        <v>2547</v>
      </c>
    </row>
    <row r="633" spans="11:15" hidden="1" x14ac:dyDescent="0.2">
      <c r="K633" t="s">
        <v>816</v>
      </c>
      <c r="L633" t="s">
        <v>2548</v>
      </c>
      <c r="M633" t="s">
        <v>2549</v>
      </c>
      <c r="N633" t="s">
        <v>2550</v>
      </c>
      <c r="O633" t="s">
        <v>2551</v>
      </c>
    </row>
    <row r="634" spans="11:15" hidden="1" x14ac:dyDescent="0.2">
      <c r="K634" t="s">
        <v>816</v>
      </c>
      <c r="L634" t="s">
        <v>2552</v>
      </c>
      <c r="M634" t="s">
        <v>2553</v>
      </c>
      <c r="N634" t="s">
        <v>2554</v>
      </c>
      <c r="O634" t="s">
        <v>2555</v>
      </c>
    </row>
    <row r="635" spans="11:15" hidden="1" x14ac:dyDescent="0.2">
      <c r="K635" t="s">
        <v>816</v>
      </c>
      <c r="L635" t="s">
        <v>2552</v>
      </c>
      <c r="M635" t="s">
        <v>2556</v>
      </c>
      <c r="N635" t="s">
        <v>2557</v>
      </c>
      <c r="O635" t="s">
        <v>2558</v>
      </c>
    </row>
    <row r="636" spans="11:15" hidden="1" x14ac:dyDescent="0.2">
      <c r="K636" t="s">
        <v>816</v>
      </c>
      <c r="L636" t="s">
        <v>2559</v>
      </c>
      <c r="M636" t="s">
        <v>2560</v>
      </c>
      <c r="N636" t="s">
        <v>2561</v>
      </c>
      <c r="O636" t="s">
        <v>2562</v>
      </c>
    </row>
    <row r="637" spans="11:15" hidden="1" x14ac:dyDescent="0.2">
      <c r="K637" t="s">
        <v>816</v>
      </c>
      <c r="L637" t="s">
        <v>2563</v>
      </c>
      <c r="M637" t="s">
        <v>2564</v>
      </c>
      <c r="N637" t="s">
        <v>2565</v>
      </c>
      <c r="O637" t="s">
        <v>2566</v>
      </c>
    </row>
    <row r="638" spans="11:15" hidden="1" x14ac:dyDescent="0.2">
      <c r="K638" t="s">
        <v>816</v>
      </c>
      <c r="L638" t="s">
        <v>2567</v>
      </c>
      <c r="M638" t="s">
        <v>2568</v>
      </c>
      <c r="N638" t="s">
        <v>2569</v>
      </c>
      <c r="O638" t="s">
        <v>2570</v>
      </c>
    </row>
    <row r="639" spans="11:15" hidden="1" x14ac:dyDescent="0.2">
      <c r="K639" t="s">
        <v>816</v>
      </c>
      <c r="L639" t="s">
        <v>2571</v>
      </c>
      <c r="M639" t="s">
        <v>2572</v>
      </c>
      <c r="N639" t="s">
        <v>2573</v>
      </c>
      <c r="O639" t="s">
        <v>2574</v>
      </c>
    </row>
    <row r="640" spans="11:15" hidden="1" x14ac:dyDescent="0.2">
      <c r="K640" t="s">
        <v>816</v>
      </c>
      <c r="L640" t="s">
        <v>2575</v>
      </c>
      <c r="M640" t="s">
        <v>2576</v>
      </c>
      <c r="N640" t="s">
        <v>2577</v>
      </c>
      <c r="O640" t="s">
        <v>2578</v>
      </c>
    </row>
    <row r="641" spans="11:15" hidden="1" x14ac:dyDescent="0.2">
      <c r="K641" t="s">
        <v>816</v>
      </c>
      <c r="L641" t="s">
        <v>2579</v>
      </c>
      <c r="M641" t="s">
        <v>2580</v>
      </c>
      <c r="N641" t="s">
        <v>2581</v>
      </c>
      <c r="O641" t="s">
        <v>2582</v>
      </c>
    </row>
    <row r="642" spans="11:15" hidden="1" x14ac:dyDescent="0.2">
      <c r="K642" t="s">
        <v>816</v>
      </c>
      <c r="L642" t="s">
        <v>2583</v>
      </c>
      <c r="M642" t="s">
        <v>2584</v>
      </c>
      <c r="N642" t="s">
        <v>2585</v>
      </c>
      <c r="O642" t="s">
        <v>2586</v>
      </c>
    </row>
    <row r="643" spans="11:15" hidden="1" x14ac:dyDescent="0.2">
      <c r="K643" t="s">
        <v>816</v>
      </c>
      <c r="L643" t="s">
        <v>2587</v>
      </c>
      <c r="M643" t="s">
        <v>2588</v>
      </c>
      <c r="N643" t="s">
        <v>2589</v>
      </c>
      <c r="O643" t="s">
        <v>2590</v>
      </c>
    </row>
    <row r="644" spans="11:15" hidden="1" x14ac:dyDescent="0.2">
      <c r="K644" t="s">
        <v>816</v>
      </c>
      <c r="L644" t="s">
        <v>2591</v>
      </c>
      <c r="M644" t="s">
        <v>2592</v>
      </c>
      <c r="N644" t="s">
        <v>2593</v>
      </c>
      <c r="O644" t="s">
        <v>2594</v>
      </c>
    </row>
    <row r="645" spans="11:15" hidden="1" x14ac:dyDescent="0.2">
      <c r="K645" t="s">
        <v>816</v>
      </c>
      <c r="L645" t="s">
        <v>2595</v>
      </c>
      <c r="M645" t="s">
        <v>2596</v>
      </c>
      <c r="N645" t="s">
        <v>2597</v>
      </c>
      <c r="O645" t="s">
        <v>2598</v>
      </c>
    </row>
    <row r="646" spans="11:15" hidden="1" x14ac:dyDescent="0.2">
      <c r="K646" t="s">
        <v>816</v>
      </c>
      <c r="L646" t="s">
        <v>2599</v>
      </c>
      <c r="M646" t="s">
        <v>2600</v>
      </c>
      <c r="N646" t="s">
        <v>2601</v>
      </c>
      <c r="O646" t="s">
        <v>2602</v>
      </c>
    </row>
    <row r="647" spans="11:15" hidden="1" x14ac:dyDescent="0.2">
      <c r="K647" t="s">
        <v>816</v>
      </c>
      <c r="L647" t="s">
        <v>2603</v>
      </c>
      <c r="M647" t="s">
        <v>2604</v>
      </c>
      <c r="N647" t="s">
        <v>2605</v>
      </c>
      <c r="O647" t="s">
        <v>2606</v>
      </c>
    </row>
    <row r="648" spans="11:15" hidden="1" x14ac:dyDescent="0.2">
      <c r="K648" t="s">
        <v>816</v>
      </c>
      <c r="L648" t="s">
        <v>2607</v>
      </c>
      <c r="M648" t="s">
        <v>2608</v>
      </c>
      <c r="N648" t="s">
        <v>2609</v>
      </c>
      <c r="O648" t="s">
        <v>2610</v>
      </c>
    </row>
    <row r="649" spans="11:15" hidden="1" x14ac:dyDescent="0.2">
      <c r="K649" t="s">
        <v>816</v>
      </c>
      <c r="L649" t="s">
        <v>2611</v>
      </c>
      <c r="M649" t="s">
        <v>2612</v>
      </c>
      <c r="N649" t="s">
        <v>2613</v>
      </c>
      <c r="O649" t="s">
        <v>2614</v>
      </c>
    </row>
    <row r="650" spans="11:15" hidden="1" x14ac:dyDescent="0.2">
      <c r="K650" t="s">
        <v>1122</v>
      </c>
      <c r="L650" t="s">
        <v>2615</v>
      </c>
      <c r="M650" t="s">
        <v>2616</v>
      </c>
      <c r="N650" t="s">
        <v>2617</v>
      </c>
      <c r="O650" t="s">
        <v>2618</v>
      </c>
    </row>
    <row r="651" spans="11:15" hidden="1" x14ac:dyDescent="0.2">
      <c r="K651" t="s">
        <v>1122</v>
      </c>
      <c r="L651" t="s">
        <v>2619</v>
      </c>
      <c r="M651" t="s">
        <v>2620</v>
      </c>
      <c r="N651" t="s">
        <v>2621</v>
      </c>
      <c r="O651" t="s">
        <v>2622</v>
      </c>
    </row>
    <row r="652" spans="11:15" hidden="1" x14ac:dyDescent="0.2">
      <c r="K652" t="s">
        <v>1122</v>
      </c>
      <c r="L652" t="s">
        <v>2623</v>
      </c>
      <c r="M652" t="s">
        <v>2624</v>
      </c>
      <c r="N652" t="s">
        <v>2625</v>
      </c>
      <c r="O652" t="s">
        <v>2626</v>
      </c>
    </row>
    <row r="653" spans="11:15" hidden="1" x14ac:dyDescent="0.2">
      <c r="K653" t="s">
        <v>1122</v>
      </c>
      <c r="L653" t="s">
        <v>2627</v>
      </c>
      <c r="M653" t="s">
        <v>2628</v>
      </c>
      <c r="N653" t="s">
        <v>2629</v>
      </c>
      <c r="O653" t="s">
        <v>2630</v>
      </c>
    </row>
    <row r="654" spans="11:15" hidden="1" x14ac:dyDescent="0.2">
      <c r="K654" t="s">
        <v>1122</v>
      </c>
      <c r="L654" t="s">
        <v>2631</v>
      </c>
      <c r="M654" t="s">
        <v>2632</v>
      </c>
      <c r="N654" t="s">
        <v>2633</v>
      </c>
      <c r="O654" t="s">
        <v>2634</v>
      </c>
    </row>
    <row r="655" spans="11:15" hidden="1" x14ac:dyDescent="0.2">
      <c r="K655" t="s">
        <v>1122</v>
      </c>
      <c r="L655" t="s">
        <v>2635</v>
      </c>
      <c r="M655" t="s">
        <v>2636</v>
      </c>
      <c r="N655" t="s">
        <v>2637</v>
      </c>
      <c r="O655" t="s">
        <v>2638</v>
      </c>
    </row>
    <row r="656" spans="11:15" hidden="1" x14ac:dyDescent="0.2">
      <c r="K656" t="s">
        <v>1122</v>
      </c>
      <c r="L656" t="s">
        <v>2639</v>
      </c>
      <c r="M656" t="s">
        <v>2640</v>
      </c>
      <c r="N656" t="s">
        <v>2641</v>
      </c>
      <c r="O656" t="s">
        <v>2642</v>
      </c>
    </row>
    <row r="657" spans="11:15" hidden="1" x14ac:dyDescent="0.2">
      <c r="K657" t="s">
        <v>1122</v>
      </c>
      <c r="L657" t="s">
        <v>2643</v>
      </c>
      <c r="M657" t="s">
        <v>2644</v>
      </c>
      <c r="N657" t="s">
        <v>2645</v>
      </c>
      <c r="O657" t="s">
        <v>2646</v>
      </c>
    </row>
    <row r="658" spans="11:15" hidden="1" x14ac:dyDescent="0.2">
      <c r="K658" t="s">
        <v>1122</v>
      </c>
      <c r="L658" t="s">
        <v>2647</v>
      </c>
      <c r="M658" t="s">
        <v>2648</v>
      </c>
      <c r="N658" t="s">
        <v>2649</v>
      </c>
      <c r="O658" t="s">
        <v>2650</v>
      </c>
    </row>
    <row r="659" spans="11:15" hidden="1" x14ac:dyDescent="0.2">
      <c r="K659" t="s">
        <v>1122</v>
      </c>
      <c r="L659" t="s">
        <v>2651</v>
      </c>
      <c r="M659" t="s">
        <v>2652</v>
      </c>
      <c r="N659" t="s">
        <v>2653</v>
      </c>
      <c r="O659" t="s">
        <v>2654</v>
      </c>
    </row>
    <row r="660" spans="11:15" hidden="1" x14ac:dyDescent="0.2">
      <c r="K660" t="s">
        <v>1122</v>
      </c>
      <c r="L660" t="s">
        <v>2655</v>
      </c>
      <c r="M660" t="s">
        <v>2656</v>
      </c>
      <c r="N660" t="s">
        <v>2657</v>
      </c>
      <c r="O660" t="s">
        <v>2658</v>
      </c>
    </row>
    <row r="661" spans="11:15" hidden="1" x14ac:dyDescent="0.2">
      <c r="K661" t="s">
        <v>1122</v>
      </c>
      <c r="L661" t="s">
        <v>2659</v>
      </c>
      <c r="M661" t="s">
        <v>2660</v>
      </c>
      <c r="N661" t="s">
        <v>2661</v>
      </c>
      <c r="O661" t="s">
        <v>2662</v>
      </c>
    </row>
    <row r="662" spans="11:15" hidden="1" x14ac:dyDescent="0.2">
      <c r="K662" t="s">
        <v>1122</v>
      </c>
      <c r="L662" t="s">
        <v>2663</v>
      </c>
      <c r="M662" t="s">
        <v>2664</v>
      </c>
      <c r="N662" t="s">
        <v>2665</v>
      </c>
      <c r="O662" t="s">
        <v>2666</v>
      </c>
    </row>
    <row r="663" spans="11:15" hidden="1" x14ac:dyDescent="0.2">
      <c r="K663" t="s">
        <v>1122</v>
      </c>
      <c r="L663" t="s">
        <v>2667</v>
      </c>
      <c r="M663" t="s">
        <v>2668</v>
      </c>
      <c r="N663" t="s">
        <v>2669</v>
      </c>
      <c r="O663" t="s">
        <v>2670</v>
      </c>
    </row>
    <row r="664" spans="11:15" hidden="1" x14ac:dyDescent="0.2">
      <c r="K664" t="s">
        <v>1122</v>
      </c>
      <c r="L664" t="s">
        <v>2671</v>
      </c>
      <c r="M664" t="s">
        <v>2672</v>
      </c>
      <c r="N664" t="s">
        <v>2673</v>
      </c>
      <c r="O664" t="s">
        <v>2674</v>
      </c>
    </row>
    <row r="665" spans="11:15" hidden="1" x14ac:dyDescent="0.2">
      <c r="K665" t="s">
        <v>1122</v>
      </c>
      <c r="L665" t="s">
        <v>2675</v>
      </c>
      <c r="M665" t="s">
        <v>2676</v>
      </c>
      <c r="N665" t="s">
        <v>2677</v>
      </c>
      <c r="O665" t="s">
        <v>2678</v>
      </c>
    </row>
    <row r="666" spans="11:15" hidden="1" x14ac:dyDescent="0.2">
      <c r="K666" t="s">
        <v>1122</v>
      </c>
      <c r="L666" t="s">
        <v>2679</v>
      </c>
      <c r="M666" t="s">
        <v>2680</v>
      </c>
      <c r="N666" t="s">
        <v>2681</v>
      </c>
      <c r="O666" t="s">
        <v>2682</v>
      </c>
    </row>
    <row r="667" spans="11:15" hidden="1" x14ac:dyDescent="0.2">
      <c r="K667" t="s">
        <v>1122</v>
      </c>
      <c r="L667" t="s">
        <v>2683</v>
      </c>
      <c r="M667" t="s">
        <v>2684</v>
      </c>
      <c r="N667" t="s">
        <v>2685</v>
      </c>
      <c r="O667" t="s">
        <v>2686</v>
      </c>
    </row>
    <row r="668" spans="11:15" hidden="1" x14ac:dyDescent="0.2">
      <c r="K668" t="s">
        <v>1122</v>
      </c>
      <c r="L668" t="s">
        <v>2687</v>
      </c>
      <c r="M668" t="s">
        <v>2688</v>
      </c>
      <c r="N668" t="s">
        <v>2689</v>
      </c>
      <c r="O668" t="s">
        <v>2690</v>
      </c>
    </row>
    <row r="669" spans="11:15" hidden="1" x14ac:dyDescent="0.2">
      <c r="K669" t="s">
        <v>1122</v>
      </c>
      <c r="L669" t="s">
        <v>2691</v>
      </c>
      <c r="M669" t="s">
        <v>2692</v>
      </c>
      <c r="N669" t="s">
        <v>2693</v>
      </c>
      <c r="O669" t="s">
        <v>2694</v>
      </c>
    </row>
    <row r="670" spans="11:15" hidden="1" x14ac:dyDescent="0.2">
      <c r="K670" t="s">
        <v>1122</v>
      </c>
      <c r="L670" t="s">
        <v>2695</v>
      </c>
      <c r="M670" t="s">
        <v>2696</v>
      </c>
      <c r="N670" t="s">
        <v>2697</v>
      </c>
      <c r="O670" t="s">
        <v>2698</v>
      </c>
    </row>
    <row r="671" spans="11:15" hidden="1" x14ac:dyDescent="0.2">
      <c r="K671" t="s">
        <v>1122</v>
      </c>
      <c r="L671" t="s">
        <v>2699</v>
      </c>
      <c r="M671" t="s">
        <v>2700</v>
      </c>
      <c r="N671" t="s">
        <v>2701</v>
      </c>
      <c r="O671" t="s">
        <v>2702</v>
      </c>
    </row>
    <row r="672" spans="11:15" hidden="1" x14ac:dyDescent="0.2">
      <c r="K672" t="s">
        <v>1122</v>
      </c>
      <c r="L672" t="s">
        <v>2703</v>
      </c>
      <c r="M672" t="s">
        <v>2704</v>
      </c>
      <c r="N672" t="s">
        <v>2705</v>
      </c>
      <c r="O672" t="s">
        <v>2706</v>
      </c>
    </row>
    <row r="673" spans="11:15" hidden="1" x14ac:dyDescent="0.2">
      <c r="K673" t="s">
        <v>1122</v>
      </c>
      <c r="L673" t="s">
        <v>2707</v>
      </c>
      <c r="M673" t="s">
        <v>2708</v>
      </c>
      <c r="N673" t="s">
        <v>2709</v>
      </c>
      <c r="O673" t="s">
        <v>2710</v>
      </c>
    </row>
    <row r="674" spans="11:15" hidden="1" x14ac:dyDescent="0.2">
      <c r="K674" t="s">
        <v>1122</v>
      </c>
      <c r="L674" t="s">
        <v>2711</v>
      </c>
      <c r="M674" t="s">
        <v>2712</v>
      </c>
      <c r="N674" t="s">
        <v>2713</v>
      </c>
      <c r="O674" t="s">
        <v>2714</v>
      </c>
    </row>
    <row r="675" spans="11:15" hidden="1" x14ac:dyDescent="0.2">
      <c r="K675" t="s">
        <v>1122</v>
      </c>
      <c r="L675" t="s">
        <v>2715</v>
      </c>
      <c r="M675" t="s">
        <v>2716</v>
      </c>
      <c r="N675" t="s">
        <v>2717</v>
      </c>
      <c r="O675" t="s">
        <v>2718</v>
      </c>
    </row>
    <row r="676" spans="11:15" hidden="1" x14ac:dyDescent="0.2">
      <c r="K676" t="s">
        <v>905</v>
      </c>
      <c r="L676" t="s">
        <v>2719</v>
      </c>
      <c r="M676" t="s">
        <v>2720</v>
      </c>
      <c r="N676" t="s">
        <v>2721</v>
      </c>
      <c r="O676" t="s">
        <v>2722</v>
      </c>
    </row>
    <row r="677" spans="11:15" hidden="1" x14ac:dyDescent="0.2">
      <c r="K677" t="s">
        <v>905</v>
      </c>
      <c r="L677" t="s">
        <v>2723</v>
      </c>
      <c r="M677" t="s">
        <v>2724</v>
      </c>
      <c r="N677" t="s">
        <v>2725</v>
      </c>
      <c r="O677" t="s">
        <v>2726</v>
      </c>
    </row>
    <row r="678" spans="11:15" hidden="1" x14ac:dyDescent="0.2">
      <c r="K678" t="s">
        <v>905</v>
      </c>
      <c r="L678" t="s">
        <v>2727</v>
      </c>
      <c r="M678" t="s">
        <v>2728</v>
      </c>
      <c r="N678" t="s">
        <v>2729</v>
      </c>
      <c r="O678" t="s">
        <v>2730</v>
      </c>
    </row>
    <row r="679" spans="11:15" hidden="1" x14ac:dyDescent="0.2">
      <c r="K679" t="s">
        <v>905</v>
      </c>
      <c r="L679" t="s">
        <v>2731</v>
      </c>
      <c r="M679" t="s">
        <v>2732</v>
      </c>
      <c r="N679" t="s">
        <v>2733</v>
      </c>
      <c r="O679" t="s">
        <v>2734</v>
      </c>
    </row>
    <row r="680" spans="11:15" hidden="1" x14ac:dyDescent="0.2">
      <c r="K680" t="s">
        <v>905</v>
      </c>
      <c r="L680" t="s">
        <v>2735</v>
      </c>
      <c r="M680" t="s">
        <v>2736</v>
      </c>
      <c r="N680" t="s">
        <v>2737</v>
      </c>
      <c r="O680" t="s">
        <v>2738</v>
      </c>
    </row>
    <row r="681" spans="11:15" hidden="1" x14ac:dyDescent="0.2">
      <c r="K681" t="s">
        <v>905</v>
      </c>
      <c r="L681" t="s">
        <v>2739</v>
      </c>
      <c r="M681" t="s">
        <v>2740</v>
      </c>
      <c r="N681" t="s">
        <v>2741</v>
      </c>
      <c r="O681" t="s">
        <v>2742</v>
      </c>
    </row>
    <row r="682" spans="11:15" hidden="1" x14ac:dyDescent="0.2">
      <c r="K682" t="s">
        <v>905</v>
      </c>
      <c r="L682" t="s">
        <v>2743</v>
      </c>
      <c r="M682" t="s">
        <v>2744</v>
      </c>
      <c r="N682" t="s">
        <v>2745</v>
      </c>
      <c r="O682" t="s">
        <v>2746</v>
      </c>
    </row>
    <row r="683" spans="11:15" hidden="1" x14ac:dyDescent="0.2">
      <c r="K683" t="s">
        <v>905</v>
      </c>
      <c r="L683" t="s">
        <v>2747</v>
      </c>
      <c r="M683" t="s">
        <v>2748</v>
      </c>
      <c r="N683" t="s">
        <v>2749</v>
      </c>
      <c r="O683" t="s">
        <v>2750</v>
      </c>
    </row>
    <row r="684" spans="11:15" hidden="1" x14ac:dyDescent="0.2">
      <c r="K684" t="s">
        <v>905</v>
      </c>
      <c r="L684" t="s">
        <v>2751</v>
      </c>
      <c r="M684" t="s">
        <v>2752</v>
      </c>
      <c r="N684" t="s">
        <v>2753</v>
      </c>
      <c r="O684" t="s">
        <v>2754</v>
      </c>
    </row>
    <row r="685" spans="11:15" hidden="1" x14ac:dyDescent="0.2">
      <c r="K685" t="s">
        <v>905</v>
      </c>
      <c r="L685" t="s">
        <v>2755</v>
      </c>
      <c r="M685" t="s">
        <v>2756</v>
      </c>
      <c r="N685" t="s">
        <v>2757</v>
      </c>
      <c r="O685" t="s">
        <v>2758</v>
      </c>
    </row>
    <row r="686" spans="11:15" hidden="1" x14ac:dyDescent="0.2">
      <c r="K686" t="s">
        <v>905</v>
      </c>
      <c r="L686" t="s">
        <v>2759</v>
      </c>
      <c r="M686" t="s">
        <v>2760</v>
      </c>
      <c r="N686" t="s">
        <v>2761</v>
      </c>
      <c r="O686" t="s">
        <v>2762</v>
      </c>
    </row>
    <row r="687" spans="11:15" hidden="1" x14ac:dyDescent="0.2">
      <c r="K687" t="s">
        <v>905</v>
      </c>
      <c r="L687" t="s">
        <v>2763</v>
      </c>
      <c r="M687" t="s">
        <v>2764</v>
      </c>
      <c r="N687" t="s">
        <v>2765</v>
      </c>
      <c r="O687" t="s">
        <v>2766</v>
      </c>
    </row>
    <row r="688" spans="11:15" hidden="1" x14ac:dyDescent="0.2">
      <c r="K688" t="s">
        <v>905</v>
      </c>
      <c r="L688" t="s">
        <v>2767</v>
      </c>
      <c r="M688" t="s">
        <v>2768</v>
      </c>
      <c r="N688" t="s">
        <v>2769</v>
      </c>
      <c r="O688" t="s">
        <v>2770</v>
      </c>
    </row>
    <row r="689" spans="11:15" hidden="1" x14ac:dyDescent="0.2">
      <c r="K689" t="s">
        <v>905</v>
      </c>
      <c r="L689" t="s">
        <v>2771</v>
      </c>
      <c r="M689" t="s">
        <v>2772</v>
      </c>
      <c r="N689" t="s">
        <v>2773</v>
      </c>
      <c r="O689" t="s">
        <v>2774</v>
      </c>
    </row>
    <row r="690" spans="11:15" hidden="1" x14ac:dyDescent="0.2">
      <c r="K690" t="s">
        <v>905</v>
      </c>
      <c r="L690" t="s">
        <v>2775</v>
      </c>
      <c r="M690" t="s">
        <v>2776</v>
      </c>
      <c r="N690" t="s">
        <v>2777</v>
      </c>
      <c r="O690" t="s">
        <v>2778</v>
      </c>
    </row>
    <row r="691" spans="11:15" hidden="1" x14ac:dyDescent="0.2">
      <c r="K691" t="s">
        <v>905</v>
      </c>
      <c r="L691" t="s">
        <v>2779</v>
      </c>
      <c r="M691" t="s">
        <v>2780</v>
      </c>
      <c r="N691" t="s">
        <v>2781</v>
      </c>
      <c r="O691" t="s">
        <v>2782</v>
      </c>
    </row>
    <row r="692" spans="11:15" hidden="1" x14ac:dyDescent="0.2">
      <c r="K692" t="s">
        <v>905</v>
      </c>
      <c r="L692" t="s">
        <v>2783</v>
      </c>
      <c r="M692" t="s">
        <v>2784</v>
      </c>
      <c r="N692" t="s">
        <v>2785</v>
      </c>
      <c r="O692" t="s">
        <v>2786</v>
      </c>
    </row>
    <row r="693" spans="11:15" hidden="1" x14ac:dyDescent="0.2">
      <c r="K693" t="s">
        <v>905</v>
      </c>
      <c r="L693" t="s">
        <v>2787</v>
      </c>
      <c r="M693" t="s">
        <v>2788</v>
      </c>
      <c r="N693" t="s">
        <v>2789</v>
      </c>
      <c r="O693" t="s">
        <v>2790</v>
      </c>
    </row>
    <row r="694" spans="11:15" hidden="1" x14ac:dyDescent="0.2">
      <c r="K694" t="s">
        <v>905</v>
      </c>
      <c r="L694" t="s">
        <v>2791</v>
      </c>
      <c r="M694" t="s">
        <v>2792</v>
      </c>
      <c r="N694" t="s">
        <v>2793</v>
      </c>
      <c r="O694" t="s">
        <v>2794</v>
      </c>
    </row>
    <row r="695" spans="11:15" hidden="1" x14ac:dyDescent="0.2">
      <c r="K695" t="s">
        <v>905</v>
      </c>
      <c r="L695" t="s">
        <v>2795</v>
      </c>
      <c r="M695" t="s">
        <v>2796</v>
      </c>
      <c r="N695" t="s">
        <v>2797</v>
      </c>
      <c r="O695" t="s">
        <v>2798</v>
      </c>
    </row>
    <row r="696" spans="11:15" hidden="1" x14ac:dyDescent="0.2">
      <c r="K696" t="s">
        <v>905</v>
      </c>
      <c r="L696" t="s">
        <v>2799</v>
      </c>
      <c r="M696" t="s">
        <v>2800</v>
      </c>
      <c r="N696" t="s">
        <v>2801</v>
      </c>
      <c r="O696" t="s">
        <v>2802</v>
      </c>
    </row>
    <row r="697" spans="11:15" hidden="1" x14ac:dyDescent="0.2">
      <c r="K697" t="s">
        <v>905</v>
      </c>
      <c r="L697" t="s">
        <v>2803</v>
      </c>
      <c r="M697" t="s">
        <v>2804</v>
      </c>
      <c r="N697" t="s">
        <v>2805</v>
      </c>
      <c r="O697" t="s">
        <v>2806</v>
      </c>
    </row>
    <row r="698" spans="11:15" hidden="1" x14ac:dyDescent="0.2">
      <c r="K698" t="s">
        <v>905</v>
      </c>
      <c r="L698" t="s">
        <v>2807</v>
      </c>
      <c r="M698" t="s">
        <v>2808</v>
      </c>
      <c r="N698" t="s">
        <v>2809</v>
      </c>
      <c r="O698" t="s">
        <v>2810</v>
      </c>
    </row>
    <row r="699" spans="11:15" hidden="1" x14ac:dyDescent="0.2">
      <c r="K699" t="s">
        <v>905</v>
      </c>
      <c r="L699" t="s">
        <v>2811</v>
      </c>
      <c r="M699" t="s">
        <v>2812</v>
      </c>
      <c r="N699" t="s">
        <v>2813</v>
      </c>
      <c r="O699" t="s">
        <v>2814</v>
      </c>
    </row>
    <row r="700" spans="11:15" hidden="1" x14ac:dyDescent="0.2">
      <c r="K700" t="s">
        <v>905</v>
      </c>
      <c r="L700" t="s">
        <v>2815</v>
      </c>
      <c r="M700" t="s">
        <v>2816</v>
      </c>
      <c r="N700" t="s">
        <v>2817</v>
      </c>
      <c r="O700" t="s">
        <v>2818</v>
      </c>
    </row>
    <row r="701" spans="11:15" hidden="1" x14ac:dyDescent="0.2">
      <c r="K701" t="s">
        <v>905</v>
      </c>
      <c r="L701" t="s">
        <v>2819</v>
      </c>
      <c r="M701" t="s">
        <v>2820</v>
      </c>
      <c r="N701" t="s">
        <v>2821</v>
      </c>
      <c r="O701" t="s">
        <v>2822</v>
      </c>
    </row>
    <row r="702" spans="11:15" hidden="1" x14ac:dyDescent="0.2">
      <c r="K702" t="s">
        <v>510</v>
      </c>
      <c r="L702" t="s">
        <v>2823</v>
      </c>
      <c r="M702" t="s">
        <v>2824</v>
      </c>
      <c r="N702" t="s">
        <v>2825</v>
      </c>
      <c r="O702" t="s">
        <v>2826</v>
      </c>
    </row>
    <row r="703" spans="11:15" hidden="1" x14ac:dyDescent="0.2">
      <c r="K703" t="s">
        <v>510</v>
      </c>
      <c r="L703" t="s">
        <v>2827</v>
      </c>
      <c r="M703" t="s">
        <v>2828</v>
      </c>
      <c r="N703" t="s">
        <v>2829</v>
      </c>
      <c r="O703" t="s">
        <v>2830</v>
      </c>
    </row>
    <row r="704" spans="11:15" hidden="1" x14ac:dyDescent="0.2">
      <c r="K704" t="s">
        <v>510</v>
      </c>
      <c r="L704" t="s">
        <v>2831</v>
      </c>
      <c r="M704" t="s">
        <v>2832</v>
      </c>
      <c r="N704" t="s">
        <v>2833</v>
      </c>
      <c r="O704" t="s">
        <v>2834</v>
      </c>
    </row>
    <row r="705" spans="11:15" hidden="1" x14ac:dyDescent="0.2">
      <c r="K705" t="s">
        <v>510</v>
      </c>
      <c r="L705" t="s">
        <v>2835</v>
      </c>
      <c r="M705" t="s">
        <v>2836</v>
      </c>
      <c r="N705" t="s">
        <v>2837</v>
      </c>
      <c r="O705" t="s">
        <v>2838</v>
      </c>
    </row>
    <row r="706" spans="11:15" hidden="1" x14ac:dyDescent="0.2">
      <c r="K706" t="s">
        <v>510</v>
      </c>
      <c r="L706" t="s">
        <v>2839</v>
      </c>
      <c r="M706" t="s">
        <v>2840</v>
      </c>
      <c r="N706" t="s">
        <v>2841</v>
      </c>
      <c r="O706" t="s">
        <v>2842</v>
      </c>
    </row>
    <row r="707" spans="11:15" hidden="1" x14ac:dyDescent="0.2">
      <c r="K707" t="s">
        <v>510</v>
      </c>
      <c r="L707" t="s">
        <v>2843</v>
      </c>
      <c r="M707" t="s">
        <v>2844</v>
      </c>
      <c r="N707" t="s">
        <v>2845</v>
      </c>
      <c r="O707" t="s">
        <v>2846</v>
      </c>
    </row>
    <row r="708" spans="11:15" hidden="1" x14ac:dyDescent="0.2">
      <c r="K708" t="s">
        <v>510</v>
      </c>
      <c r="L708" t="s">
        <v>2847</v>
      </c>
      <c r="M708" t="s">
        <v>2848</v>
      </c>
      <c r="N708" t="s">
        <v>2849</v>
      </c>
      <c r="O708" t="s">
        <v>2850</v>
      </c>
    </row>
    <row r="709" spans="11:15" hidden="1" x14ac:dyDescent="0.2">
      <c r="K709" t="s">
        <v>510</v>
      </c>
      <c r="L709" t="s">
        <v>2851</v>
      </c>
      <c r="M709" t="s">
        <v>2852</v>
      </c>
      <c r="N709" t="s">
        <v>2853</v>
      </c>
      <c r="O709" t="s">
        <v>2854</v>
      </c>
    </row>
    <row r="710" spans="11:15" hidden="1" x14ac:dyDescent="0.2">
      <c r="K710" t="s">
        <v>510</v>
      </c>
      <c r="L710" t="s">
        <v>2855</v>
      </c>
      <c r="M710" t="s">
        <v>2856</v>
      </c>
      <c r="N710" t="s">
        <v>2857</v>
      </c>
      <c r="O710" t="s">
        <v>2858</v>
      </c>
    </row>
    <row r="711" spans="11:15" hidden="1" x14ac:dyDescent="0.2">
      <c r="K711" t="s">
        <v>510</v>
      </c>
      <c r="L711" t="s">
        <v>2859</v>
      </c>
      <c r="M711" t="s">
        <v>2860</v>
      </c>
      <c r="N711" t="s">
        <v>2861</v>
      </c>
      <c r="O711" t="s">
        <v>2862</v>
      </c>
    </row>
    <row r="712" spans="11:15" hidden="1" x14ac:dyDescent="0.2">
      <c r="K712" t="s">
        <v>510</v>
      </c>
      <c r="L712" t="s">
        <v>2863</v>
      </c>
      <c r="M712" t="s">
        <v>2864</v>
      </c>
      <c r="N712" t="s">
        <v>2865</v>
      </c>
      <c r="O712" t="s">
        <v>2866</v>
      </c>
    </row>
    <row r="713" spans="11:15" hidden="1" x14ac:dyDescent="0.2">
      <c r="K713" t="s">
        <v>510</v>
      </c>
      <c r="L713" t="s">
        <v>2867</v>
      </c>
      <c r="M713" t="s">
        <v>2868</v>
      </c>
      <c r="N713" t="s">
        <v>2869</v>
      </c>
      <c r="O713" t="s">
        <v>2870</v>
      </c>
    </row>
    <row r="714" spans="11:15" hidden="1" x14ac:dyDescent="0.2">
      <c r="K714" t="s">
        <v>510</v>
      </c>
      <c r="L714" t="s">
        <v>2867</v>
      </c>
      <c r="M714" t="s">
        <v>2871</v>
      </c>
      <c r="N714" t="s">
        <v>2872</v>
      </c>
      <c r="O714" t="s">
        <v>2873</v>
      </c>
    </row>
    <row r="715" spans="11:15" hidden="1" x14ac:dyDescent="0.2">
      <c r="K715" t="s">
        <v>510</v>
      </c>
      <c r="L715" t="s">
        <v>2874</v>
      </c>
      <c r="M715" t="s">
        <v>2875</v>
      </c>
      <c r="N715" t="s">
        <v>2876</v>
      </c>
      <c r="O715" t="s">
        <v>2877</v>
      </c>
    </row>
    <row r="716" spans="11:15" hidden="1" x14ac:dyDescent="0.2">
      <c r="K716" t="s">
        <v>510</v>
      </c>
      <c r="L716" t="s">
        <v>2878</v>
      </c>
      <c r="M716" t="s">
        <v>2879</v>
      </c>
      <c r="N716" t="s">
        <v>2880</v>
      </c>
      <c r="O716" t="s">
        <v>2881</v>
      </c>
    </row>
    <row r="717" spans="11:15" hidden="1" x14ac:dyDescent="0.2">
      <c r="K717" t="s">
        <v>510</v>
      </c>
      <c r="L717" t="s">
        <v>2882</v>
      </c>
      <c r="M717" t="s">
        <v>2883</v>
      </c>
      <c r="N717" t="s">
        <v>2884</v>
      </c>
      <c r="O717" t="s">
        <v>2885</v>
      </c>
    </row>
    <row r="718" spans="11:15" hidden="1" x14ac:dyDescent="0.2">
      <c r="K718" t="s">
        <v>510</v>
      </c>
      <c r="L718" t="s">
        <v>2886</v>
      </c>
      <c r="M718" t="s">
        <v>2887</v>
      </c>
      <c r="N718" t="s">
        <v>2888</v>
      </c>
      <c r="O718" t="s">
        <v>2889</v>
      </c>
    </row>
    <row r="719" spans="11:15" hidden="1" x14ac:dyDescent="0.2">
      <c r="K719" t="s">
        <v>510</v>
      </c>
      <c r="L719" t="s">
        <v>2890</v>
      </c>
      <c r="M719" t="s">
        <v>2891</v>
      </c>
      <c r="N719" t="s">
        <v>2892</v>
      </c>
      <c r="O719" t="s">
        <v>2893</v>
      </c>
    </row>
    <row r="720" spans="11:15" hidden="1" x14ac:dyDescent="0.2">
      <c r="K720" t="s">
        <v>510</v>
      </c>
      <c r="L720" t="s">
        <v>2894</v>
      </c>
      <c r="M720" t="s">
        <v>2895</v>
      </c>
      <c r="N720" t="s">
        <v>2896</v>
      </c>
      <c r="O720" t="s">
        <v>2897</v>
      </c>
    </row>
    <row r="721" spans="11:15" hidden="1" x14ac:dyDescent="0.2">
      <c r="K721" t="s">
        <v>510</v>
      </c>
      <c r="L721" t="s">
        <v>2898</v>
      </c>
      <c r="M721" t="s">
        <v>2899</v>
      </c>
      <c r="N721" t="s">
        <v>2900</v>
      </c>
      <c r="O721" t="s">
        <v>2901</v>
      </c>
    </row>
    <row r="722" spans="11:15" hidden="1" x14ac:dyDescent="0.2">
      <c r="K722" t="s">
        <v>510</v>
      </c>
      <c r="L722" t="s">
        <v>2902</v>
      </c>
      <c r="M722" t="s">
        <v>2903</v>
      </c>
      <c r="N722" t="s">
        <v>2904</v>
      </c>
      <c r="O722" t="s">
        <v>2905</v>
      </c>
    </row>
    <row r="723" spans="11:15" hidden="1" x14ac:dyDescent="0.2">
      <c r="K723" t="s">
        <v>510</v>
      </c>
      <c r="L723" t="s">
        <v>2906</v>
      </c>
      <c r="M723" t="s">
        <v>2907</v>
      </c>
      <c r="N723" t="s">
        <v>2908</v>
      </c>
      <c r="O723" t="s">
        <v>2909</v>
      </c>
    </row>
    <row r="724" spans="11:15" hidden="1" x14ac:dyDescent="0.2">
      <c r="K724" t="s">
        <v>510</v>
      </c>
      <c r="L724" t="s">
        <v>2910</v>
      </c>
      <c r="M724" t="s">
        <v>2911</v>
      </c>
      <c r="N724" t="s">
        <v>2912</v>
      </c>
      <c r="O724" t="s">
        <v>2913</v>
      </c>
    </row>
    <row r="725" spans="11:15" hidden="1" x14ac:dyDescent="0.2">
      <c r="K725" t="s">
        <v>510</v>
      </c>
      <c r="L725" t="s">
        <v>2914</v>
      </c>
      <c r="M725" t="s">
        <v>2915</v>
      </c>
      <c r="N725" t="s">
        <v>2916</v>
      </c>
      <c r="O725" t="s">
        <v>2917</v>
      </c>
    </row>
    <row r="726" spans="11:15" hidden="1" x14ac:dyDescent="0.2">
      <c r="K726" t="s">
        <v>510</v>
      </c>
      <c r="L726" t="s">
        <v>2918</v>
      </c>
      <c r="M726" t="s">
        <v>2919</v>
      </c>
      <c r="N726" t="s">
        <v>2920</v>
      </c>
      <c r="O726" t="s">
        <v>2921</v>
      </c>
    </row>
    <row r="727" spans="11:15" hidden="1" x14ac:dyDescent="0.2">
      <c r="K727" t="s">
        <v>510</v>
      </c>
      <c r="L727" t="s">
        <v>2922</v>
      </c>
      <c r="M727" t="s">
        <v>2923</v>
      </c>
      <c r="N727" t="s">
        <v>2924</v>
      </c>
      <c r="O727" t="s">
        <v>2925</v>
      </c>
    </row>
    <row r="728" spans="11:15" hidden="1" x14ac:dyDescent="0.2">
      <c r="K728" t="s">
        <v>1124</v>
      </c>
      <c r="L728" t="s">
        <v>2926</v>
      </c>
      <c r="M728" t="s">
        <v>2927</v>
      </c>
      <c r="N728" t="s">
        <v>2928</v>
      </c>
      <c r="O728" t="s">
        <v>2929</v>
      </c>
    </row>
    <row r="729" spans="11:15" hidden="1" x14ac:dyDescent="0.2">
      <c r="K729" t="s">
        <v>1124</v>
      </c>
      <c r="L729" t="s">
        <v>2930</v>
      </c>
      <c r="M729" t="s">
        <v>2931</v>
      </c>
      <c r="N729" t="s">
        <v>2932</v>
      </c>
      <c r="O729" t="s">
        <v>2933</v>
      </c>
    </row>
    <row r="730" spans="11:15" hidden="1" x14ac:dyDescent="0.2">
      <c r="K730" t="s">
        <v>1124</v>
      </c>
      <c r="L730" t="s">
        <v>2934</v>
      </c>
      <c r="M730" t="s">
        <v>2935</v>
      </c>
      <c r="N730" t="s">
        <v>2936</v>
      </c>
      <c r="O730" t="s">
        <v>2937</v>
      </c>
    </row>
    <row r="731" spans="11:15" hidden="1" x14ac:dyDescent="0.2">
      <c r="K731" t="s">
        <v>1124</v>
      </c>
      <c r="L731" t="s">
        <v>2938</v>
      </c>
      <c r="M731" t="s">
        <v>2939</v>
      </c>
      <c r="N731" t="s">
        <v>2940</v>
      </c>
      <c r="O731" t="s">
        <v>2941</v>
      </c>
    </row>
    <row r="732" spans="11:15" hidden="1" x14ac:dyDescent="0.2">
      <c r="K732" t="s">
        <v>1124</v>
      </c>
      <c r="L732" t="s">
        <v>2942</v>
      </c>
      <c r="M732" t="s">
        <v>2943</v>
      </c>
      <c r="N732" t="s">
        <v>2944</v>
      </c>
      <c r="O732" t="s">
        <v>2945</v>
      </c>
    </row>
    <row r="733" spans="11:15" hidden="1" x14ac:dyDescent="0.2">
      <c r="K733" t="s">
        <v>1124</v>
      </c>
      <c r="L733" t="s">
        <v>2946</v>
      </c>
      <c r="M733" t="s">
        <v>2947</v>
      </c>
      <c r="N733" t="s">
        <v>2948</v>
      </c>
      <c r="O733" t="s">
        <v>2949</v>
      </c>
    </row>
    <row r="734" spans="11:15" hidden="1" x14ac:dyDescent="0.2">
      <c r="K734" t="s">
        <v>1124</v>
      </c>
      <c r="L734" t="s">
        <v>2950</v>
      </c>
      <c r="M734" t="s">
        <v>2951</v>
      </c>
      <c r="N734" t="s">
        <v>2952</v>
      </c>
      <c r="O734" t="s">
        <v>2953</v>
      </c>
    </row>
    <row r="735" spans="11:15" hidden="1" x14ac:dyDescent="0.2">
      <c r="K735" t="s">
        <v>1124</v>
      </c>
      <c r="L735" t="s">
        <v>2954</v>
      </c>
      <c r="M735" t="s">
        <v>2955</v>
      </c>
      <c r="N735" t="s">
        <v>2956</v>
      </c>
      <c r="O735" t="s">
        <v>2957</v>
      </c>
    </row>
    <row r="736" spans="11:15" hidden="1" x14ac:dyDescent="0.2">
      <c r="K736" t="s">
        <v>1124</v>
      </c>
      <c r="L736" t="s">
        <v>2958</v>
      </c>
      <c r="M736" t="s">
        <v>2959</v>
      </c>
      <c r="N736" t="s">
        <v>2960</v>
      </c>
      <c r="O736" t="s">
        <v>2961</v>
      </c>
    </row>
    <row r="737" spans="11:15" hidden="1" x14ac:dyDescent="0.2">
      <c r="K737" t="s">
        <v>1124</v>
      </c>
      <c r="L737" t="s">
        <v>2962</v>
      </c>
      <c r="M737" t="s">
        <v>2963</v>
      </c>
      <c r="N737" t="s">
        <v>2964</v>
      </c>
      <c r="O737" t="s">
        <v>2965</v>
      </c>
    </row>
    <row r="738" spans="11:15" hidden="1" x14ac:dyDescent="0.2">
      <c r="K738" t="s">
        <v>1124</v>
      </c>
      <c r="L738" t="s">
        <v>2966</v>
      </c>
      <c r="M738" t="s">
        <v>2967</v>
      </c>
      <c r="N738" t="s">
        <v>2968</v>
      </c>
      <c r="O738" t="s">
        <v>2969</v>
      </c>
    </row>
    <row r="739" spans="11:15" hidden="1" x14ac:dyDescent="0.2">
      <c r="K739" t="s">
        <v>1124</v>
      </c>
      <c r="L739" t="s">
        <v>2970</v>
      </c>
      <c r="M739" t="s">
        <v>2971</v>
      </c>
      <c r="N739" t="s">
        <v>2972</v>
      </c>
      <c r="O739" t="s">
        <v>2973</v>
      </c>
    </row>
    <row r="740" spans="11:15" hidden="1" x14ac:dyDescent="0.2">
      <c r="K740" t="s">
        <v>1124</v>
      </c>
      <c r="L740" t="s">
        <v>2974</v>
      </c>
      <c r="M740" t="s">
        <v>2975</v>
      </c>
      <c r="N740" t="s">
        <v>2976</v>
      </c>
      <c r="O740" t="s">
        <v>2977</v>
      </c>
    </row>
    <row r="741" spans="11:15" hidden="1" x14ac:dyDescent="0.2">
      <c r="K741" t="s">
        <v>1124</v>
      </c>
      <c r="L741" t="s">
        <v>2978</v>
      </c>
      <c r="M741" t="s">
        <v>2979</v>
      </c>
      <c r="N741" t="s">
        <v>2980</v>
      </c>
      <c r="O741" t="s">
        <v>2981</v>
      </c>
    </row>
    <row r="742" spans="11:15" hidden="1" x14ac:dyDescent="0.2">
      <c r="K742" t="s">
        <v>1124</v>
      </c>
      <c r="L742" t="s">
        <v>2982</v>
      </c>
      <c r="M742" t="s">
        <v>2983</v>
      </c>
      <c r="N742" t="s">
        <v>2984</v>
      </c>
      <c r="O742" t="s">
        <v>2985</v>
      </c>
    </row>
    <row r="743" spans="11:15" hidden="1" x14ac:dyDescent="0.2">
      <c r="K743" t="s">
        <v>1124</v>
      </c>
      <c r="L743" t="s">
        <v>2986</v>
      </c>
      <c r="M743" t="s">
        <v>2987</v>
      </c>
      <c r="N743" t="s">
        <v>2988</v>
      </c>
      <c r="O743" t="s">
        <v>2989</v>
      </c>
    </row>
    <row r="744" spans="11:15" hidden="1" x14ac:dyDescent="0.2">
      <c r="K744" t="s">
        <v>1124</v>
      </c>
      <c r="L744" t="s">
        <v>2990</v>
      </c>
      <c r="M744" t="s">
        <v>2991</v>
      </c>
      <c r="N744" t="s">
        <v>2992</v>
      </c>
      <c r="O744" t="s">
        <v>2993</v>
      </c>
    </row>
    <row r="745" spans="11:15" hidden="1" x14ac:dyDescent="0.2">
      <c r="K745" t="s">
        <v>1124</v>
      </c>
      <c r="L745" t="s">
        <v>2994</v>
      </c>
      <c r="M745" t="s">
        <v>2995</v>
      </c>
      <c r="N745" t="s">
        <v>2996</v>
      </c>
      <c r="O745" t="s">
        <v>2997</v>
      </c>
    </row>
    <row r="746" spans="11:15" hidden="1" x14ac:dyDescent="0.2">
      <c r="K746" t="s">
        <v>1124</v>
      </c>
      <c r="L746" t="s">
        <v>2998</v>
      </c>
      <c r="M746" t="s">
        <v>2999</v>
      </c>
      <c r="N746" t="s">
        <v>3000</v>
      </c>
      <c r="O746" t="s">
        <v>3001</v>
      </c>
    </row>
    <row r="747" spans="11:15" hidden="1" x14ac:dyDescent="0.2">
      <c r="K747" t="s">
        <v>1124</v>
      </c>
      <c r="L747" t="s">
        <v>3002</v>
      </c>
      <c r="M747" t="s">
        <v>3003</v>
      </c>
      <c r="N747" t="s">
        <v>3004</v>
      </c>
      <c r="O747" t="s">
        <v>3005</v>
      </c>
    </row>
    <row r="748" spans="11:15" hidden="1" x14ac:dyDescent="0.2">
      <c r="K748" t="s">
        <v>1124</v>
      </c>
      <c r="L748" t="s">
        <v>3006</v>
      </c>
      <c r="M748" t="s">
        <v>3007</v>
      </c>
      <c r="N748" t="s">
        <v>3008</v>
      </c>
      <c r="O748" t="s">
        <v>3009</v>
      </c>
    </row>
    <row r="749" spans="11:15" hidden="1" x14ac:dyDescent="0.2">
      <c r="K749" t="s">
        <v>1124</v>
      </c>
      <c r="L749" t="s">
        <v>3010</v>
      </c>
      <c r="M749" t="s">
        <v>3011</v>
      </c>
      <c r="N749" t="s">
        <v>3012</v>
      </c>
      <c r="O749" t="s">
        <v>3013</v>
      </c>
    </row>
    <row r="750" spans="11:15" hidden="1" x14ac:dyDescent="0.2">
      <c r="K750" t="s">
        <v>1124</v>
      </c>
      <c r="L750" t="s">
        <v>3014</v>
      </c>
      <c r="M750" t="s">
        <v>3015</v>
      </c>
      <c r="N750" t="s">
        <v>3016</v>
      </c>
      <c r="O750" t="s">
        <v>3017</v>
      </c>
    </row>
    <row r="751" spans="11:15" hidden="1" x14ac:dyDescent="0.2">
      <c r="K751" t="s">
        <v>1124</v>
      </c>
      <c r="L751" t="s">
        <v>3018</v>
      </c>
      <c r="M751" t="s">
        <v>3019</v>
      </c>
      <c r="N751" t="s">
        <v>3020</v>
      </c>
      <c r="O751" t="s">
        <v>3021</v>
      </c>
    </row>
    <row r="752" spans="11:15" hidden="1" x14ac:dyDescent="0.2">
      <c r="K752" t="s">
        <v>1124</v>
      </c>
      <c r="L752" t="s">
        <v>3022</v>
      </c>
      <c r="M752" t="s">
        <v>3023</v>
      </c>
      <c r="N752" t="s">
        <v>3024</v>
      </c>
      <c r="O752" t="s">
        <v>3025</v>
      </c>
    </row>
    <row r="753" spans="11:15" hidden="1" x14ac:dyDescent="0.2">
      <c r="K753" t="s">
        <v>1124</v>
      </c>
      <c r="L753" t="s">
        <v>3026</v>
      </c>
      <c r="M753" t="s">
        <v>3027</v>
      </c>
      <c r="N753" t="s">
        <v>3028</v>
      </c>
      <c r="O753" t="s">
        <v>3029</v>
      </c>
    </row>
    <row r="754" spans="11:15" hidden="1" x14ac:dyDescent="0.2">
      <c r="K754" t="s">
        <v>764</v>
      </c>
      <c r="L754" t="s">
        <v>3030</v>
      </c>
      <c r="M754" t="s">
        <v>3031</v>
      </c>
      <c r="N754" t="s">
        <v>3032</v>
      </c>
      <c r="O754" t="s">
        <v>3033</v>
      </c>
    </row>
    <row r="755" spans="11:15" hidden="1" x14ac:dyDescent="0.2">
      <c r="K755" t="s">
        <v>764</v>
      </c>
      <c r="L755" t="s">
        <v>3034</v>
      </c>
      <c r="M755" t="s">
        <v>3035</v>
      </c>
      <c r="N755" t="s">
        <v>3036</v>
      </c>
      <c r="O755" t="s">
        <v>3037</v>
      </c>
    </row>
    <row r="756" spans="11:15" hidden="1" x14ac:dyDescent="0.2">
      <c r="K756" t="s">
        <v>764</v>
      </c>
      <c r="L756" t="s">
        <v>3038</v>
      </c>
      <c r="M756" t="s">
        <v>3039</v>
      </c>
      <c r="N756" t="s">
        <v>3040</v>
      </c>
      <c r="O756" t="s">
        <v>3041</v>
      </c>
    </row>
    <row r="757" spans="11:15" hidden="1" x14ac:dyDescent="0.2">
      <c r="K757" t="s">
        <v>764</v>
      </c>
      <c r="L757" t="s">
        <v>3042</v>
      </c>
      <c r="M757" t="s">
        <v>3043</v>
      </c>
      <c r="N757" t="s">
        <v>3044</v>
      </c>
      <c r="O757" t="s">
        <v>3045</v>
      </c>
    </row>
    <row r="758" spans="11:15" hidden="1" x14ac:dyDescent="0.2">
      <c r="K758" t="s">
        <v>764</v>
      </c>
      <c r="L758" t="s">
        <v>3046</v>
      </c>
      <c r="M758" t="s">
        <v>3047</v>
      </c>
      <c r="N758" t="s">
        <v>3048</v>
      </c>
      <c r="O758" t="s">
        <v>3049</v>
      </c>
    </row>
    <row r="759" spans="11:15" hidden="1" x14ac:dyDescent="0.2">
      <c r="K759" t="s">
        <v>764</v>
      </c>
      <c r="L759" t="s">
        <v>3050</v>
      </c>
      <c r="M759" t="s">
        <v>3051</v>
      </c>
      <c r="N759" t="s">
        <v>3052</v>
      </c>
      <c r="O759" t="s">
        <v>3053</v>
      </c>
    </row>
    <row r="760" spans="11:15" hidden="1" x14ac:dyDescent="0.2">
      <c r="K760" t="s">
        <v>764</v>
      </c>
      <c r="L760" t="s">
        <v>3054</v>
      </c>
      <c r="M760" t="s">
        <v>3055</v>
      </c>
      <c r="N760" t="s">
        <v>3056</v>
      </c>
      <c r="O760" t="s">
        <v>3057</v>
      </c>
    </row>
    <row r="761" spans="11:15" hidden="1" x14ac:dyDescent="0.2">
      <c r="K761" t="s">
        <v>764</v>
      </c>
      <c r="L761" t="s">
        <v>3058</v>
      </c>
      <c r="M761" t="s">
        <v>3059</v>
      </c>
      <c r="N761" t="s">
        <v>3060</v>
      </c>
      <c r="O761" t="s">
        <v>3061</v>
      </c>
    </row>
    <row r="762" spans="11:15" hidden="1" x14ac:dyDescent="0.2">
      <c r="K762" t="s">
        <v>764</v>
      </c>
      <c r="L762" t="s">
        <v>3062</v>
      </c>
      <c r="M762" t="s">
        <v>3063</v>
      </c>
      <c r="N762" t="s">
        <v>3064</v>
      </c>
      <c r="O762" t="s">
        <v>3065</v>
      </c>
    </row>
    <row r="763" spans="11:15" hidden="1" x14ac:dyDescent="0.2">
      <c r="K763" t="s">
        <v>764</v>
      </c>
      <c r="L763" t="s">
        <v>3066</v>
      </c>
      <c r="M763" t="s">
        <v>3067</v>
      </c>
      <c r="N763" t="s">
        <v>3068</v>
      </c>
      <c r="O763" t="s">
        <v>3069</v>
      </c>
    </row>
    <row r="764" spans="11:15" hidden="1" x14ac:dyDescent="0.2">
      <c r="K764" t="s">
        <v>764</v>
      </c>
      <c r="L764" t="s">
        <v>3070</v>
      </c>
      <c r="M764" t="s">
        <v>3071</v>
      </c>
      <c r="N764" t="s">
        <v>3072</v>
      </c>
      <c r="O764" t="s">
        <v>3073</v>
      </c>
    </row>
    <row r="765" spans="11:15" hidden="1" x14ac:dyDescent="0.2">
      <c r="K765" t="s">
        <v>764</v>
      </c>
      <c r="L765" t="s">
        <v>3074</v>
      </c>
      <c r="M765" t="s">
        <v>3075</v>
      </c>
      <c r="N765" t="s">
        <v>3076</v>
      </c>
      <c r="O765" t="s">
        <v>3077</v>
      </c>
    </row>
    <row r="766" spans="11:15" hidden="1" x14ac:dyDescent="0.2">
      <c r="K766" t="s">
        <v>764</v>
      </c>
      <c r="L766" t="s">
        <v>3078</v>
      </c>
      <c r="M766" t="s">
        <v>3079</v>
      </c>
      <c r="N766" t="s">
        <v>3080</v>
      </c>
      <c r="O766" t="s">
        <v>3081</v>
      </c>
    </row>
    <row r="767" spans="11:15" hidden="1" x14ac:dyDescent="0.2">
      <c r="K767" t="s">
        <v>764</v>
      </c>
      <c r="L767" t="s">
        <v>3082</v>
      </c>
      <c r="M767" t="s">
        <v>3083</v>
      </c>
      <c r="N767" t="s">
        <v>3084</v>
      </c>
      <c r="O767" t="s">
        <v>3085</v>
      </c>
    </row>
    <row r="768" spans="11:15" hidden="1" x14ac:dyDescent="0.2">
      <c r="K768" t="s">
        <v>764</v>
      </c>
      <c r="L768" t="s">
        <v>3086</v>
      </c>
      <c r="M768" t="s">
        <v>3087</v>
      </c>
      <c r="N768" t="s">
        <v>3088</v>
      </c>
      <c r="O768" t="s">
        <v>3089</v>
      </c>
    </row>
    <row r="769" spans="11:15" hidden="1" x14ac:dyDescent="0.2">
      <c r="K769" t="s">
        <v>764</v>
      </c>
      <c r="L769" t="s">
        <v>3090</v>
      </c>
      <c r="M769" t="s">
        <v>3091</v>
      </c>
      <c r="N769" t="s">
        <v>3092</v>
      </c>
      <c r="O769" t="s">
        <v>3093</v>
      </c>
    </row>
    <row r="770" spans="11:15" hidden="1" x14ac:dyDescent="0.2">
      <c r="K770" t="s">
        <v>764</v>
      </c>
      <c r="L770" t="s">
        <v>3094</v>
      </c>
      <c r="M770" t="s">
        <v>3095</v>
      </c>
      <c r="N770" t="s">
        <v>3096</v>
      </c>
      <c r="O770" t="s">
        <v>3097</v>
      </c>
    </row>
    <row r="771" spans="11:15" hidden="1" x14ac:dyDescent="0.2">
      <c r="K771" t="s">
        <v>764</v>
      </c>
      <c r="L771" t="s">
        <v>3098</v>
      </c>
      <c r="M771" t="s">
        <v>3099</v>
      </c>
      <c r="N771" t="s">
        <v>3100</v>
      </c>
      <c r="O771" t="s">
        <v>3101</v>
      </c>
    </row>
    <row r="772" spans="11:15" hidden="1" x14ac:dyDescent="0.2">
      <c r="K772" t="s">
        <v>764</v>
      </c>
      <c r="L772" t="s">
        <v>3102</v>
      </c>
      <c r="M772" t="s">
        <v>3103</v>
      </c>
      <c r="N772" t="s">
        <v>3104</v>
      </c>
      <c r="O772" t="s">
        <v>3105</v>
      </c>
    </row>
    <row r="773" spans="11:15" hidden="1" x14ac:dyDescent="0.2">
      <c r="K773" t="s">
        <v>764</v>
      </c>
      <c r="L773" t="s">
        <v>3106</v>
      </c>
      <c r="M773" t="s">
        <v>3107</v>
      </c>
      <c r="N773" t="s">
        <v>3108</v>
      </c>
      <c r="O773" t="s">
        <v>3109</v>
      </c>
    </row>
    <row r="774" spans="11:15" hidden="1" x14ac:dyDescent="0.2">
      <c r="K774" t="s">
        <v>764</v>
      </c>
      <c r="L774" t="s">
        <v>3110</v>
      </c>
      <c r="M774" t="s">
        <v>3111</v>
      </c>
      <c r="N774" t="s">
        <v>3112</v>
      </c>
      <c r="O774" t="s">
        <v>3113</v>
      </c>
    </row>
    <row r="775" spans="11:15" hidden="1" x14ac:dyDescent="0.2">
      <c r="K775" t="s">
        <v>764</v>
      </c>
      <c r="L775" t="s">
        <v>3114</v>
      </c>
      <c r="M775" t="s">
        <v>3115</v>
      </c>
      <c r="N775" t="s">
        <v>3116</v>
      </c>
      <c r="O775" t="s">
        <v>3117</v>
      </c>
    </row>
    <row r="776" spans="11:15" hidden="1" x14ac:dyDescent="0.2">
      <c r="K776" t="s">
        <v>764</v>
      </c>
      <c r="L776" t="s">
        <v>3118</v>
      </c>
      <c r="M776" t="s">
        <v>3119</v>
      </c>
      <c r="N776" t="s">
        <v>3120</v>
      </c>
      <c r="O776" t="s">
        <v>3121</v>
      </c>
    </row>
    <row r="777" spans="11:15" hidden="1" x14ac:dyDescent="0.2">
      <c r="K777" t="s">
        <v>764</v>
      </c>
      <c r="L777" t="s">
        <v>3122</v>
      </c>
      <c r="M777" t="s">
        <v>3123</v>
      </c>
      <c r="N777" t="s">
        <v>3124</v>
      </c>
      <c r="O777" t="s">
        <v>3125</v>
      </c>
    </row>
    <row r="778" spans="11:15" hidden="1" x14ac:dyDescent="0.2">
      <c r="K778" t="s">
        <v>764</v>
      </c>
      <c r="L778" t="s">
        <v>3126</v>
      </c>
      <c r="M778" t="s">
        <v>3127</v>
      </c>
      <c r="N778" t="s">
        <v>3128</v>
      </c>
      <c r="O778" t="s">
        <v>3129</v>
      </c>
    </row>
    <row r="779" spans="11:15" hidden="1" x14ac:dyDescent="0.2">
      <c r="K779" t="s">
        <v>764</v>
      </c>
      <c r="L779" t="s">
        <v>3130</v>
      </c>
      <c r="M779" t="s">
        <v>3131</v>
      </c>
      <c r="N779" t="s">
        <v>3132</v>
      </c>
      <c r="O779" t="s">
        <v>3133</v>
      </c>
    </row>
    <row r="780" spans="11:15" hidden="1" x14ac:dyDescent="0.2">
      <c r="K780" t="s">
        <v>939</v>
      </c>
      <c r="L780" t="s">
        <v>3134</v>
      </c>
      <c r="M780" t="s">
        <v>3135</v>
      </c>
      <c r="N780" t="s">
        <v>3136</v>
      </c>
      <c r="O780" t="s">
        <v>3137</v>
      </c>
    </row>
    <row r="781" spans="11:15" hidden="1" x14ac:dyDescent="0.2">
      <c r="K781" t="s">
        <v>939</v>
      </c>
      <c r="L781" t="s">
        <v>3138</v>
      </c>
      <c r="M781" t="s">
        <v>3139</v>
      </c>
      <c r="N781" t="s">
        <v>3140</v>
      </c>
      <c r="O781" t="s">
        <v>3141</v>
      </c>
    </row>
    <row r="782" spans="11:15" hidden="1" x14ac:dyDescent="0.2">
      <c r="K782" t="s">
        <v>939</v>
      </c>
      <c r="L782" t="s">
        <v>3142</v>
      </c>
      <c r="M782" t="s">
        <v>3143</v>
      </c>
      <c r="N782" t="s">
        <v>3144</v>
      </c>
      <c r="O782" t="s">
        <v>3145</v>
      </c>
    </row>
    <row r="783" spans="11:15" hidden="1" x14ac:dyDescent="0.2">
      <c r="K783" t="s">
        <v>939</v>
      </c>
      <c r="L783" t="s">
        <v>3146</v>
      </c>
      <c r="M783" t="s">
        <v>3147</v>
      </c>
      <c r="N783" t="s">
        <v>3148</v>
      </c>
      <c r="O783" t="s">
        <v>3149</v>
      </c>
    </row>
    <row r="784" spans="11:15" hidden="1" x14ac:dyDescent="0.2">
      <c r="K784" t="s">
        <v>939</v>
      </c>
      <c r="L784" t="s">
        <v>3150</v>
      </c>
      <c r="M784" t="s">
        <v>3151</v>
      </c>
      <c r="N784" t="s">
        <v>3152</v>
      </c>
      <c r="O784" t="s">
        <v>3150</v>
      </c>
    </row>
    <row r="785" spans="11:15" hidden="1" x14ac:dyDescent="0.2">
      <c r="K785" t="s">
        <v>939</v>
      </c>
      <c r="L785" t="s">
        <v>3153</v>
      </c>
      <c r="M785" t="s">
        <v>3154</v>
      </c>
      <c r="N785" t="s">
        <v>3155</v>
      </c>
      <c r="O785" t="s">
        <v>3156</v>
      </c>
    </row>
    <row r="786" spans="11:15" hidden="1" x14ac:dyDescent="0.2">
      <c r="K786" t="s">
        <v>939</v>
      </c>
      <c r="L786" t="s">
        <v>3157</v>
      </c>
      <c r="M786" t="s">
        <v>3158</v>
      </c>
      <c r="N786" t="s">
        <v>3159</v>
      </c>
      <c r="O786" t="s">
        <v>3160</v>
      </c>
    </row>
    <row r="787" spans="11:15" hidden="1" x14ac:dyDescent="0.2">
      <c r="K787" t="s">
        <v>939</v>
      </c>
      <c r="L787" t="s">
        <v>3161</v>
      </c>
      <c r="M787" t="s">
        <v>3162</v>
      </c>
      <c r="N787" t="s">
        <v>3163</v>
      </c>
      <c r="O787" t="s">
        <v>3164</v>
      </c>
    </row>
    <row r="788" spans="11:15" hidden="1" x14ac:dyDescent="0.2">
      <c r="K788" t="s">
        <v>939</v>
      </c>
      <c r="L788" t="s">
        <v>3165</v>
      </c>
      <c r="M788" t="s">
        <v>3166</v>
      </c>
      <c r="N788" t="s">
        <v>3167</v>
      </c>
      <c r="O788" t="s">
        <v>3168</v>
      </c>
    </row>
    <row r="789" spans="11:15" hidden="1" x14ac:dyDescent="0.2">
      <c r="K789" t="s">
        <v>939</v>
      </c>
      <c r="L789" t="s">
        <v>3169</v>
      </c>
      <c r="M789" t="s">
        <v>3170</v>
      </c>
      <c r="N789" t="s">
        <v>3171</v>
      </c>
      <c r="O789" t="s">
        <v>3172</v>
      </c>
    </row>
    <row r="790" spans="11:15" hidden="1" x14ac:dyDescent="0.2">
      <c r="K790" t="s">
        <v>939</v>
      </c>
      <c r="L790" t="s">
        <v>3173</v>
      </c>
      <c r="M790" t="s">
        <v>3174</v>
      </c>
      <c r="N790" t="s">
        <v>3175</v>
      </c>
      <c r="O790" t="s">
        <v>3173</v>
      </c>
    </row>
    <row r="791" spans="11:15" hidden="1" x14ac:dyDescent="0.2">
      <c r="K791" t="s">
        <v>939</v>
      </c>
      <c r="L791" t="s">
        <v>3176</v>
      </c>
      <c r="M791" t="s">
        <v>3177</v>
      </c>
      <c r="N791" t="s">
        <v>3178</v>
      </c>
      <c r="O791" t="s">
        <v>3179</v>
      </c>
    </row>
    <row r="792" spans="11:15" hidden="1" x14ac:dyDescent="0.2">
      <c r="K792" t="s">
        <v>939</v>
      </c>
      <c r="L792" t="s">
        <v>3180</v>
      </c>
      <c r="M792" t="s">
        <v>3181</v>
      </c>
      <c r="N792" t="s">
        <v>3182</v>
      </c>
      <c r="O792" t="s">
        <v>3183</v>
      </c>
    </row>
    <row r="793" spans="11:15" hidden="1" x14ac:dyDescent="0.2">
      <c r="K793" t="s">
        <v>939</v>
      </c>
      <c r="L793" t="s">
        <v>3184</v>
      </c>
      <c r="M793" t="s">
        <v>3185</v>
      </c>
      <c r="N793" t="s">
        <v>3186</v>
      </c>
      <c r="O793" t="s">
        <v>3187</v>
      </c>
    </row>
    <row r="794" spans="11:15" hidden="1" x14ac:dyDescent="0.2">
      <c r="K794" t="s">
        <v>939</v>
      </c>
      <c r="L794" t="s">
        <v>3188</v>
      </c>
      <c r="M794" t="s">
        <v>3189</v>
      </c>
      <c r="N794" t="s">
        <v>3190</v>
      </c>
      <c r="O794" t="s">
        <v>3188</v>
      </c>
    </row>
    <row r="795" spans="11:15" hidden="1" x14ac:dyDescent="0.2">
      <c r="K795" t="s">
        <v>939</v>
      </c>
      <c r="L795" t="s">
        <v>3191</v>
      </c>
      <c r="M795" t="s">
        <v>3192</v>
      </c>
      <c r="N795" t="s">
        <v>3193</v>
      </c>
      <c r="O795" t="s">
        <v>3194</v>
      </c>
    </row>
    <row r="796" spans="11:15" hidden="1" x14ac:dyDescent="0.2">
      <c r="K796" t="s">
        <v>939</v>
      </c>
      <c r="L796" t="s">
        <v>3195</v>
      </c>
      <c r="M796" t="s">
        <v>3196</v>
      </c>
      <c r="N796" t="s">
        <v>3197</v>
      </c>
      <c r="O796" t="s">
        <v>3198</v>
      </c>
    </row>
    <row r="797" spans="11:15" hidden="1" x14ac:dyDescent="0.2">
      <c r="K797" t="s">
        <v>939</v>
      </c>
      <c r="L797" t="s">
        <v>3199</v>
      </c>
      <c r="M797" t="s">
        <v>3200</v>
      </c>
      <c r="N797" t="s">
        <v>3201</v>
      </c>
      <c r="O797" t="s">
        <v>3202</v>
      </c>
    </row>
    <row r="798" spans="11:15" hidden="1" x14ac:dyDescent="0.2">
      <c r="K798" t="s">
        <v>939</v>
      </c>
      <c r="L798" t="s">
        <v>3203</v>
      </c>
      <c r="M798" t="s">
        <v>3204</v>
      </c>
      <c r="N798" t="s">
        <v>3205</v>
      </c>
      <c r="O798" t="s">
        <v>3203</v>
      </c>
    </row>
    <row r="799" spans="11:15" hidden="1" x14ac:dyDescent="0.2">
      <c r="K799" t="s">
        <v>939</v>
      </c>
      <c r="L799" t="s">
        <v>3206</v>
      </c>
      <c r="M799" t="s">
        <v>3207</v>
      </c>
      <c r="N799" t="s">
        <v>3208</v>
      </c>
      <c r="O799" t="s">
        <v>3209</v>
      </c>
    </row>
    <row r="800" spans="11:15" hidden="1" x14ac:dyDescent="0.2">
      <c r="K800" t="s">
        <v>939</v>
      </c>
      <c r="L800" t="s">
        <v>3210</v>
      </c>
      <c r="M800" t="s">
        <v>3211</v>
      </c>
      <c r="N800" t="s">
        <v>3212</v>
      </c>
      <c r="O800" t="s">
        <v>3213</v>
      </c>
    </row>
    <row r="801" spans="11:15" hidden="1" x14ac:dyDescent="0.2">
      <c r="K801" t="s">
        <v>939</v>
      </c>
      <c r="L801" t="s">
        <v>3214</v>
      </c>
      <c r="M801" t="s">
        <v>3215</v>
      </c>
      <c r="N801" t="s">
        <v>3216</v>
      </c>
      <c r="O801" t="s">
        <v>3217</v>
      </c>
    </row>
    <row r="802" spans="11:15" hidden="1" x14ac:dyDescent="0.2">
      <c r="K802" t="s">
        <v>939</v>
      </c>
      <c r="L802" t="s">
        <v>3218</v>
      </c>
      <c r="M802" t="s">
        <v>3219</v>
      </c>
      <c r="N802" t="s">
        <v>3220</v>
      </c>
      <c r="O802" t="s">
        <v>3221</v>
      </c>
    </row>
    <row r="803" spans="11:15" hidden="1" x14ac:dyDescent="0.2">
      <c r="K803" t="s">
        <v>939</v>
      </c>
      <c r="L803" t="s">
        <v>3222</v>
      </c>
      <c r="M803" t="s">
        <v>3223</v>
      </c>
      <c r="N803" t="s">
        <v>3224</v>
      </c>
      <c r="O803" t="s">
        <v>3225</v>
      </c>
    </row>
    <row r="804" spans="11:15" hidden="1" x14ac:dyDescent="0.2">
      <c r="K804" t="s">
        <v>939</v>
      </c>
      <c r="L804" t="s">
        <v>3226</v>
      </c>
      <c r="M804" t="s">
        <v>3227</v>
      </c>
      <c r="N804" t="s">
        <v>3228</v>
      </c>
      <c r="O804" t="s">
        <v>3229</v>
      </c>
    </row>
    <row r="805" spans="11:15" hidden="1" x14ac:dyDescent="0.2">
      <c r="K805" t="s">
        <v>939</v>
      </c>
      <c r="L805" t="s">
        <v>3230</v>
      </c>
      <c r="M805" t="s">
        <v>3231</v>
      </c>
      <c r="N805" t="s">
        <v>3232</v>
      </c>
      <c r="O805" t="s">
        <v>3233</v>
      </c>
    </row>
    <row r="806" spans="11:15" hidden="1" x14ac:dyDescent="0.2">
      <c r="K806" t="s">
        <v>934</v>
      </c>
      <c r="L806" t="s">
        <v>3234</v>
      </c>
      <c r="M806" t="s">
        <v>3235</v>
      </c>
      <c r="N806" t="s">
        <v>3236</v>
      </c>
      <c r="O806" t="s">
        <v>3237</v>
      </c>
    </row>
    <row r="807" spans="11:15" hidden="1" x14ac:dyDescent="0.2">
      <c r="K807" t="s">
        <v>934</v>
      </c>
      <c r="L807" t="s">
        <v>3238</v>
      </c>
      <c r="M807" t="s">
        <v>3239</v>
      </c>
      <c r="N807" t="s">
        <v>3240</v>
      </c>
      <c r="O807" t="s">
        <v>3241</v>
      </c>
    </row>
    <row r="808" spans="11:15" hidden="1" x14ac:dyDescent="0.2">
      <c r="K808" t="s">
        <v>934</v>
      </c>
      <c r="L808" t="s">
        <v>3242</v>
      </c>
      <c r="M808" t="s">
        <v>3243</v>
      </c>
      <c r="N808" t="s">
        <v>3244</v>
      </c>
      <c r="O808" t="s">
        <v>3245</v>
      </c>
    </row>
    <row r="809" spans="11:15" hidden="1" x14ac:dyDescent="0.2">
      <c r="K809" t="s">
        <v>934</v>
      </c>
      <c r="L809" t="s">
        <v>3246</v>
      </c>
      <c r="M809" t="s">
        <v>3247</v>
      </c>
      <c r="N809" t="s">
        <v>3248</v>
      </c>
      <c r="O809" t="s">
        <v>3249</v>
      </c>
    </row>
    <row r="810" spans="11:15" hidden="1" x14ac:dyDescent="0.2">
      <c r="K810" t="s">
        <v>934</v>
      </c>
      <c r="L810" t="s">
        <v>3250</v>
      </c>
      <c r="M810" t="s">
        <v>3251</v>
      </c>
      <c r="N810" t="s">
        <v>3252</v>
      </c>
      <c r="O810" t="s">
        <v>3253</v>
      </c>
    </row>
    <row r="811" spans="11:15" hidden="1" x14ac:dyDescent="0.2">
      <c r="K811" t="s">
        <v>934</v>
      </c>
      <c r="L811" t="s">
        <v>3254</v>
      </c>
      <c r="M811" t="s">
        <v>3255</v>
      </c>
      <c r="N811" t="s">
        <v>3256</v>
      </c>
      <c r="O811" t="s">
        <v>3257</v>
      </c>
    </row>
    <row r="812" spans="11:15" hidden="1" x14ac:dyDescent="0.2">
      <c r="K812" t="s">
        <v>934</v>
      </c>
      <c r="L812" t="s">
        <v>3258</v>
      </c>
      <c r="M812" t="s">
        <v>3259</v>
      </c>
      <c r="N812" t="s">
        <v>3260</v>
      </c>
      <c r="O812" t="s">
        <v>3261</v>
      </c>
    </row>
    <row r="813" spans="11:15" hidden="1" x14ac:dyDescent="0.2">
      <c r="K813" t="s">
        <v>934</v>
      </c>
      <c r="L813" t="s">
        <v>3262</v>
      </c>
      <c r="M813" t="s">
        <v>3263</v>
      </c>
      <c r="N813" t="s">
        <v>3264</v>
      </c>
      <c r="O813" t="s">
        <v>3265</v>
      </c>
    </row>
    <row r="814" spans="11:15" hidden="1" x14ac:dyDescent="0.2">
      <c r="K814" t="s">
        <v>934</v>
      </c>
      <c r="L814" t="s">
        <v>3266</v>
      </c>
      <c r="M814" t="s">
        <v>3267</v>
      </c>
      <c r="N814" t="s">
        <v>3268</v>
      </c>
      <c r="O814" t="s">
        <v>3269</v>
      </c>
    </row>
    <row r="815" spans="11:15" hidden="1" x14ac:dyDescent="0.2">
      <c r="K815" t="s">
        <v>934</v>
      </c>
      <c r="L815" t="s">
        <v>3270</v>
      </c>
      <c r="M815" t="s">
        <v>3271</v>
      </c>
      <c r="N815" t="s">
        <v>3272</v>
      </c>
      <c r="O815" t="s">
        <v>3273</v>
      </c>
    </row>
    <row r="816" spans="11:15" hidden="1" x14ac:dyDescent="0.2">
      <c r="K816" t="s">
        <v>934</v>
      </c>
      <c r="L816" t="s">
        <v>3274</v>
      </c>
      <c r="M816" t="s">
        <v>3275</v>
      </c>
      <c r="N816" t="s">
        <v>3276</v>
      </c>
      <c r="O816" t="s">
        <v>3277</v>
      </c>
    </row>
    <row r="817" spans="11:15" hidden="1" x14ac:dyDescent="0.2">
      <c r="K817" t="s">
        <v>934</v>
      </c>
      <c r="L817" t="s">
        <v>3278</v>
      </c>
      <c r="M817" t="s">
        <v>3279</v>
      </c>
      <c r="N817" t="s">
        <v>3280</v>
      </c>
      <c r="O817" t="s">
        <v>3281</v>
      </c>
    </row>
    <row r="818" spans="11:15" hidden="1" x14ac:dyDescent="0.2">
      <c r="K818" t="s">
        <v>934</v>
      </c>
      <c r="L818" t="s">
        <v>3278</v>
      </c>
      <c r="M818" t="s">
        <v>3282</v>
      </c>
      <c r="N818" t="s">
        <v>3283</v>
      </c>
      <c r="O818" t="s">
        <v>3284</v>
      </c>
    </row>
    <row r="819" spans="11:15" hidden="1" x14ac:dyDescent="0.2">
      <c r="K819" t="s">
        <v>934</v>
      </c>
      <c r="L819" t="s">
        <v>3285</v>
      </c>
      <c r="M819" t="s">
        <v>3286</v>
      </c>
      <c r="N819" t="s">
        <v>3287</v>
      </c>
      <c r="O819" t="s">
        <v>3288</v>
      </c>
    </row>
    <row r="820" spans="11:15" hidden="1" x14ac:dyDescent="0.2">
      <c r="K820" t="s">
        <v>934</v>
      </c>
      <c r="L820" t="s">
        <v>3289</v>
      </c>
      <c r="M820" t="s">
        <v>3290</v>
      </c>
      <c r="N820" t="s">
        <v>3291</v>
      </c>
      <c r="O820" t="s">
        <v>3292</v>
      </c>
    </row>
    <row r="821" spans="11:15" hidden="1" x14ac:dyDescent="0.2">
      <c r="K821" t="s">
        <v>934</v>
      </c>
      <c r="L821" t="s">
        <v>3293</v>
      </c>
      <c r="M821" t="s">
        <v>3294</v>
      </c>
      <c r="N821" t="s">
        <v>3295</v>
      </c>
      <c r="O821" t="s">
        <v>3296</v>
      </c>
    </row>
    <row r="822" spans="11:15" hidden="1" x14ac:dyDescent="0.2">
      <c r="K822" t="s">
        <v>934</v>
      </c>
      <c r="L822" t="s">
        <v>3297</v>
      </c>
      <c r="M822" t="s">
        <v>3298</v>
      </c>
      <c r="N822" t="s">
        <v>3299</v>
      </c>
      <c r="O822" t="s">
        <v>3300</v>
      </c>
    </row>
    <row r="823" spans="11:15" hidden="1" x14ac:dyDescent="0.2">
      <c r="K823" t="s">
        <v>934</v>
      </c>
      <c r="L823" t="s">
        <v>3301</v>
      </c>
      <c r="M823" t="s">
        <v>3302</v>
      </c>
      <c r="N823" t="s">
        <v>3303</v>
      </c>
      <c r="O823" t="s">
        <v>3304</v>
      </c>
    </row>
    <row r="824" spans="11:15" hidden="1" x14ac:dyDescent="0.2">
      <c r="K824" t="s">
        <v>934</v>
      </c>
      <c r="L824" t="s">
        <v>3305</v>
      </c>
      <c r="M824" t="s">
        <v>3306</v>
      </c>
      <c r="N824" t="s">
        <v>3307</v>
      </c>
      <c r="O824" t="s">
        <v>3308</v>
      </c>
    </row>
    <row r="825" spans="11:15" hidden="1" x14ac:dyDescent="0.2">
      <c r="K825" t="s">
        <v>934</v>
      </c>
      <c r="L825" t="s">
        <v>3309</v>
      </c>
      <c r="M825" t="s">
        <v>3310</v>
      </c>
      <c r="N825" t="s">
        <v>3311</v>
      </c>
      <c r="O825" t="s">
        <v>3312</v>
      </c>
    </row>
    <row r="826" spans="11:15" hidden="1" x14ac:dyDescent="0.2">
      <c r="K826" t="s">
        <v>934</v>
      </c>
      <c r="L826" t="s">
        <v>3313</v>
      </c>
      <c r="M826" t="s">
        <v>3314</v>
      </c>
      <c r="N826" t="s">
        <v>3315</v>
      </c>
      <c r="O826" t="s">
        <v>3316</v>
      </c>
    </row>
    <row r="827" spans="11:15" hidden="1" x14ac:dyDescent="0.2">
      <c r="K827" t="s">
        <v>934</v>
      </c>
      <c r="L827" t="s">
        <v>3317</v>
      </c>
      <c r="M827" t="s">
        <v>3318</v>
      </c>
      <c r="N827" t="s">
        <v>3319</v>
      </c>
      <c r="O827" t="s">
        <v>3320</v>
      </c>
    </row>
    <row r="828" spans="11:15" hidden="1" x14ac:dyDescent="0.2">
      <c r="K828" t="s">
        <v>934</v>
      </c>
      <c r="L828" t="s">
        <v>3321</v>
      </c>
      <c r="M828" t="s">
        <v>3322</v>
      </c>
      <c r="N828" t="s">
        <v>3323</v>
      </c>
      <c r="O828" t="s">
        <v>3324</v>
      </c>
    </row>
    <row r="829" spans="11:15" hidden="1" x14ac:dyDescent="0.2">
      <c r="K829" t="s">
        <v>934</v>
      </c>
      <c r="L829" t="s">
        <v>3325</v>
      </c>
      <c r="M829" t="s">
        <v>3326</v>
      </c>
      <c r="N829" t="s">
        <v>3327</v>
      </c>
      <c r="O829" t="s">
        <v>3328</v>
      </c>
    </row>
    <row r="830" spans="11:15" hidden="1" x14ac:dyDescent="0.2">
      <c r="K830" t="s">
        <v>934</v>
      </c>
      <c r="L830" t="s">
        <v>3329</v>
      </c>
      <c r="M830" t="s">
        <v>3330</v>
      </c>
      <c r="N830" t="s">
        <v>3331</v>
      </c>
      <c r="O830" t="s">
        <v>3332</v>
      </c>
    </row>
    <row r="831" spans="11:15" hidden="1" x14ac:dyDescent="0.2">
      <c r="K831" t="s">
        <v>934</v>
      </c>
      <c r="L831" t="s">
        <v>3333</v>
      </c>
      <c r="M831" t="s">
        <v>3334</v>
      </c>
      <c r="N831" t="s">
        <v>3335</v>
      </c>
      <c r="O831" t="s">
        <v>3336</v>
      </c>
    </row>
    <row r="832" spans="11:15" hidden="1" x14ac:dyDescent="0.2">
      <c r="K832" t="s">
        <v>896</v>
      </c>
      <c r="L832" t="s">
        <v>3337</v>
      </c>
      <c r="M832" t="s">
        <v>3338</v>
      </c>
      <c r="N832" t="s">
        <v>3339</v>
      </c>
      <c r="O832" t="s">
        <v>3340</v>
      </c>
    </row>
    <row r="833" spans="11:15" hidden="1" x14ac:dyDescent="0.2">
      <c r="K833" t="s">
        <v>896</v>
      </c>
      <c r="L833" t="s">
        <v>3341</v>
      </c>
      <c r="M833" t="s">
        <v>3342</v>
      </c>
      <c r="N833" t="s">
        <v>3343</v>
      </c>
      <c r="O833" t="s">
        <v>3344</v>
      </c>
    </row>
    <row r="834" spans="11:15" hidden="1" x14ac:dyDescent="0.2">
      <c r="K834" t="s">
        <v>896</v>
      </c>
      <c r="L834" t="s">
        <v>3345</v>
      </c>
      <c r="M834" t="s">
        <v>3346</v>
      </c>
      <c r="N834" t="s">
        <v>3347</v>
      </c>
      <c r="O834" t="s">
        <v>3348</v>
      </c>
    </row>
    <row r="835" spans="11:15" hidden="1" x14ac:dyDescent="0.2">
      <c r="K835" t="s">
        <v>896</v>
      </c>
      <c r="L835" t="s">
        <v>3349</v>
      </c>
      <c r="M835" t="s">
        <v>3350</v>
      </c>
      <c r="N835" t="s">
        <v>3351</v>
      </c>
      <c r="O835" t="s">
        <v>3352</v>
      </c>
    </row>
    <row r="836" spans="11:15" hidden="1" x14ac:dyDescent="0.2">
      <c r="K836" t="s">
        <v>896</v>
      </c>
      <c r="L836" t="s">
        <v>3353</v>
      </c>
      <c r="M836" t="s">
        <v>3354</v>
      </c>
      <c r="N836" t="s">
        <v>3355</v>
      </c>
      <c r="O836" t="s">
        <v>3356</v>
      </c>
    </row>
    <row r="837" spans="11:15" hidden="1" x14ac:dyDescent="0.2">
      <c r="K837" t="s">
        <v>896</v>
      </c>
      <c r="L837" t="s">
        <v>3357</v>
      </c>
      <c r="M837" t="s">
        <v>3358</v>
      </c>
      <c r="N837" t="s">
        <v>3359</v>
      </c>
      <c r="O837" t="s">
        <v>3360</v>
      </c>
    </row>
    <row r="838" spans="11:15" hidden="1" x14ac:dyDescent="0.2">
      <c r="K838" t="s">
        <v>896</v>
      </c>
      <c r="L838" t="s">
        <v>3361</v>
      </c>
      <c r="M838" t="s">
        <v>3362</v>
      </c>
      <c r="N838" t="s">
        <v>3363</v>
      </c>
      <c r="O838" t="s">
        <v>3364</v>
      </c>
    </row>
    <row r="839" spans="11:15" hidden="1" x14ac:dyDescent="0.2">
      <c r="K839" t="s">
        <v>896</v>
      </c>
      <c r="L839" t="s">
        <v>3365</v>
      </c>
      <c r="M839" t="s">
        <v>3366</v>
      </c>
      <c r="N839" t="s">
        <v>3367</v>
      </c>
      <c r="O839" t="s">
        <v>3368</v>
      </c>
    </row>
    <row r="840" spans="11:15" hidden="1" x14ac:dyDescent="0.2">
      <c r="K840" t="s">
        <v>896</v>
      </c>
      <c r="L840" t="s">
        <v>3369</v>
      </c>
      <c r="M840" t="s">
        <v>3370</v>
      </c>
      <c r="N840" t="s">
        <v>3371</v>
      </c>
      <c r="O840" t="s">
        <v>3372</v>
      </c>
    </row>
    <row r="841" spans="11:15" hidden="1" x14ac:dyDescent="0.2">
      <c r="K841" t="s">
        <v>896</v>
      </c>
      <c r="L841" t="s">
        <v>3373</v>
      </c>
      <c r="M841" t="s">
        <v>3374</v>
      </c>
      <c r="N841" t="s">
        <v>3375</v>
      </c>
      <c r="O841" t="s">
        <v>3376</v>
      </c>
    </row>
    <row r="842" spans="11:15" hidden="1" x14ac:dyDescent="0.2">
      <c r="K842" t="s">
        <v>896</v>
      </c>
      <c r="L842" t="s">
        <v>3377</v>
      </c>
      <c r="M842" t="s">
        <v>3378</v>
      </c>
      <c r="N842" t="s">
        <v>3379</v>
      </c>
      <c r="O842" t="s">
        <v>3380</v>
      </c>
    </row>
    <row r="843" spans="11:15" hidden="1" x14ac:dyDescent="0.2">
      <c r="K843" t="s">
        <v>896</v>
      </c>
      <c r="L843" t="s">
        <v>3381</v>
      </c>
      <c r="M843" t="s">
        <v>3382</v>
      </c>
      <c r="N843" t="s">
        <v>3383</v>
      </c>
      <c r="O843" t="s">
        <v>3384</v>
      </c>
    </row>
    <row r="844" spans="11:15" hidden="1" x14ac:dyDescent="0.2">
      <c r="K844" t="s">
        <v>896</v>
      </c>
      <c r="L844" t="s">
        <v>3385</v>
      </c>
      <c r="M844" t="s">
        <v>3386</v>
      </c>
      <c r="N844" t="s">
        <v>3387</v>
      </c>
      <c r="O844" t="s">
        <v>3388</v>
      </c>
    </row>
    <row r="845" spans="11:15" hidden="1" x14ac:dyDescent="0.2">
      <c r="K845" t="s">
        <v>896</v>
      </c>
      <c r="L845" t="s">
        <v>3389</v>
      </c>
      <c r="M845" t="s">
        <v>3390</v>
      </c>
      <c r="N845" t="s">
        <v>3391</v>
      </c>
      <c r="O845" t="s">
        <v>3392</v>
      </c>
    </row>
    <row r="846" spans="11:15" hidden="1" x14ac:dyDescent="0.2">
      <c r="K846" t="s">
        <v>896</v>
      </c>
      <c r="L846" t="s">
        <v>3393</v>
      </c>
      <c r="M846" t="s">
        <v>3394</v>
      </c>
      <c r="N846" t="s">
        <v>3395</v>
      </c>
      <c r="O846" t="s">
        <v>3396</v>
      </c>
    </row>
    <row r="847" spans="11:15" hidden="1" x14ac:dyDescent="0.2">
      <c r="K847" t="s">
        <v>896</v>
      </c>
      <c r="L847" t="s">
        <v>3397</v>
      </c>
      <c r="M847" t="s">
        <v>3398</v>
      </c>
      <c r="N847" t="s">
        <v>3399</v>
      </c>
      <c r="O847" t="s">
        <v>3400</v>
      </c>
    </row>
    <row r="848" spans="11:15" hidden="1" x14ac:dyDescent="0.2">
      <c r="K848" t="s">
        <v>896</v>
      </c>
      <c r="L848" t="s">
        <v>3401</v>
      </c>
      <c r="M848" t="s">
        <v>3402</v>
      </c>
      <c r="N848" t="s">
        <v>3403</v>
      </c>
      <c r="O848" t="s">
        <v>3404</v>
      </c>
    </row>
    <row r="849" spans="11:15" hidden="1" x14ac:dyDescent="0.2">
      <c r="K849" t="s">
        <v>896</v>
      </c>
      <c r="L849" t="s">
        <v>3405</v>
      </c>
      <c r="M849" t="s">
        <v>3406</v>
      </c>
      <c r="N849" t="s">
        <v>3407</v>
      </c>
      <c r="O849" t="s">
        <v>3408</v>
      </c>
    </row>
    <row r="850" spans="11:15" hidden="1" x14ac:dyDescent="0.2">
      <c r="K850" t="s">
        <v>896</v>
      </c>
      <c r="L850" t="s">
        <v>3409</v>
      </c>
      <c r="M850" t="s">
        <v>3410</v>
      </c>
      <c r="N850" t="s">
        <v>3411</v>
      </c>
      <c r="O850" t="s">
        <v>3412</v>
      </c>
    </row>
    <row r="851" spans="11:15" hidden="1" x14ac:dyDescent="0.2">
      <c r="K851" t="s">
        <v>896</v>
      </c>
      <c r="L851" t="s">
        <v>3413</v>
      </c>
      <c r="M851" t="s">
        <v>3414</v>
      </c>
      <c r="N851" t="s">
        <v>3415</v>
      </c>
      <c r="O851" t="s">
        <v>3416</v>
      </c>
    </row>
    <row r="852" spans="11:15" hidden="1" x14ac:dyDescent="0.2">
      <c r="K852" t="s">
        <v>896</v>
      </c>
      <c r="L852" t="s">
        <v>3417</v>
      </c>
      <c r="M852" t="s">
        <v>3418</v>
      </c>
      <c r="N852" t="s">
        <v>3419</v>
      </c>
      <c r="O852" t="s">
        <v>3420</v>
      </c>
    </row>
    <row r="853" spans="11:15" hidden="1" x14ac:dyDescent="0.2">
      <c r="K853" t="s">
        <v>896</v>
      </c>
      <c r="L853" t="s">
        <v>3421</v>
      </c>
      <c r="M853" t="s">
        <v>3422</v>
      </c>
      <c r="N853" t="s">
        <v>3423</v>
      </c>
      <c r="O853" t="s">
        <v>3424</v>
      </c>
    </row>
    <row r="854" spans="11:15" hidden="1" x14ac:dyDescent="0.2">
      <c r="K854" t="s">
        <v>896</v>
      </c>
      <c r="L854" t="s">
        <v>3425</v>
      </c>
      <c r="M854" t="s">
        <v>3426</v>
      </c>
      <c r="N854" t="s">
        <v>3427</v>
      </c>
      <c r="O854" t="s">
        <v>3428</v>
      </c>
    </row>
    <row r="855" spans="11:15" hidden="1" x14ac:dyDescent="0.2">
      <c r="K855" t="s">
        <v>896</v>
      </c>
      <c r="L855" t="s">
        <v>3429</v>
      </c>
      <c r="M855" t="s">
        <v>3430</v>
      </c>
      <c r="N855" t="s">
        <v>3431</v>
      </c>
      <c r="O855" t="s">
        <v>3432</v>
      </c>
    </row>
    <row r="856" spans="11:15" hidden="1" x14ac:dyDescent="0.2">
      <c r="K856" t="s">
        <v>896</v>
      </c>
      <c r="L856" t="s">
        <v>3433</v>
      </c>
      <c r="M856" t="s">
        <v>3434</v>
      </c>
      <c r="N856" t="s">
        <v>3435</v>
      </c>
      <c r="O856" t="s">
        <v>3436</v>
      </c>
    </row>
    <row r="857" spans="11:15" hidden="1" x14ac:dyDescent="0.2">
      <c r="K857" t="s">
        <v>896</v>
      </c>
      <c r="L857" t="s">
        <v>3437</v>
      </c>
      <c r="M857" t="s">
        <v>3438</v>
      </c>
      <c r="N857" t="s">
        <v>3439</v>
      </c>
      <c r="O857" t="s">
        <v>3440</v>
      </c>
    </row>
    <row r="858" spans="11:15" hidden="1" x14ac:dyDescent="0.2">
      <c r="K858" t="s">
        <v>926</v>
      </c>
      <c r="L858" t="s">
        <v>3441</v>
      </c>
      <c r="M858" t="s">
        <v>3442</v>
      </c>
      <c r="N858" t="s">
        <v>3443</v>
      </c>
      <c r="O858" t="s">
        <v>3444</v>
      </c>
    </row>
    <row r="859" spans="11:15" hidden="1" x14ac:dyDescent="0.2">
      <c r="K859" t="s">
        <v>926</v>
      </c>
      <c r="L859" t="s">
        <v>3445</v>
      </c>
      <c r="M859" t="s">
        <v>3446</v>
      </c>
      <c r="N859" t="s">
        <v>3447</v>
      </c>
      <c r="O859" t="s">
        <v>3448</v>
      </c>
    </row>
    <row r="860" spans="11:15" hidden="1" x14ac:dyDescent="0.2">
      <c r="K860" t="s">
        <v>926</v>
      </c>
      <c r="L860" t="s">
        <v>3449</v>
      </c>
      <c r="M860" t="s">
        <v>3450</v>
      </c>
      <c r="N860" t="s">
        <v>3451</v>
      </c>
      <c r="O860" t="s">
        <v>3452</v>
      </c>
    </row>
    <row r="861" spans="11:15" hidden="1" x14ac:dyDescent="0.2">
      <c r="K861" t="s">
        <v>926</v>
      </c>
      <c r="L861" t="s">
        <v>3453</v>
      </c>
      <c r="M861" t="s">
        <v>3454</v>
      </c>
      <c r="N861" t="s">
        <v>3455</v>
      </c>
      <c r="O861" t="s">
        <v>3456</v>
      </c>
    </row>
    <row r="862" spans="11:15" hidden="1" x14ac:dyDescent="0.2">
      <c r="K862" t="s">
        <v>926</v>
      </c>
      <c r="L862" t="s">
        <v>3457</v>
      </c>
      <c r="M862" t="s">
        <v>3458</v>
      </c>
      <c r="N862" t="s">
        <v>3459</v>
      </c>
      <c r="O862" t="s">
        <v>3460</v>
      </c>
    </row>
    <row r="863" spans="11:15" hidden="1" x14ac:dyDescent="0.2">
      <c r="K863" t="s">
        <v>926</v>
      </c>
      <c r="L863" t="s">
        <v>3461</v>
      </c>
      <c r="M863" t="s">
        <v>3462</v>
      </c>
      <c r="N863" t="s">
        <v>3463</v>
      </c>
      <c r="O863" t="s">
        <v>3464</v>
      </c>
    </row>
    <row r="864" spans="11:15" hidden="1" x14ac:dyDescent="0.2">
      <c r="K864" t="s">
        <v>926</v>
      </c>
      <c r="L864" t="s">
        <v>3465</v>
      </c>
      <c r="M864" t="s">
        <v>3466</v>
      </c>
      <c r="N864" t="s">
        <v>3467</v>
      </c>
      <c r="O864" t="s">
        <v>3468</v>
      </c>
    </row>
    <row r="865" spans="11:15" hidden="1" x14ac:dyDescent="0.2">
      <c r="K865" t="s">
        <v>926</v>
      </c>
      <c r="L865" t="s">
        <v>3469</v>
      </c>
      <c r="M865" t="s">
        <v>3470</v>
      </c>
      <c r="N865" t="s">
        <v>3471</v>
      </c>
      <c r="O865" t="s">
        <v>3472</v>
      </c>
    </row>
    <row r="866" spans="11:15" hidden="1" x14ac:dyDescent="0.2">
      <c r="K866" t="s">
        <v>926</v>
      </c>
      <c r="L866" t="s">
        <v>3473</v>
      </c>
      <c r="M866" t="s">
        <v>3474</v>
      </c>
      <c r="N866" t="s">
        <v>3475</v>
      </c>
      <c r="O866" t="s">
        <v>3476</v>
      </c>
    </row>
    <row r="867" spans="11:15" hidden="1" x14ac:dyDescent="0.2">
      <c r="K867" t="s">
        <v>926</v>
      </c>
      <c r="L867" t="s">
        <v>3477</v>
      </c>
      <c r="M867" t="s">
        <v>3478</v>
      </c>
      <c r="N867" t="s">
        <v>3479</v>
      </c>
      <c r="O867" t="s">
        <v>3480</v>
      </c>
    </row>
    <row r="868" spans="11:15" hidden="1" x14ac:dyDescent="0.2">
      <c r="K868" t="s">
        <v>926</v>
      </c>
      <c r="L868" t="s">
        <v>3481</v>
      </c>
      <c r="M868" t="s">
        <v>3482</v>
      </c>
      <c r="N868" t="s">
        <v>3483</v>
      </c>
      <c r="O868" t="s">
        <v>3484</v>
      </c>
    </row>
    <row r="869" spans="11:15" hidden="1" x14ac:dyDescent="0.2">
      <c r="K869" t="s">
        <v>926</v>
      </c>
      <c r="L869" t="s">
        <v>3485</v>
      </c>
      <c r="M869" t="s">
        <v>3486</v>
      </c>
      <c r="N869" t="s">
        <v>3487</v>
      </c>
      <c r="O869" t="s">
        <v>3488</v>
      </c>
    </row>
    <row r="870" spans="11:15" hidden="1" x14ac:dyDescent="0.2">
      <c r="K870" t="s">
        <v>926</v>
      </c>
      <c r="L870" t="s">
        <v>3489</v>
      </c>
      <c r="M870" t="s">
        <v>3490</v>
      </c>
      <c r="N870" t="s">
        <v>3491</v>
      </c>
      <c r="O870" t="s">
        <v>3492</v>
      </c>
    </row>
    <row r="871" spans="11:15" hidden="1" x14ac:dyDescent="0.2">
      <c r="K871" t="s">
        <v>926</v>
      </c>
      <c r="L871" t="s">
        <v>3493</v>
      </c>
      <c r="M871" t="s">
        <v>3494</v>
      </c>
      <c r="N871" t="s">
        <v>3495</v>
      </c>
      <c r="O871" t="s">
        <v>3496</v>
      </c>
    </row>
    <row r="872" spans="11:15" hidden="1" x14ac:dyDescent="0.2">
      <c r="K872" t="s">
        <v>926</v>
      </c>
      <c r="L872" t="s">
        <v>3497</v>
      </c>
      <c r="M872" t="s">
        <v>3498</v>
      </c>
      <c r="N872" t="s">
        <v>3499</v>
      </c>
      <c r="O872" t="s">
        <v>3500</v>
      </c>
    </row>
    <row r="873" spans="11:15" hidden="1" x14ac:dyDescent="0.2">
      <c r="K873" t="s">
        <v>926</v>
      </c>
      <c r="L873" t="s">
        <v>3501</v>
      </c>
      <c r="M873" t="s">
        <v>3502</v>
      </c>
      <c r="N873" t="s">
        <v>3503</v>
      </c>
      <c r="O873" t="s">
        <v>3504</v>
      </c>
    </row>
    <row r="874" spans="11:15" hidden="1" x14ac:dyDescent="0.2">
      <c r="K874" t="s">
        <v>926</v>
      </c>
      <c r="L874" t="s">
        <v>3505</v>
      </c>
      <c r="M874" t="s">
        <v>3506</v>
      </c>
      <c r="N874" t="s">
        <v>3507</v>
      </c>
      <c r="O874" t="s">
        <v>3508</v>
      </c>
    </row>
    <row r="875" spans="11:15" hidden="1" x14ac:dyDescent="0.2">
      <c r="K875" t="s">
        <v>926</v>
      </c>
      <c r="L875" t="s">
        <v>3509</v>
      </c>
      <c r="M875" t="s">
        <v>3510</v>
      </c>
      <c r="N875" t="s">
        <v>3511</v>
      </c>
      <c r="O875" t="s">
        <v>3512</v>
      </c>
    </row>
    <row r="876" spans="11:15" hidden="1" x14ac:dyDescent="0.2">
      <c r="K876" t="s">
        <v>926</v>
      </c>
      <c r="L876" t="s">
        <v>3513</v>
      </c>
      <c r="M876" t="s">
        <v>3514</v>
      </c>
      <c r="N876" t="s">
        <v>3515</v>
      </c>
      <c r="O876" t="s">
        <v>3516</v>
      </c>
    </row>
    <row r="877" spans="11:15" hidden="1" x14ac:dyDescent="0.2">
      <c r="K877" t="s">
        <v>926</v>
      </c>
      <c r="L877" t="s">
        <v>3517</v>
      </c>
      <c r="M877" t="s">
        <v>3518</v>
      </c>
      <c r="N877" t="s">
        <v>3519</v>
      </c>
      <c r="O877" t="s">
        <v>3520</v>
      </c>
    </row>
    <row r="878" spans="11:15" hidden="1" x14ac:dyDescent="0.2">
      <c r="K878" t="s">
        <v>926</v>
      </c>
      <c r="L878" t="s">
        <v>3521</v>
      </c>
      <c r="M878" t="s">
        <v>3522</v>
      </c>
      <c r="N878" t="s">
        <v>3523</v>
      </c>
      <c r="O878" t="s">
        <v>3524</v>
      </c>
    </row>
    <row r="879" spans="11:15" hidden="1" x14ac:dyDescent="0.2">
      <c r="K879" t="s">
        <v>926</v>
      </c>
      <c r="L879" t="s">
        <v>3525</v>
      </c>
      <c r="M879" t="s">
        <v>3526</v>
      </c>
      <c r="N879" t="s">
        <v>3527</v>
      </c>
      <c r="O879" t="s">
        <v>3528</v>
      </c>
    </row>
    <row r="880" spans="11:15" hidden="1" x14ac:dyDescent="0.2">
      <c r="K880" t="s">
        <v>926</v>
      </c>
      <c r="L880" t="s">
        <v>3529</v>
      </c>
      <c r="M880" t="s">
        <v>3530</v>
      </c>
      <c r="N880" t="s">
        <v>3531</v>
      </c>
      <c r="O880" t="s">
        <v>3532</v>
      </c>
    </row>
    <row r="881" spans="11:15" hidden="1" x14ac:dyDescent="0.2">
      <c r="K881" t="s">
        <v>926</v>
      </c>
      <c r="L881" t="s">
        <v>3533</v>
      </c>
      <c r="M881" t="s">
        <v>3534</v>
      </c>
      <c r="N881" t="s">
        <v>3535</v>
      </c>
      <c r="O881" t="s">
        <v>3536</v>
      </c>
    </row>
    <row r="882" spans="11:15" hidden="1" x14ac:dyDescent="0.2">
      <c r="K882" t="s">
        <v>926</v>
      </c>
      <c r="L882" t="s">
        <v>3537</v>
      </c>
      <c r="M882" t="s">
        <v>3538</v>
      </c>
      <c r="N882" t="s">
        <v>3539</v>
      </c>
      <c r="O882" t="s">
        <v>3540</v>
      </c>
    </row>
    <row r="883" spans="11:15" hidden="1" x14ac:dyDescent="0.2">
      <c r="K883" t="s">
        <v>926</v>
      </c>
      <c r="L883" t="s">
        <v>3541</v>
      </c>
      <c r="M883" t="s">
        <v>3542</v>
      </c>
      <c r="N883" t="s">
        <v>3543</v>
      </c>
      <c r="O883" t="s">
        <v>3544</v>
      </c>
    </row>
    <row r="884" spans="11:15" hidden="1" x14ac:dyDescent="0.2">
      <c r="K884" t="s">
        <v>1126</v>
      </c>
      <c r="L884" t="s">
        <v>3545</v>
      </c>
      <c r="M884" t="s">
        <v>3546</v>
      </c>
      <c r="N884" t="s">
        <v>3547</v>
      </c>
      <c r="O884" t="s">
        <v>3548</v>
      </c>
    </row>
    <row r="885" spans="11:15" hidden="1" x14ac:dyDescent="0.2">
      <c r="K885" t="s">
        <v>1126</v>
      </c>
      <c r="L885" t="s">
        <v>3549</v>
      </c>
      <c r="M885" t="s">
        <v>3550</v>
      </c>
      <c r="N885" t="s">
        <v>3551</v>
      </c>
      <c r="O885" t="s">
        <v>3552</v>
      </c>
    </row>
    <row r="886" spans="11:15" hidden="1" x14ac:dyDescent="0.2">
      <c r="K886" t="s">
        <v>1126</v>
      </c>
      <c r="L886" t="s">
        <v>3553</v>
      </c>
      <c r="M886" t="s">
        <v>3554</v>
      </c>
      <c r="N886" t="s">
        <v>3555</v>
      </c>
      <c r="O886" t="s">
        <v>3556</v>
      </c>
    </row>
    <row r="887" spans="11:15" hidden="1" x14ac:dyDescent="0.2">
      <c r="K887" t="s">
        <v>1126</v>
      </c>
      <c r="L887" t="s">
        <v>3557</v>
      </c>
      <c r="M887" t="s">
        <v>3558</v>
      </c>
      <c r="N887" t="s">
        <v>3559</v>
      </c>
      <c r="O887" t="s">
        <v>3560</v>
      </c>
    </row>
    <row r="888" spans="11:15" hidden="1" x14ac:dyDescent="0.2">
      <c r="K888" t="s">
        <v>1126</v>
      </c>
      <c r="L888" t="s">
        <v>3561</v>
      </c>
      <c r="M888" t="s">
        <v>3562</v>
      </c>
      <c r="N888" t="s">
        <v>3563</v>
      </c>
      <c r="O888" t="s">
        <v>3564</v>
      </c>
    </row>
    <row r="889" spans="11:15" hidden="1" x14ac:dyDescent="0.2">
      <c r="K889" t="s">
        <v>1126</v>
      </c>
      <c r="L889" t="s">
        <v>3565</v>
      </c>
      <c r="M889" t="s">
        <v>3566</v>
      </c>
      <c r="N889" t="s">
        <v>3567</v>
      </c>
      <c r="O889" t="s">
        <v>3568</v>
      </c>
    </row>
    <row r="890" spans="11:15" hidden="1" x14ac:dyDescent="0.2">
      <c r="K890" t="s">
        <v>1126</v>
      </c>
      <c r="L890" t="s">
        <v>3569</v>
      </c>
      <c r="M890" t="s">
        <v>3570</v>
      </c>
      <c r="N890" t="s">
        <v>3571</v>
      </c>
      <c r="O890" t="s">
        <v>3572</v>
      </c>
    </row>
    <row r="891" spans="11:15" hidden="1" x14ac:dyDescent="0.2">
      <c r="K891" t="s">
        <v>1126</v>
      </c>
      <c r="L891" t="s">
        <v>3573</v>
      </c>
      <c r="M891" t="s">
        <v>3574</v>
      </c>
      <c r="N891" t="s">
        <v>3575</v>
      </c>
      <c r="O891" t="s">
        <v>3576</v>
      </c>
    </row>
    <row r="892" spans="11:15" hidden="1" x14ac:dyDescent="0.2">
      <c r="K892" t="s">
        <v>1126</v>
      </c>
      <c r="L892" t="s">
        <v>3577</v>
      </c>
      <c r="M892" t="s">
        <v>3578</v>
      </c>
      <c r="N892" t="s">
        <v>3579</v>
      </c>
      <c r="O892" t="s">
        <v>3580</v>
      </c>
    </row>
    <row r="893" spans="11:15" hidden="1" x14ac:dyDescent="0.2">
      <c r="K893" t="s">
        <v>1126</v>
      </c>
      <c r="L893" t="s">
        <v>3581</v>
      </c>
      <c r="M893" t="s">
        <v>3582</v>
      </c>
      <c r="N893" t="s">
        <v>3583</v>
      </c>
      <c r="O893" t="s">
        <v>3584</v>
      </c>
    </row>
    <row r="894" spans="11:15" hidden="1" x14ac:dyDescent="0.2">
      <c r="K894" t="s">
        <v>1126</v>
      </c>
      <c r="L894" t="s">
        <v>3585</v>
      </c>
      <c r="M894" t="s">
        <v>3586</v>
      </c>
      <c r="N894" t="s">
        <v>3587</v>
      </c>
      <c r="O894" t="s">
        <v>3588</v>
      </c>
    </row>
    <row r="895" spans="11:15" hidden="1" x14ac:dyDescent="0.2">
      <c r="K895" t="s">
        <v>1126</v>
      </c>
      <c r="L895" t="s">
        <v>3589</v>
      </c>
      <c r="M895" t="s">
        <v>3590</v>
      </c>
      <c r="N895" t="s">
        <v>3591</v>
      </c>
      <c r="O895" t="s">
        <v>3592</v>
      </c>
    </row>
    <row r="896" spans="11:15" hidden="1" x14ac:dyDescent="0.2">
      <c r="K896" t="s">
        <v>1126</v>
      </c>
      <c r="L896" t="s">
        <v>3593</v>
      </c>
      <c r="M896" t="s">
        <v>3594</v>
      </c>
      <c r="N896" t="s">
        <v>3595</v>
      </c>
      <c r="O896" t="s">
        <v>3596</v>
      </c>
    </row>
    <row r="897" spans="11:15" hidden="1" x14ac:dyDescent="0.2">
      <c r="K897" t="s">
        <v>1126</v>
      </c>
      <c r="L897" t="s">
        <v>3597</v>
      </c>
      <c r="M897" t="s">
        <v>3598</v>
      </c>
      <c r="N897" t="s">
        <v>3599</v>
      </c>
      <c r="O897" t="s">
        <v>3600</v>
      </c>
    </row>
    <row r="898" spans="11:15" hidden="1" x14ac:dyDescent="0.2">
      <c r="K898" t="s">
        <v>1126</v>
      </c>
      <c r="L898" t="s">
        <v>3601</v>
      </c>
      <c r="M898" t="s">
        <v>3602</v>
      </c>
      <c r="N898" t="s">
        <v>3603</v>
      </c>
      <c r="O898" t="s">
        <v>3604</v>
      </c>
    </row>
    <row r="899" spans="11:15" hidden="1" x14ac:dyDescent="0.2">
      <c r="K899" t="s">
        <v>1126</v>
      </c>
      <c r="L899" t="s">
        <v>3605</v>
      </c>
      <c r="M899" t="s">
        <v>3606</v>
      </c>
      <c r="N899" t="s">
        <v>3607</v>
      </c>
      <c r="O899" t="s">
        <v>3608</v>
      </c>
    </row>
    <row r="900" spans="11:15" hidden="1" x14ac:dyDescent="0.2">
      <c r="K900" t="s">
        <v>1126</v>
      </c>
      <c r="L900" t="s">
        <v>3605</v>
      </c>
      <c r="M900" t="s">
        <v>3609</v>
      </c>
      <c r="N900" t="s">
        <v>3610</v>
      </c>
      <c r="O900" t="s">
        <v>3611</v>
      </c>
    </row>
    <row r="901" spans="11:15" hidden="1" x14ac:dyDescent="0.2">
      <c r="K901" t="s">
        <v>1126</v>
      </c>
      <c r="L901" t="s">
        <v>3612</v>
      </c>
      <c r="M901" t="s">
        <v>3613</v>
      </c>
      <c r="N901" t="s">
        <v>3614</v>
      </c>
      <c r="O901" t="s">
        <v>3615</v>
      </c>
    </row>
    <row r="902" spans="11:15" hidden="1" x14ac:dyDescent="0.2">
      <c r="K902" t="s">
        <v>1126</v>
      </c>
      <c r="L902" t="s">
        <v>3616</v>
      </c>
      <c r="M902" t="s">
        <v>3617</v>
      </c>
      <c r="N902" t="s">
        <v>3618</v>
      </c>
      <c r="O902" t="s">
        <v>3619</v>
      </c>
    </row>
    <row r="903" spans="11:15" hidden="1" x14ac:dyDescent="0.2">
      <c r="K903" t="s">
        <v>1126</v>
      </c>
      <c r="L903" t="s">
        <v>3620</v>
      </c>
      <c r="M903" t="s">
        <v>3621</v>
      </c>
      <c r="N903" t="s">
        <v>3622</v>
      </c>
      <c r="O903" t="s">
        <v>3623</v>
      </c>
    </row>
    <row r="904" spans="11:15" hidden="1" x14ac:dyDescent="0.2">
      <c r="K904" t="s">
        <v>1126</v>
      </c>
      <c r="L904" t="s">
        <v>3624</v>
      </c>
      <c r="M904" t="s">
        <v>3625</v>
      </c>
      <c r="N904" t="s">
        <v>3626</v>
      </c>
      <c r="O904" t="s">
        <v>3627</v>
      </c>
    </row>
    <row r="905" spans="11:15" hidden="1" x14ac:dyDescent="0.2">
      <c r="K905" t="s">
        <v>1126</v>
      </c>
      <c r="L905" t="s">
        <v>3628</v>
      </c>
      <c r="M905" t="s">
        <v>3629</v>
      </c>
      <c r="N905" t="s">
        <v>3630</v>
      </c>
      <c r="O905" t="s">
        <v>3631</v>
      </c>
    </row>
    <row r="906" spans="11:15" hidden="1" x14ac:dyDescent="0.2">
      <c r="K906" t="s">
        <v>1126</v>
      </c>
      <c r="L906" t="s">
        <v>3632</v>
      </c>
      <c r="M906" t="s">
        <v>3633</v>
      </c>
      <c r="N906" t="s">
        <v>3634</v>
      </c>
      <c r="O906" t="s">
        <v>3635</v>
      </c>
    </row>
    <row r="907" spans="11:15" hidden="1" x14ac:dyDescent="0.2">
      <c r="K907" t="s">
        <v>1126</v>
      </c>
      <c r="L907" t="s">
        <v>3636</v>
      </c>
      <c r="M907" t="s">
        <v>3637</v>
      </c>
      <c r="N907" t="s">
        <v>3638</v>
      </c>
      <c r="O907" t="s">
        <v>3639</v>
      </c>
    </row>
    <row r="908" spans="11:15" hidden="1" x14ac:dyDescent="0.2">
      <c r="K908" t="s">
        <v>1126</v>
      </c>
      <c r="L908" t="s">
        <v>3640</v>
      </c>
      <c r="M908" t="s">
        <v>3641</v>
      </c>
      <c r="N908" t="s">
        <v>3642</v>
      </c>
      <c r="O908" t="s">
        <v>3643</v>
      </c>
    </row>
    <row r="909" spans="11:15" hidden="1" x14ac:dyDescent="0.2">
      <c r="K909" t="s">
        <v>1126</v>
      </c>
      <c r="L909" t="s">
        <v>3644</v>
      </c>
      <c r="M909" t="s">
        <v>3645</v>
      </c>
      <c r="N909" t="s">
        <v>3646</v>
      </c>
      <c r="O909" t="s">
        <v>3647</v>
      </c>
    </row>
    <row r="910" spans="11:15" hidden="1" x14ac:dyDescent="0.2"/>
    <row r="911" spans="11:15" hidden="1" x14ac:dyDescent="0.2"/>
    <row r="912" spans="11:15"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56" hidden="1" x14ac:dyDescent="0.2"/>
    <row r="1257" hidden="1" x14ac:dyDescent="0.2"/>
    <row r="1258" hidden="1" x14ac:dyDescent="0.2"/>
    <row r="1259" hidden="1" x14ac:dyDescent="0.2"/>
    <row r="1260" hidden="1" x14ac:dyDescent="0.2"/>
    <row r="1261" hidden="1" x14ac:dyDescent="0.2"/>
    <row r="1262" hidden="1" x14ac:dyDescent="0.2"/>
    <row r="1263" hidden="1" x14ac:dyDescent="0.2"/>
    <row r="1264" hidden="1" x14ac:dyDescent="0.2"/>
    <row r="1265" hidden="1" x14ac:dyDescent="0.2"/>
    <row r="1266" hidden="1" x14ac:dyDescent="0.2"/>
    <row r="1267" hidden="1" x14ac:dyDescent="0.2"/>
    <row r="1268" hidden="1" x14ac:dyDescent="0.2"/>
    <row r="1269" hidden="1" x14ac:dyDescent="0.2"/>
    <row r="1270" hidden="1" x14ac:dyDescent="0.2"/>
    <row r="1271" hidden="1" x14ac:dyDescent="0.2"/>
    <row r="1272" hidden="1" x14ac:dyDescent="0.2"/>
    <row r="1273" hidden="1" x14ac:dyDescent="0.2"/>
    <row r="1274" hidden="1" x14ac:dyDescent="0.2"/>
    <row r="1275" hidden="1" x14ac:dyDescent="0.2"/>
    <row r="1276" hidden="1" x14ac:dyDescent="0.2"/>
    <row r="1277" hidden="1" x14ac:dyDescent="0.2"/>
    <row r="1278" hidden="1" x14ac:dyDescent="0.2"/>
    <row r="1279" hidden="1" x14ac:dyDescent="0.2"/>
    <row r="1280" hidden="1" x14ac:dyDescent="0.2"/>
    <row r="1281" hidden="1" x14ac:dyDescent="0.2"/>
    <row r="1282" hidden="1" x14ac:dyDescent="0.2"/>
    <row r="1283" hidden="1" x14ac:dyDescent="0.2"/>
    <row r="1284" hidden="1" x14ac:dyDescent="0.2"/>
    <row r="1285" hidden="1" x14ac:dyDescent="0.2"/>
    <row r="1286" hidden="1" x14ac:dyDescent="0.2"/>
    <row r="1287" hidden="1" x14ac:dyDescent="0.2"/>
    <row r="1288" hidden="1" x14ac:dyDescent="0.2"/>
    <row r="1289" hidden="1" x14ac:dyDescent="0.2"/>
    <row r="1290" hidden="1" x14ac:dyDescent="0.2"/>
    <row r="1291" hidden="1" x14ac:dyDescent="0.2"/>
    <row r="1292" hidden="1" x14ac:dyDescent="0.2"/>
    <row r="1293" hidden="1" x14ac:dyDescent="0.2"/>
    <row r="1294" hidden="1" x14ac:dyDescent="0.2"/>
    <row r="1295" hidden="1" x14ac:dyDescent="0.2"/>
    <row r="1296" hidden="1" x14ac:dyDescent="0.2"/>
    <row r="1297" hidden="1" x14ac:dyDescent="0.2"/>
    <row r="1298" hidden="1" x14ac:dyDescent="0.2"/>
    <row r="1299" hidden="1" x14ac:dyDescent="0.2"/>
    <row r="1300" hidden="1" x14ac:dyDescent="0.2"/>
    <row r="1301" hidden="1" x14ac:dyDescent="0.2"/>
    <row r="1302" hidden="1" x14ac:dyDescent="0.2"/>
    <row r="1303" hidden="1" x14ac:dyDescent="0.2"/>
    <row r="1304" hidden="1" x14ac:dyDescent="0.2"/>
    <row r="1305" hidden="1" x14ac:dyDescent="0.2"/>
    <row r="1306" hidden="1" x14ac:dyDescent="0.2"/>
    <row r="1307" hidden="1" x14ac:dyDescent="0.2"/>
    <row r="1308" hidden="1" x14ac:dyDescent="0.2"/>
    <row r="1309" hidden="1" x14ac:dyDescent="0.2"/>
    <row r="1310" hidden="1" x14ac:dyDescent="0.2"/>
    <row r="1311" hidden="1" x14ac:dyDescent="0.2"/>
    <row r="1312" hidden="1" x14ac:dyDescent="0.2"/>
    <row r="1313" hidden="1" x14ac:dyDescent="0.2"/>
    <row r="1314" hidden="1" x14ac:dyDescent="0.2"/>
    <row r="1315" hidden="1" x14ac:dyDescent="0.2"/>
    <row r="1316" hidden="1" x14ac:dyDescent="0.2"/>
    <row r="1317" hidden="1" x14ac:dyDescent="0.2"/>
    <row r="1318" hidden="1" x14ac:dyDescent="0.2"/>
    <row r="1319" hidden="1" x14ac:dyDescent="0.2"/>
    <row r="1320" hidden="1" x14ac:dyDescent="0.2"/>
    <row r="1321" hidden="1" x14ac:dyDescent="0.2"/>
    <row r="1322" hidden="1" x14ac:dyDescent="0.2"/>
    <row r="1323" hidden="1" x14ac:dyDescent="0.2"/>
    <row r="1324" hidden="1" x14ac:dyDescent="0.2"/>
    <row r="1325" hidden="1" x14ac:dyDescent="0.2"/>
    <row r="1326" hidden="1" x14ac:dyDescent="0.2"/>
    <row r="1327" hidden="1" x14ac:dyDescent="0.2"/>
    <row r="1328" hidden="1" x14ac:dyDescent="0.2"/>
    <row r="1329" hidden="1" x14ac:dyDescent="0.2"/>
    <row r="1330" hidden="1" x14ac:dyDescent="0.2"/>
    <row r="1331" hidden="1" x14ac:dyDescent="0.2"/>
    <row r="1332" hidden="1" x14ac:dyDescent="0.2"/>
    <row r="1333" hidden="1" x14ac:dyDescent="0.2"/>
    <row r="1334" hidden="1" x14ac:dyDescent="0.2"/>
    <row r="1335" hidden="1" x14ac:dyDescent="0.2"/>
    <row r="1336" hidden="1" x14ac:dyDescent="0.2"/>
    <row r="1337" hidden="1" x14ac:dyDescent="0.2"/>
    <row r="1338" hidden="1" x14ac:dyDescent="0.2"/>
    <row r="1339" hidden="1" x14ac:dyDescent="0.2"/>
    <row r="1340" hidden="1" x14ac:dyDescent="0.2"/>
    <row r="1341" hidden="1" x14ac:dyDescent="0.2"/>
    <row r="1342" hidden="1" x14ac:dyDescent="0.2"/>
    <row r="1343" hidden="1" x14ac:dyDescent="0.2"/>
    <row r="1344" hidden="1" x14ac:dyDescent="0.2"/>
    <row r="1345" hidden="1" x14ac:dyDescent="0.2"/>
    <row r="1346" hidden="1" x14ac:dyDescent="0.2"/>
    <row r="1347" hidden="1" x14ac:dyDescent="0.2"/>
    <row r="1348" hidden="1" x14ac:dyDescent="0.2"/>
    <row r="1349" hidden="1" x14ac:dyDescent="0.2"/>
    <row r="1350" hidden="1" x14ac:dyDescent="0.2"/>
    <row r="1351" hidden="1" x14ac:dyDescent="0.2"/>
    <row r="1352" hidden="1" x14ac:dyDescent="0.2"/>
    <row r="1353" hidden="1" x14ac:dyDescent="0.2"/>
    <row r="1354" hidden="1" x14ac:dyDescent="0.2"/>
    <row r="1355" hidden="1" x14ac:dyDescent="0.2"/>
    <row r="1356" hidden="1" x14ac:dyDescent="0.2"/>
    <row r="1357" hidden="1" x14ac:dyDescent="0.2"/>
    <row r="1358" hidden="1" x14ac:dyDescent="0.2"/>
    <row r="1359" hidden="1" x14ac:dyDescent="0.2"/>
    <row r="1360" hidden="1" x14ac:dyDescent="0.2"/>
    <row r="1361" hidden="1" x14ac:dyDescent="0.2"/>
    <row r="1362" hidden="1" x14ac:dyDescent="0.2"/>
    <row r="1363" hidden="1" x14ac:dyDescent="0.2"/>
    <row r="1364" hidden="1" x14ac:dyDescent="0.2"/>
    <row r="1365" hidden="1" x14ac:dyDescent="0.2"/>
    <row r="1366" hidden="1" x14ac:dyDescent="0.2"/>
    <row r="1367" hidden="1" x14ac:dyDescent="0.2"/>
    <row r="1368" hidden="1" x14ac:dyDescent="0.2"/>
    <row r="1369" hidden="1" x14ac:dyDescent="0.2"/>
    <row r="1370" hidden="1" x14ac:dyDescent="0.2"/>
    <row r="1371" hidden="1" x14ac:dyDescent="0.2"/>
    <row r="1372" hidden="1" x14ac:dyDescent="0.2"/>
    <row r="1373" hidden="1" x14ac:dyDescent="0.2"/>
    <row r="1374" hidden="1" x14ac:dyDescent="0.2"/>
    <row r="1375" hidden="1" x14ac:dyDescent="0.2"/>
    <row r="1376" hidden="1" x14ac:dyDescent="0.2"/>
    <row r="1377" hidden="1" x14ac:dyDescent="0.2"/>
    <row r="1378" hidden="1" x14ac:dyDescent="0.2"/>
    <row r="1379" hidden="1" x14ac:dyDescent="0.2"/>
    <row r="1380" hidden="1" x14ac:dyDescent="0.2"/>
    <row r="1381" hidden="1" x14ac:dyDescent="0.2"/>
    <row r="1382" hidden="1" x14ac:dyDescent="0.2"/>
    <row r="1383" hidden="1" x14ac:dyDescent="0.2"/>
    <row r="1384" hidden="1" x14ac:dyDescent="0.2"/>
    <row r="1385" hidden="1" x14ac:dyDescent="0.2"/>
    <row r="1386" hidden="1" x14ac:dyDescent="0.2"/>
    <row r="1387" hidden="1" x14ac:dyDescent="0.2"/>
    <row r="1388" hidden="1" x14ac:dyDescent="0.2"/>
    <row r="1389" hidden="1" x14ac:dyDescent="0.2"/>
    <row r="1390" hidden="1" x14ac:dyDescent="0.2"/>
    <row r="1391" hidden="1" x14ac:dyDescent="0.2"/>
    <row r="1392" hidden="1" x14ac:dyDescent="0.2"/>
    <row r="1393" hidden="1" x14ac:dyDescent="0.2"/>
    <row r="1394" hidden="1" x14ac:dyDescent="0.2"/>
    <row r="1395" hidden="1" x14ac:dyDescent="0.2"/>
    <row r="1396" hidden="1" x14ac:dyDescent="0.2"/>
    <row r="1397" hidden="1" x14ac:dyDescent="0.2"/>
    <row r="1398" hidden="1" x14ac:dyDescent="0.2"/>
    <row r="1399" hidden="1" x14ac:dyDescent="0.2"/>
    <row r="1400" hidden="1" x14ac:dyDescent="0.2"/>
    <row r="1401" hidden="1" x14ac:dyDescent="0.2"/>
    <row r="1402" hidden="1" x14ac:dyDescent="0.2"/>
    <row r="1403" hidden="1" x14ac:dyDescent="0.2"/>
    <row r="1404" hidden="1" x14ac:dyDescent="0.2"/>
    <row r="1405" hidden="1" x14ac:dyDescent="0.2"/>
    <row r="1406" hidden="1" x14ac:dyDescent="0.2"/>
    <row r="1407" hidden="1" x14ac:dyDescent="0.2"/>
    <row r="1408" hidden="1" x14ac:dyDescent="0.2"/>
    <row r="1409" hidden="1" x14ac:dyDescent="0.2"/>
    <row r="1410" hidden="1" x14ac:dyDescent="0.2"/>
    <row r="1411" hidden="1" x14ac:dyDescent="0.2"/>
    <row r="1412" hidden="1" x14ac:dyDescent="0.2"/>
    <row r="1413" hidden="1" x14ac:dyDescent="0.2"/>
    <row r="1414" hidden="1" x14ac:dyDescent="0.2"/>
    <row r="1415" hidden="1" x14ac:dyDescent="0.2"/>
    <row r="1416" hidden="1" x14ac:dyDescent="0.2"/>
    <row r="1417" hidden="1" x14ac:dyDescent="0.2"/>
    <row r="1418" hidden="1" x14ac:dyDescent="0.2"/>
    <row r="1419" hidden="1" x14ac:dyDescent="0.2"/>
    <row r="1420" hidden="1" x14ac:dyDescent="0.2"/>
    <row r="1421" hidden="1" x14ac:dyDescent="0.2"/>
    <row r="1422" hidden="1" x14ac:dyDescent="0.2"/>
    <row r="1423" hidden="1" x14ac:dyDescent="0.2"/>
    <row r="1424" hidden="1" x14ac:dyDescent="0.2"/>
    <row r="1425" hidden="1" x14ac:dyDescent="0.2"/>
    <row r="1426" hidden="1" x14ac:dyDescent="0.2"/>
    <row r="1427" hidden="1" x14ac:dyDescent="0.2"/>
    <row r="1428" hidden="1" x14ac:dyDescent="0.2"/>
    <row r="1429" hidden="1" x14ac:dyDescent="0.2"/>
    <row r="1430" hidden="1" x14ac:dyDescent="0.2"/>
    <row r="1431" hidden="1" x14ac:dyDescent="0.2"/>
    <row r="1432" hidden="1" x14ac:dyDescent="0.2"/>
    <row r="1433" hidden="1" x14ac:dyDescent="0.2"/>
    <row r="1434" hidden="1" x14ac:dyDescent="0.2"/>
    <row r="1435" hidden="1" x14ac:dyDescent="0.2"/>
    <row r="1436" hidden="1" x14ac:dyDescent="0.2"/>
    <row r="1437" hidden="1" x14ac:dyDescent="0.2"/>
    <row r="1438" hidden="1" x14ac:dyDescent="0.2"/>
    <row r="1439" hidden="1" x14ac:dyDescent="0.2"/>
    <row r="1440" hidden="1" x14ac:dyDescent="0.2"/>
    <row r="1441" hidden="1" x14ac:dyDescent="0.2"/>
    <row r="1442" hidden="1" x14ac:dyDescent="0.2"/>
    <row r="1443" hidden="1" x14ac:dyDescent="0.2"/>
    <row r="1444" hidden="1" x14ac:dyDescent="0.2"/>
    <row r="1445" hidden="1" x14ac:dyDescent="0.2"/>
    <row r="1446" hidden="1" x14ac:dyDescent="0.2"/>
    <row r="1447" hidden="1" x14ac:dyDescent="0.2"/>
    <row r="1448" hidden="1" x14ac:dyDescent="0.2"/>
    <row r="1449" hidden="1" x14ac:dyDescent="0.2"/>
    <row r="1450" hidden="1" x14ac:dyDescent="0.2"/>
    <row r="1451" hidden="1" x14ac:dyDescent="0.2"/>
    <row r="1452" hidden="1" x14ac:dyDescent="0.2"/>
    <row r="1453" hidden="1" x14ac:dyDescent="0.2"/>
    <row r="1454" hidden="1" x14ac:dyDescent="0.2"/>
    <row r="1455" hidden="1" x14ac:dyDescent="0.2"/>
    <row r="1456" hidden="1" x14ac:dyDescent="0.2"/>
    <row r="1457" hidden="1" x14ac:dyDescent="0.2"/>
    <row r="1458" hidden="1" x14ac:dyDescent="0.2"/>
    <row r="1459" hidden="1" x14ac:dyDescent="0.2"/>
    <row r="1460" hidden="1" x14ac:dyDescent="0.2"/>
    <row r="1461" hidden="1" x14ac:dyDescent="0.2"/>
    <row r="1462" hidden="1" x14ac:dyDescent="0.2"/>
    <row r="1463" hidden="1" x14ac:dyDescent="0.2"/>
    <row r="1464" hidden="1" x14ac:dyDescent="0.2"/>
    <row r="1465" hidden="1" x14ac:dyDescent="0.2"/>
    <row r="1466" hidden="1" x14ac:dyDescent="0.2"/>
    <row r="1467" hidden="1" x14ac:dyDescent="0.2"/>
    <row r="1468" hidden="1" x14ac:dyDescent="0.2"/>
    <row r="1469" hidden="1" x14ac:dyDescent="0.2"/>
    <row r="1470" hidden="1" x14ac:dyDescent="0.2"/>
    <row r="1471" hidden="1" x14ac:dyDescent="0.2"/>
    <row r="1472" hidden="1" x14ac:dyDescent="0.2"/>
    <row r="1473" hidden="1" x14ac:dyDescent="0.2"/>
    <row r="1474" hidden="1" x14ac:dyDescent="0.2"/>
    <row r="1475" hidden="1" x14ac:dyDescent="0.2"/>
    <row r="1476" hidden="1" x14ac:dyDescent="0.2"/>
    <row r="1477" hidden="1" x14ac:dyDescent="0.2"/>
    <row r="1478" hidden="1" x14ac:dyDescent="0.2"/>
    <row r="1479" hidden="1" x14ac:dyDescent="0.2"/>
    <row r="1480" hidden="1" x14ac:dyDescent="0.2"/>
    <row r="1481" hidden="1" x14ac:dyDescent="0.2"/>
    <row r="1482" hidden="1" x14ac:dyDescent="0.2"/>
    <row r="1483" hidden="1" x14ac:dyDescent="0.2"/>
    <row r="1484" hidden="1" x14ac:dyDescent="0.2"/>
    <row r="1485" hidden="1" x14ac:dyDescent="0.2"/>
    <row r="1486" hidden="1" x14ac:dyDescent="0.2"/>
    <row r="1487" hidden="1" x14ac:dyDescent="0.2"/>
    <row r="1488" hidden="1" x14ac:dyDescent="0.2"/>
    <row r="1489" hidden="1" x14ac:dyDescent="0.2"/>
    <row r="1490" hidden="1" x14ac:dyDescent="0.2"/>
    <row r="1491" hidden="1" x14ac:dyDescent="0.2"/>
    <row r="1492" hidden="1" x14ac:dyDescent="0.2"/>
    <row r="1493" hidden="1" x14ac:dyDescent="0.2"/>
    <row r="1494" hidden="1" x14ac:dyDescent="0.2"/>
    <row r="1495" hidden="1" x14ac:dyDescent="0.2"/>
    <row r="1496" hidden="1" x14ac:dyDescent="0.2"/>
    <row r="1497" hidden="1" x14ac:dyDescent="0.2"/>
    <row r="1498" hidden="1" x14ac:dyDescent="0.2"/>
    <row r="1499" hidden="1" x14ac:dyDescent="0.2"/>
    <row r="1500" hidden="1" x14ac:dyDescent="0.2"/>
    <row r="1501" hidden="1" x14ac:dyDescent="0.2"/>
    <row r="1502" hidden="1" x14ac:dyDescent="0.2"/>
  </sheetData>
  <sheetProtection algorithmName="SHA-512" hashValue="APbOaS4EkguhH5zDsBPfuuYVLbl6ij9pSPxz0hkECo+2JrcucHTd2/BeOHbOWNFmxNfX+OIYH2/icKfh3vH5Pw==" saltValue="Vk0uD/Ti4HY73HQuaHmvig==" spinCount="100000" sheet="1" objects="1" scenarios="1"/>
  <mergeCells count="655">
    <mergeCell ref="X81:Y81"/>
    <mergeCell ref="X82:Y82"/>
    <mergeCell ref="X83:Y83"/>
    <mergeCell ref="X84:Y84"/>
    <mergeCell ref="X85:Y85"/>
    <mergeCell ref="X86:Y86"/>
    <mergeCell ref="X68:Y68"/>
    <mergeCell ref="X69:Y69"/>
    <mergeCell ref="X77:Y77"/>
    <mergeCell ref="X78:Y78"/>
    <mergeCell ref="X79:Y79"/>
    <mergeCell ref="X80:Y80"/>
    <mergeCell ref="X62:Y62"/>
    <mergeCell ref="X63:Y63"/>
    <mergeCell ref="X64:Y64"/>
    <mergeCell ref="X65:Y65"/>
    <mergeCell ref="X66:Y66"/>
    <mergeCell ref="X67:Y67"/>
    <mergeCell ref="X47:Y47"/>
    <mergeCell ref="X48:Y48"/>
    <mergeCell ref="X49:Y49"/>
    <mergeCell ref="X50:Y50"/>
    <mergeCell ref="X58:Y58"/>
    <mergeCell ref="X59:Y59"/>
    <mergeCell ref="X41:Y41"/>
    <mergeCell ref="X42:Y42"/>
    <mergeCell ref="X43:Y43"/>
    <mergeCell ref="X44:Y44"/>
    <mergeCell ref="X45:Y45"/>
    <mergeCell ref="X46:Y46"/>
    <mergeCell ref="BF97:BQ97"/>
    <mergeCell ref="BF128:BQ128"/>
    <mergeCell ref="BF147:BQ147"/>
    <mergeCell ref="AR39:AS39"/>
    <mergeCell ref="AR46:AS46"/>
    <mergeCell ref="AR58:AS58"/>
    <mergeCell ref="AR65:AS65"/>
    <mergeCell ref="BI130:BQ131"/>
    <mergeCell ref="BI133:BQ134"/>
    <mergeCell ref="BI136:BQ137"/>
    <mergeCell ref="T117:T118"/>
    <mergeCell ref="T120:T121"/>
    <mergeCell ref="AR77:AS77"/>
    <mergeCell ref="AR84:AS84"/>
    <mergeCell ref="AP120:AR121"/>
    <mergeCell ref="V121:W121"/>
    <mergeCell ref="AA121:AB121"/>
    <mergeCell ref="AD121:AE121"/>
    <mergeCell ref="AJ120:AJ121"/>
    <mergeCell ref="AK120:AK121"/>
    <mergeCell ref="BI149:BQ150"/>
    <mergeCell ref="BI152:BQ153"/>
    <mergeCell ref="BI155:BQ156"/>
    <mergeCell ref="T99:T100"/>
    <mergeCell ref="T102:T103"/>
    <mergeCell ref="T105:T106"/>
    <mergeCell ref="T108:T109"/>
    <mergeCell ref="T130:T131"/>
    <mergeCell ref="T111:T112"/>
    <mergeCell ref="T114:T115"/>
    <mergeCell ref="BI99:BQ100"/>
    <mergeCell ref="BI102:BQ103"/>
    <mergeCell ref="BI105:BQ106"/>
    <mergeCell ref="BI108:BQ109"/>
    <mergeCell ref="BI139:BQ140"/>
    <mergeCell ref="BI111:BQ112"/>
    <mergeCell ref="BI114:BQ115"/>
    <mergeCell ref="BI117:BQ118"/>
    <mergeCell ref="BI120:BQ121"/>
    <mergeCell ref="BF152:BF153"/>
    <mergeCell ref="BG152:BG153"/>
    <mergeCell ref="BH152:BH153"/>
    <mergeCell ref="BF155:BF156"/>
    <mergeCell ref="BG155:BG156"/>
    <mergeCell ref="BH155:BH156"/>
    <mergeCell ref="BF139:BF140"/>
    <mergeCell ref="BG139:BG140"/>
    <mergeCell ref="BH139:BH140"/>
    <mergeCell ref="BF149:BF150"/>
    <mergeCell ref="BG149:BG150"/>
    <mergeCell ref="BH149:BH150"/>
    <mergeCell ref="BF133:BF134"/>
    <mergeCell ref="BG133:BG134"/>
    <mergeCell ref="BH133:BH134"/>
    <mergeCell ref="BF136:BF137"/>
    <mergeCell ref="BG136:BG137"/>
    <mergeCell ref="BH136:BH137"/>
    <mergeCell ref="BH114:BH115"/>
    <mergeCell ref="BH117:BH118"/>
    <mergeCell ref="BF120:BF121"/>
    <mergeCell ref="BG120:BG121"/>
    <mergeCell ref="BH120:BH121"/>
    <mergeCell ref="BF130:BF131"/>
    <mergeCell ref="BG130:BG131"/>
    <mergeCell ref="BH130:BH131"/>
    <mergeCell ref="T133:T134"/>
    <mergeCell ref="T136:T137"/>
    <mergeCell ref="T139:T140"/>
    <mergeCell ref="T149:T150"/>
    <mergeCell ref="AO276:AV276"/>
    <mergeCell ref="AO273:AV273"/>
    <mergeCell ref="AO274:AV274"/>
    <mergeCell ref="AO278:AV278"/>
    <mergeCell ref="AO275:AV275"/>
    <mergeCell ref="T152:T153"/>
    <mergeCell ref="T155:T156"/>
    <mergeCell ref="AO272:AV272"/>
    <mergeCell ref="AO187:AV190"/>
    <mergeCell ref="Y266:AD266"/>
    <mergeCell ref="AO266:AV266"/>
    <mergeCell ref="AO271:AV271"/>
    <mergeCell ref="AO277:AV277"/>
    <mergeCell ref="AO265:AV265"/>
    <mergeCell ref="BF105:BF106"/>
    <mergeCell ref="BG105:BG106"/>
    <mergeCell ref="BF108:BF109"/>
    <mergeCell ref="BG108:BG109"/>
    <mergeCell ref="BF111:BF112"/>
    <mergeCell ref="BG111:BG112"/>
    <mergeCell ref="BF117:BF118"/>
    <mergeCell ref="BG117:BG118"/>
    <mergeCell ref="BF114:BF115"/>
    <mergeCell ref="Y264:AD264"/>
    <mergeCell ref="AO264:AV264"/>
    <mergeCell ref="Y269:AD269"/>
    <mergeCell ref="AO269:AV269"/>
    <mergeCell ref="AO270:AV270"/>
    <mergeCell ref="Y267:AD267"/>
    <mergeCell ref="AO267:AV267"/>
    <mergeCell ref="Y268:AD268"/>
    <mergeCell ref="AO268:AV268"/>
    <mergeCell ref="Y265:AD265"/>
    <mergeCell ref="Y261:AD261"/>
    <mergeCell ref="AO261:AV261"/>
    <mergeCell ref="Y262:AD262"/>
    <mergeCell ref="AO262:AV262"/>
    <mergeCell ref="Y263:AD263"/>
    <mergeCell ref="AO263:AV263"/>
    <mergeCell ref="Y258:AD258"/>
    <mergeCell ref="AO258:AV258"/>
    <mergeCell ref="Y259:AD259"/>
    <mergeCell ref="AO259:AV259"/>
    <mergeCell ref="Y260:AD260"/>
    <mergeCell ref="AO260:AV260"/>
    <mergeCell ref="Y255:AD255"/>
    <mergeCell ref="AO255:AV255"/>
    <mergeCell ref="Y256:AD256"/>
    <mergeCell ref="AO256:AV256"/>
    <mergeCell ref="Y257:AD257"/>
    <mergeCell ref="AO257:AV257"/>
    <mergeCell ref="Y252:AD252"/>
    <mergeCell ref="AO252:AV252"/>
    <mergeCell ref="Y253:AD253"/>
    <mergeCell ref="AO253:AV253"/>
    <mergeCell ref="Y254:AD254"/>
    <mergeCell ref="AO254:AV254"/>
    <mergeCell ref="Y249:AD249"/>
    <mergeCell ref="AO249:AV249"/>
    <mergeCell ref="Y250:AD250"/>
    <mergeCell ref="AO250:AV250"/>
    <mergeCell ref="Y251:AD251"/>
    <mergeCell ref="AO251:AV251"/>
    <mergeCell ref="Y246:AD246"/>
    <mergeCell ref="AO246:AV246"/>
    <mergeCell ref="Y247:AD247"/>
    <mergeCell ref="AO247:AV247"/>
    <mergeCell ref="Y248:AD248"/>
    <mergeCell ref="AO248:AV248"/>
    <mergeCell ref="Y243:AD243"/>
    <mergeCell ref="AO243:AV243"/>
    <mergeCell ref="Y244:AD244"/>
    <mergeCell ref="AO244:AV244"/>
    <mergeCell ref="Y245:AD245"/>
    <mergeCell ref="AO245:AV245"/>
    <mergeCell ref="Y240:AD240"/>
    <mergeCell ref="AO240:AV240"/>
    <mergeCell ref="Y241:AD241"/>
    <mergeCell ref="AO241:AV241"/>
    <mergeCell ref="Y242:AD242"/>
    <mergeCell ref="AO242:AV242"/>
    <mergeCell ref="Y237:AD237"/>
    <mergeCell ref="AO237:AV237"/>
    <mergeCell ref="Y238:AD238"/>
    <mergeCell ref="AO238:AV238"/>
    <mergeCell ref="Y239:AD239"/>
    <mergeCell ref="AO239:AV239"/>
    <mergeCell ref="Y234:AD234"/>
    <mergeCell ref="AO234:AV234"/>
    <mergeCell ref="Y235:AD235"/>
    <mergeCell ref="AO235:AV235"/>
    <mergeCell ref="Y236:AD236"/>
    <mergeCell ref="AO236:AV236"/>
    <mergeCell ref="Y231:AD231"/>
    <mergeCell ref="AO231:AV231"/>
    <mergeCell ref="Y232:AD232"/>
    <mergeCell ref="AO232:AV232"/>
    <mergeCell ref="Y233:AD233"/>
    <mergeCell ref="AO233:AV233"/>
    <mergeCell ref="Y228:AD228"/>
    <mergeCell ref="AO228:AV228"/>
    <mergeCell ref="Y229:AD229"/>
    <mergeCell ref="AO229:AV229"/>
    <mergeCell ref="Y230:AD230"/>
    <mergeCell ref="AO230:AV230"/>
    <mergeCell ref="Y225:AD225"/>
    <mergeCell ref="AO225:AV225"/>
    <mergeCell ref="Y226:AD226"/>
    <mergeCell ref="AO226:AV226"/>
    <mergeCell ref="Y227:AD227"/>
    <mergeCell ref="AO227:AV227"/>
    <mergeCell ref="Y222:AD222"/>
    <mergeCell ref="AO222:AV222"/>
    <mergeCell ref="Y223:AD223"/>
    <mergeCell ref="AO223:AV223"/>
    <mergeCell ref="Y224:AD224"/>
    <mergeCell ref="AO224:AV224"/>
    <mergeCell ref="Y220:AD220"/>
    <mergeCell ref="AO220:AV220"/>
    <mergeCell ref="Y219:AD219"/>
    <mergeCell ref="AO219:AV219"/>
    <mergeCell ref="Y221:AD221"/>
    <mergeCell ref="AO221:AV221"/>
    <mergeCell ref="AK152:AK153"/>
    <mergeCell ref="AP152:AR153"/>
    <mergeCell ref="U155:U156"/>
    <mergeCell ref="X155:Z156"/>
    <mergeCell ref="AA155:AB155"/>
    <mergeCell ref="AD155:AE155"/>
    <mergeCell ref="V156:W156"/>
    <mergeCell ref="AA156:AB156"/>
    <mergeCell ref="AD156:AE156"/>
    <mergeCell ref="U152:U153"/>
    <mergeCell ref="X152:Z153"/>
    <mergeCell ref="AA152:AB152"/>
    <mergeCell ref="AD152:AE152"/>
    <mergeCell ref="V153:W153"/>
    <mergeCell ref="AA153:AB153"/>
    <mergeCell ref="AD153:AE153"/>
    <mergeCell ref="AG139:AG140"/>
    <mergeCell ref="AH139:AH140"/>
    <mergeCell ref="U149:U150"/>
    <mergeCell ref="X149:Z150"/>
    <mergeCell ref="AA149:AB149"/>
    <mergeCell ref="AD149:AE149"/>
    <mergeCell ref="X147:Z147"/>
    <mergeCell ref="AA147:AE147"/>
    <mergeCell ref="AF147:AH147"/>
    <mergeCell ref="AP147:AR147"/>
    <mergeCell ref="AI139:AI140"/>
    <mergeCell ref="AJ136:AJ137"/>
    <mergeCell ref="AK136:AK137"/>
    <mergeCell ref="AP136:AR137"/>
    <mergeCell ref="AJ139:AJ140"/>
    <mergeCell ref="AK139:AK140"/>
    <mergeCell ref="AP139:AR140"/>
    <mergeCell ref="AH136:AH137"/>
    <mergeCell ref="AI136:AI137"/>
    <mergeCell ref="U139:U140"/>
    <mergeCell ref="X139:Z140"/>
    <mergeCell ref="AA139:AB139"/>
    <mergeCell ref="AD139:AE139"/>
    <mergeCell ref="V140:W140"/>
    <mergeCell ref="AA140:AB140"/>
    <mergeCell ref="AD140:AE140"/>
    <mergeCell ref="AF139:AF140"/>
    <mergeCell ref="AD136:AE136"/>
    <mergeCell ref="V137:W137"/>
    <mergeCell ref="AA137:AB137"/>
    <mergeCell ref="AD137:AE137"/>
    <mergeCell ref="AF136:AF137"/>
    <mergeCell ref="AG136:AG137"/>
    <mergeCell ref="AP133:AR134"/>
    <mergeCell ref="V134:W134"/>
    <mergeCell ref="AA134:AB134"/>
    <mergeCell ref="AD134:AE134"/>
    <mergeCell ref="AI133:AI134"/>
    <mergeCell ref="AJ133:AJ134"/>
    <mergeCell ref="AK133:AK134"/>
    <mergeCell ref="X133:Z134"/>
    <mergeCell ref="AA133:AB133"/>
    <mergeCell ref="AH133:AH134"/>
    <mergeCell ref="U130:U131"/>
    <mergeCell ref="X130:Z131"/>
    <mergeCell ref="AA130:AB130"/>
    <mergeCell ref="AD130:AE130"/>
    <mergeCell ref="V131:W131"/>
    <mergeCell ref="AA131:AB131"/>
    <mergeCell ref="AD131:AE131"/>
    <mergeCell ref="AP117:AR118"/>
    <mergeCell ref="AF120:AF121"/>
    <mergeCell ref="AG120:AG121"/>
    <mergeCell ref="AH120:AH121"/>
    <mergeCell ref="AI120:AI121"/>
    <mergeCell ref="AH117:AH118"/>
    <mergeCell ref="AI117:AI118"/>
    <mergeCell ref="AJ117:AJ118"/>
    <mergeCell ref="AK117:AK118"/>
    <mergeCell ref="U117:U118"/>
    <mergeCell ref="X117:Z118"/>
    <mergeCell ref="AA117:AB117"/>
    <mergeCell ref="AD117:AE117"/>
    <mergeCell ref="V118:W118"/>
    <mergeCell ref="AA118:AB118"/>
    <mergeCell ref="AD118:AE118"/>
    <mergeCell ref="U114:U115"/>
    <mergeCell ref="X114:Z115"/>
    <mergeCell ref="AA114:AB114"/>
    <mergeCell ref="AD114:AE114"/>
    <mergeCell ref="V115:W115"/>
    <mergeCell ref="AA115:AB115"/>
    <mergeCell ref="AD115:AE115"/>
    <mergeCell ref="AK108:AK109"/>
    <mergeCell ref="AF108:AF109"/>
    <mergeCell ref="AH111:AH112"/>
    <mergeCell ref="AI111:AI112"/>
    <mergeCell ref="AJ111:AJ112"/>
    <mergeCell ref="AK111:AK112"/>
    <mergeCell ref="AF111:AF112"/>
    <mergeCell ref="AG111:AG112"/>
    <mergeCell ref="AP105:AR106"/>
    <mergeCell ref="AP108:AR109"/>
    <mergeCell ref="V109:W109"/>
    <mergeCell ref="AA109:AB109"/>
    <mergeCell ref="AD109:AE109"/>
    <mergeCell ref="AH108:AH109"/>
    <mergeCell ref="AD108:AE108"/>
    <mergeCell ref="AG108:AG109"/>
    <mergeCell ref="AI108:AI109"/>
    <mergeCell ref="AJ108:AJ109"/>
    <mergeCell ref="AA105:AB105"/>
    <mergeCell ref="AD105:AE105"/>
    <mergeCell ref="V106:W106"/>
    <mergeCell ref="AA106:AB106"/>
    <mergeCell ref="AD106:AE106"/>
    <mergeCell ref="V103:W103"/>
    <mergeCell ref="AP99:AR100"/>
    <mergeCell ref="V100:W100"/>
    <mergeCell ref="AA100:AB100"/>
    <mergeCell ref="AD100:AE100"/>
    <mergeCell ref="AF99:AF100"/>
    <mergeCell ref="AG99:AG100"/>
    <mergeCell ref="AH99:AH100"/>
    <mergeCell ref="AI99:AI100"/>
    <mergeCell ref="U99:U100"/>
    <mergeCell ref="X99:Z100"/>
    <mergeCell ref="AA99:AB99"/>
    <mergeCell ref="AD99:AE99"/>
    <mergeCell ref="AJ99:AJ100"/>
    <mergeCell ref="AK99:AK100"/>
    <mergeCell ref="AF73:AH73"/>
    <mergeCell ref="AD88:AE88"/>
    <mergeCell ref="T90:V91"/>
    <mergeCell ref="W90:AY91"/>
    <mergeCell ref="X97:Z97"/>
    <mergeCell ref="AA97:AE97"/>
    <mergeCell ref="AF97:AH97"/>
    <mergeCell ref="AP97:AR97"/>
    <mergeCell ref="AF95:AH95"/>
    <mergeCell ref="AD60:AE60"/>
    <mergeCell ref="AA61:AB61"/>
    <mergeCell ref="AD61:AE61"/>
    <mergeCell ref="AA62:AB62"/>
    <mergeCell ref="AD62:AE62"/>
    <mergeCell ref="U73:W73"/>
    <mergeCell ref="Y73:Z73"/>
    <mergeCell ref="AC73:AD73"/>
    <mergeCell ref="X60:Y60"/>
    <mergeCell ref="X61:Y61"/>
    <mergeCell ref="AF56:AH56"/>
    <mergeCell ref="AA58:AB58"/>
    <mergeCell ref="AD58:AE58"/>
    <mergeCell ref="AA44:AB44"/>
    <mergeCell ref="AD44:AE44"/>
    <mergeCell ref="AA45:AB45"/>
    <mergeCell ref="AD45:AE45"/>
    <mergeCell ref="AA46:AB46"/>
    <mergeCell ref="AD46:AE46"/>
    <mergeCell ref="AA42:AB42"/>
    <mergeCell ref="AB27:AF28"/>
    <mergeCell ref="T27:AA28"/>
    <mergeCell ref="U35:W35"/>
    <mergeCell ref="Y35:Z35"/>
    <mergeCell ref="AC35:AD35"/>
    <mergeCell ref="AF35:AH35"/>
    <mergeCell ref="AD42:AE42"/>
    <mergeCell ref="X39:Y39"/>
    <mergeCell ref="X40:Y40"/>
    <mergeCell ref="AA47:AB47"/>
    <mergeCell ref="AF37:AH37"/>
    <mergeCell ref="AA43:AB43"/>
    <mergeCell ref="AD43:AE43"/>
    <mergeCell ref="AA39:AB39"/>
    <mergeCell ref="AD39:AE39"/>
    <mergeCell ref="AA40:AB40"/>
    <mergeCell ref="AD40:AE40"/>
    <mergeCell ref="AA41:AB41"/>
    <mergeCell ref="AD41:AE41"/>
    <mergeCell ref="AA50:AB50"/>
    <mergeCell ref="AD50:AE50"/>
    <mergeCell ref="U54:W54"/>
    <mergeCell ref="Y54:Z54"/>
    <mergeCell ref="AC54:AD54"/>
    <mergeCell ref="AD47:AE47"/>
    <mergeCell ref="AA48:AB48"/>
    <mergeCell ref="AD48:AE48"/>
    <mergeCell ref="AA49:AB49"/>
    <mergeCell ref="AD49:AE49"/>
    <mergeCell ref="AF54:AH54"/>
    <mergeCell ref="AA64:AB64"/>
    <mergeCell ref="AD64:AE64"/>
    <mergeCell ref="AA65:AB65"/>
    <mergeCell ref="AD65:AE65"/>
    <mergeCell ref="AA63:AB63"/>
    <mergeCell ref="AD63:AE63"/>
    <mergeCell ref="AA59:AB59"/>
    <mergeCell ref="AD59:AE59"/>
    <mergeCell ref="AA60:AB60"/>
    <mergeCell ref="AA68:AB68"/>
    <mergeCell ref="AD68:AE68"/>
    <mergeCell ref="AA69:AB69"/>
    <mergeCell ref="AD69:AE69"/>
    <mergeCell ref="AA66:AB66"/>
    <mergeCell ref="AD66:AE66"/>
    <mergeCell ref="AA67:AB67"/>
    <mergeCell ref="AD67:AE67"/>
    <mergeCell ref="AA79:AB79"/>
    <mergeCell ref="AD79:AE79"/>
    <mergeCell ref="AA80:AB80"/>
    <mergeCell ref="AD80:AE80"/>
    <mergeCell ref="AF75:AH75"/>
    <mergeCell ref="AA77:AB77"/>
    <mergeCell ref="AD77:AE77"/>
    <mergeCell ref="AA78:AB78"/>
    <mergeCell ref="AD78:AE78"/>
    <mergeCell ref="AA83:AB83"/>
    <mergeCell ref="AD83:AE83"/>
    <mergeCell ref="AA84:AB84"/>
    <mergeCell ref="AD84:AE84"/>
    <mergeCell ref="AA81:AB81"/>
    <mergeCell ref="AD81:AE81"/>
    <mergeCell ref="AA82:AB82"/>
    <mergeCell ref="AD82:AE82"/>
    <mergeCell ref="U95:W95"/>
    <mergeCell ref="Y95:Z95"/>
    <mergeCell ref="AC95:AD95"/>
    <mergeCell ref="AA86:AB86"/>
    <mergeCell ref="AD86:AE86"/>
    <mergeCell ref="AA87:AB87"/>
    <mergeCell ref="AD87:AE87"/>
    <mergeCell ref="AA88:AB88"/>
    <mergeCell ref="X87:Y87"/>
    <mergeCell ref="X88:Y88"/>
    <mergeCell ref="AI102:AI103"/>
    <mergeCell ref="AJ102:AJ103"/>
    <mergeCell ref="AK102:AK103"/>
    <mergeCell ref="AF102:AF103"/>
    <mergeCell ref="AA85:AB85"/>
    <mergeCell ref="AD85:AE85"/>
    <mergeCell ref="AH105:AH106"/>
    <mergeCell ref="AI105:AI106"/>
    <mergeCell ref="AJ105:AJ106"/>
    <mergeCell ref="AK105:AK106"/>
    <mergeCell ref="AP102:AR103"/>
    <mergeCell ref="U102:U103"/>
    <mergeCell ref="X102:Z103"/>
    <mergeCell ref="AA102:AB102"/>
    <mergeCell ref="AD102:AE102"/>
    <mergeCell ref="AH102:AH103"/>
    <mergeCell ref="AG102:AG103"/>
    <mergeCell ref="AF105:AF106"/>
    <mergeCell ref="AG105:AG106"/>
    <mergeCell ref="U108:U109"/>
    <mergeCell ref="X108:Z109"/>
    <mergeCell ref="AA108:AB108"/>
    <mergeCell ref="AA103:AB103"/>
    <mergeCell ref="AD103:AE103"/>
    <mergeCell ref="U105:U106"/>
    <mergeCell ref="X105:Z106"/>
    <mergeCell ref="AD111:AE111"/>
    <mergeCell ref="V112:W112"/>
    <mergeCell ref="AP111:AR112"/>
    <mergeCell ref="AD112:AE112"/>
    <mergeCell ref="U111:U112"/>
    <mergeCell ref="X111:Z112"/>
    <mergeCell ref="AA111:AB111"/>
    <mergeCell ref="AA112:AB112"/>
    <mergeCell ref="AF126:AH126"/>
    <mergeCell ref="AP114:AR115"/>
    <mergeCell ref="AF114:AF115"/>
    <mergeCell ref="AG114:AG115"/>
    <mergeCell ref="AH114:AH115"/>
    <mergeCell ref="AI114:AI115"/>
    <mergeCell ref="AJ114:AJ115"/>
    <mergeCell ref="AK114:AK115"/>
    <mergeCell ref="AF117:AF118"/>
    <mergeCell ref="AG117:AG118"/>
    <mergeCell ref="X128:Z128"/>
    <mergeCell ref="AA128:AE128"/>
    <mergeCell ref="AF128:AH128"/>
    <mergeCell ref="U120:U121"/>
    <mergeCell ref="X120:Z121"/>
    <mergeCell ref="AA120:AB120"/>
    <mergeCell ref="AD120:AE120"/>
    <mergeCell ref="U126:W126"/>
    <mergeCell ref="Y126:Z126"/>
    <mergeCell ref="AC126:AD126"/>
    <mergeCell ref="AP128:AR128"/>
    <mergeCell ref="AF130:AF131"/>
    <mergeCell ref="AG130:AG131"/>
    <mergeCell ref="AH130:AH131"/>
    <mergeCell ref="AI130:AI131"/>
    <mergeCell ref="AJ130:AJ131"/>
    <mergeCell ref="AK130:AK131"/>
    <mergeCell ref="AP130:AR131"/>
    <mergeCell ref="AD133:AE133"/>
    <mergeCell ref="AF133:AF134"/>
    <mergeCell ref="U133:U134"/>
    <mergeCell ref="AG133:AG134"/>
    <mergeCell ref="U145:W145"/>
    <mergeCell ref="Y145:Z145"/>
    <mergeCell ref="AC145:AD145"/>
    <mergeCell ref="AF145:AH145"/>
    <mergeCell ref="X136:Z137"/>
    <mergeCell ref="AA136:AB136"/>
    <mergeCell ref="U136:U137"/>
    <mergeCell ref="AK149:AK150"/>
    <mergeCell ref="AP149:AR150"/>
    <mergeCell ref="V150:W150"/>
    <mergeCell ref="AA150:AB150"/>
    <mergeCell ref="AD150:AE150"/>
    <mergeCell ref="AF149:AF150"/>
    <mergeCell ref="AG149:AG150"/>
    <mergeCell ref="AH149:AH150"/>
    <mergeCell ref="AI149:AI150"/>
    <mergeCell ref="AJ149:AJ150"/>
    <mergeCell ref="AI155:AI156"/>
    <mergeCell ref="AF152:AF153"/>
    <mergeCell ref="AG152:AG153"/>
    <mergeCell ref="AH152:AH153"/>
    <mergeCell ref="AI152:AI153"/>
    <mergeCell ref="AJ152:AJ153"/>
    <mergeCell ref="T171:Y172"/>
    <mergeCell ref="AO177:AU177"/>
    <mergeCell ref="AJ155:AJ156"/>
    <mergeCell ref="Y178:AD178"/>
    <mergeCell ref="AO178:AV178"/>
    <mergeCell ref="AK155:AK156"/>
    <mergeCell ref="AP155:AR156"/>
    <mergeCell ref="AF155:AF156"/>
    <mergeCell ref="AG155:AG156"/>
    <mergeCell ref="AH155:AH156"/>
    <mergeCell ref="Y181:AD181"/>
    <mergeCell ref="AO181:AV181"/>
    <mergeCell ref="Y182:AD182"/>
    <mergeCell ref="AO182:AV182"/>
    <mergeCell ref="Y179:AD179"/>
    <mergeCell ref="AO179:AV179"/>
    <mergeCell ref="Y180:AD180"/>
    <mergeCell ref="AO180:AV180"/>
    <mergeCell ref="T185:X186"/>
    <mergeCell ref="Y185:AD185"/>
    <mergeCell ref="AO185:AV186"/>
    <mergeCell ref="Y186:AD186"/>
    <mergeCell ref="T183:X184"/>
    <mergeCell ref="Y183:AD183"/>
    <mergeCell ref="AO183:AV184"/>
    <mergeCell ref="Y184:AD184"/>
    <mergeCell ref="Y193:AD193"/>
    <mergeCell ref="Y194:AD194"/>
    <mergeCell ref="Y196:AD196"/>
    <mergeCell ref="Y197:AD197"/>
    <mergeCell ref="T187:X190"/>
    <mergeCell ref="Y187:AD187"/>
    <mergeCell ref="Y188:AD188"/>
    <mergeCell ref="Y189:AD189"/>
    <mergeCell ref="Y190:AD190"/>
    <mergeCell ref="Y195:AD195"/>
    <mergeCell ref="Y200:AD200"/>
    <mergeCell ref="AO200:AV200"/>
    <mergeCell ref="Y201:AD201"/>
    <mergeCell ref="AO201:AV201"/>
    <mergeCell ref="Y198:AD198"/>
    <mergeCell ref="T199:W200"/>
    <mergeCell ref="Y199:AD199"/>
    <mergeCell ref="AO199:AV199"/>
    <mergeCell ref="T191:X198"/>
    <mergeCell ref="Y191:AD191"/>
    <mergeCell ref="T202:W202"/>
    <mergeCell ref="Y202:AD202"/>
    <mergeCell ref="AO202:AV202"/>
    <mergeCell ref="T203:W203"/>
    <mergeCell ref="Y203:AD203"/>
    <mergeCell ref="AO203:AV203"/>
    <mergeCell ref="T206:W206"/>
    <mergeCell ref="Y206:AD206"/>
    <mergeCell ref="AO206:AV206"/>
    <mergeCell ref="Y207:AD207"/>
    <mergeCell ref="AO207:AV207"/>
    <mergeCell ref="Y204:AD204"/>
    <mergeCell ref="AO204:AV204"/>
    <mergeCell ref="T205:W205"/>
    <mergeCell ref="Y205:AD205"/>
    <mergeCell ref="AO205:AV205"/>
    <mergeCell ref="Y210:AD210"/>
    <mergeCell ref="AO210:AV210"/>
    <mergeCell ref="Y211:AD211"/>
    <mergeCell ref="AO211:AV211"/>
    <mergeCell ref="Y208:AD208"/>
    <mergeCell ref="AO208:AV208"/>
    <mergeCell ref="Y209:AD209"/>
    <mergeCell ref="AO209:AV209"/>
    <mergeCell ref="Y212:AD212"/>
    <mergeCell ref="AO212:AV212"/>
    <mergeCell ref="Y218:AD218"/>
    <mergeCell ref="AO218:AV218"/>
    <mergeCell ref="Y216:AD216"/>
    <mergeCell ref="AO216:AV216"/>
    <mergeCell ref="Y213:AD213"/>
    <mergeCell ref="AO213:AV213"/>
    <mergeCell ref="Y217:AD217"/>
    <mergeCell ref="AO217:AV217"/>
    <mergeCell ref="Y214:AD214"/>
    <mergeCell ref="AO214:AV214"/>
    <mergeCell ref="Y215:AD215"/>
    <mergeCell ref="AO215:AV215"/>
    <mergeCell ref="BJ39:BL39"/>
    <mergeCell ref="AW183:BB184"/>
    <mergeCell ref="BA22:BF22"/>
    <mergeCell ref="BH23:BP23"/>
    <mergeCell ref="BH105:BH106"/>
    <mergeCell ref="BF99:BF100"/>
    <mergeCell ref="BG99:BG100"/>
    <mergeCell ref="BH99:BH100"/>
    <mergeCell ref="BF102:BF103"/>
    <mergeCell ref="BG102:BG103"/>
    <mergeCell ref="BJ46:BL46"/>
    <mergeCell ref="BJ58:BL58"/>
    <mergeCell ref="BJ65:BL65"/>
    <mergeCell ref="BJ77:BL77"/>
    <mergeCell ref="BJ84:BL84"/>
    <mergeCell ref="AW185:BB186"/>
    <mergeCell ref="BH102:BH103"/>
    <mergeCell ref="BH108:BH109"/>
    <mergeCell ref="BH111:BH112"/>
    <mergeCell ref="BG114:BG115"/>
    <mergeCell ref="U19:W19"/>
    <mergeCell ref="X19:Y19"/>
    <mergeCell ref="Z19:AB19"/>
    <mergeCell ref="AC19:AE19"/>
    <mergeCell ref="AW187:BB187"/>
    <mergeCell ref="AW191:BB191"/>
    <mergeCell ref="AZ20:BP20"/>
    <mergeCell ref="BK22:BP22"/>
    <mergeCell ref="AO191:AV198"/>
    <mergeCell ref="Y192:AD192"/>
  </mergeCells>
  <phoneticPr fontId="0" type="noConversion"/>
  <conditionalFormatting sqref="AC58:AC69 AC77:AC88 AC39:AC50">
    <cfRule type="expression" dxfId="51" priority="1" stopIfTrue="1">
      <formula>$CD39=TRUE</formula>
    </cfRule>
  </conditionalFormatting>
  <conditionalFormatting sqref="AC106 AC140 AC137 AC109 AC112 AC115 AC118 AC121 AC103 AC153 AC134 AC100 AC150 AC131 AC156">
    <cfRule type="expression" dxfId="50" priority="2" stopIfTrue="1">
      <formula>$CD99=TRUE</formula>
    </cfRule>
  </conditionalFormatting>
  <conditionalFormatting sqref="AF177">
    <cfRule type="expression" dxfId="49" priority="3" stopIfTrue="1">
      <formula>NOT($B$7)</formula>
    </cfRule>
  </conditionalFormatting>
  <conditionalFormatting sqref="Y270:Y278">
    <cfRule type="expression" dxfId="48" priority="4" stopIfTrue="1">
      <formula>INDEX(test_et,ROW())=1</formula>
    </cfRule>
  </conditionalFormatting>
  <conditionalFormatting sqref="T178:X198 T199:W200 T215:T278">
    <cfRule type="expression" dxfId="47" priority="5" stopIfTrue="1">
      <formula>INDEX(gesperrt_et,ROW())=TRUE</formula>
    </cfRule>
  </conditionalFormatting>
  <conditionalFormatting sqref="AJ149:AJ150 AJ152:AJ153 AJ58:AJ69 AJ77:AJ88 AJ99:AJ100 AJ39:AJ50 AJ102:AJ103 AJ105:AJ106 AJ108:AJ109 AJ111:AJ112 AJ114:AJ115 AJ117:AJ118 AJ120:AJ121 AJ130:AJ131 AJ133:AJ134 AJ136:AJ137 AJ139:AJ140 AJ155:AJ156">
    <cfRule type="expression" dxfId="46" priority="6" stopIfTrue="1">
      <formula>INDEX(einsatzfehler,ROW())=TRUE</formula>
    </cfRule>
  </conditionalFormatting>
  <conditionalFormatting sqref="AI149:AI150 AI152:AI153 AI58:AI69 AI77:AI88 AI99:AI100 AI39:AI50 AI102:AI103 AI105:AI106 AI108:AI109 AI111:AI112 AI114:AI115 AI117:AI118 AI120:AI121 AI130:AI131 AI133:AI134 AI136:AI137 AI139:AI140 AI155:AI156">
    <cfRule type="expression" dxfId="45" priority="7" stopIfTrue="1">
      <formula>INDEX(fehler_jok,ROW())=TRUE</formula>
    </cfRule>
  </conditionalFormatting>
  <conditionalFormatting sqref="AD153:AE153 AD150:AE150 AD156:AE156 AD131:AE131 AD134:AE134 AD137:AE137 AD140:AE140">
    <cfRule type="expression" dxfId="44" priority="8" stopIfTrue="1">
      <formula>INDEX(testmanat,ROW())=TRUE</formula>
    </cfRule>
  </conditionalFormatting>
  <conditionalFormatting sqref="AA153:AB153 AA150:AB150 AA156:AB156 AA131:AB131 AA134:AB134 AA137:AB137 AA140:AB140">
    <cfRule type="expression" dxfId="43" priority="9" stopIfTrue="1">
      <formula>INDEX(testmanht,ROW())=TRUE</formula>
    </cfRule>
  </conditionalFormatting>
  <conditionalFormatting sqref="AK152:AK153 AK39:AK50 AK58:AK69 AK77:AK88 AK99:AK100 AK102:AK103 AK105:AK106 AK108:AK109 AK111:AK112 AK114:AK115 AK117:AK118 AK120:AK121 AK130:AK131 AK133:AK134 AK136:AK137 AK139:AK140 AK149:AK150 AK155:AK156">
    <cfRule type="expression" dxfId="42" priority="10" stopIfTrue="1">
      <formula>INDEX(fehler_hcw,ROW())=TRUE</formula>
    </cfRule>
  </conditionalFormatting>
  <conditionalFormatting sqref="AP152:AR153 AP99:AR100 AP102:AR103 AP105:AR106 AP108:AR109 AP111:AR112 AP114:AR115 AP117:AR118 AP120:AR121 AP130:AR131 AP133:AR134 AP136:AR137 AP139:AR140 AP149:AR150 AP155:AR156">
    <cfRule type="expression" dxfId="41" priority="11" stopIfTrue="1">
      <formula>INDEX(test_siegererf,ROW())=TRUE</formula>
    </cfRule>
    <cfRule type="expression" dxfId="40" priority="12" stopIfTrue="1">
      <formula>INDEX(fehler_win,ROW())=TRUE</formula>
    </cfRule>
  </conditionalFormatting>
  <conditionalFormatting sqref="BP78:BP81 BP66:BP69 BP59:BP62 BP47:BP50 BP40:BP43 BP85:BP88">
    <cfRule type="expression" dxfId="39" priority="13" stopIfTrue="1">
      <formula>INDEX(fehlermantab2,ROW())=1</formula>
    </cfRule>
    <cfRule type="expression" dxfId="38" priority="14" stopIfTrue="1">
      <formula>INDEX(fehlermantab2,ROW())=-1</formula>
    </cfRule>
  </conditionalFormatting>
  <conditionalFormatting sqref="AA97:AE97 AA128:AE128 AA147:AE147">
    <cfRule type="expression" dxfId="37" priority="15" stopIfTrue="1">
      <formula>$CA$11</formula>
    </cfRule>
  </conditionalFormatting>
  <conditionalFormatting sqref="BF47:BF50 BF59:BF62 BF66:BF69 BF78:BF81 BF85:BF88 BF40:BF43">
    <cfRule type="expression" dxfId="36" priority="16" stopIfTrue="1">
      <formula>INDEX(fehlermantab1,ROW())=1</formula>
    </cfRule>
    <cfRule type="expression" dxfId="35" priority="17" stopIfTrue="1">
      <formula>INDEX(fehlermantab1,ROW())=-1</formula>
    </cfRule>
  </conditionalFormatting>
  <conditionalFormatting sqref="AT49:BD49 AT61:BD61 AT68:BD68 AT80:BD80 AT87:BD87 AT42:BD42">
    <cfRule type="expression" dxfId="34" priority="18" stopIfTrue="1">
      <formula>INDEX(drittertipp,ROW())&gt;0</formula>
    </cfRule>
  </conditionalFormatting>
  <conditionalFormatting sqref="BI42:BN42 BI49:BN49 BI61:BN61 BI68:BN68 BI80:BN80 BI87:BN87">
    <cfRule type="expression" dxfId="33" priority="19" stopIfTrue="1">
      <formula>INDEX(dritterreal,ROW())&gt;0</formula>
    </cfRule>
  </conditionalFormatting>
  <conditionalFormatting sqref="BG42">
    <cfRule type="expression" dxfId="32" priority="20" stopIfTrue="1">
      <formula>mandra&lt;99</formula>
    </cfRule>
    <cfRule type="expression" dxfId="31" priority="21" stopIfTrue="1">
      <formula>testmandr&gt;4</formula>
    </cfRule>
  </conditionalFormatting>
  <conditionalFormatting sqref="BG49">
    <cfRule type="expression" dxfId="30" priority="22" stopIfTrue="1">
      <formula>mandrb&lt;99</formula>
    </cfRule>
    <cfRule type="expression" dxfId="29" priority="23" stopIfTrue="1">
      <formula>testmandr&gt;4</formula>
    </cfRule>
  </conditionalFormatting>
  <conditionalFormatting sqref="BG61">
    <cfRule type="expression" dxfId="28" priority="24" stopIfTrue="1">
      <formula>mandrc&lt;99</formula>
    </cfRule>
    <cfRule type="expression" dxfId="27" priority="25" stopIfTrue="1">
      <formula>testmandr&gt;4</formula>
    </cfRule>
  </conditionalFormatting>
  <conditionalFormatting sqref="BG68">
    <cfRule type="expression" dxfId="26" priority="26" stopIfTrue="1">
      <formula>mandrd&lt;99</formula>
    </cfRule>
    <cfRule type="expression" dxfId="25" priority="27" stopIfTrue="1">
      <formula>testmandr&gt;4</formula>
    </cfRule>
  </conditionalFormatting>
  <conditionalFormatting sqref="BG80">
    <cfRule type="expression" dxfId="24" priority="28" stopIfTrue="1">
      <formula>mandre&lt;99</formula>
    </cfRule>
    <cfRule type="expression" dxfId="23" priority="29" stopIfTrue="1">
      <formula>testmandr&gt;4</formula>
    </cfRule>
  </conditionalFormatting>
  <conditionalFormatting sqref="BG87">
    <cfRule type="expression" dxfId="22" priority="30" stopIfTrue="1">
      <formula>mandrf&lt;99</formula>
    </cfRule>
    <cfRule type="expression" dxfId="21" priority="31" stopIfTrue="1">
      <formula>testmandr&gt;4</formula>
    </cfRule>
  </conditionalFormatting>
  <conditionalFormatting sqref="BQ42">
    <cfRule type="expression" dxfId="20" priority="32" stopIfTrue="1">
      <formula>mandra2&lt;99</formula>
    </cfRule>
    <cfRule type="expression" dxfId="19" priority="33" stopIfTrue="1">
      <formula>testmandr2&gt;4</formula>
    </cfRule>
  </conditionalFormatting>
  <conditionalFormatting sqref="BQ49">
    <cfRule type="expression" dxfId="18" priority="34" stopIfTrue="1">
      <formula>mandrb2&lt;99</formula>
    </cfRule>
    <cfRule type="expression" dxfId="17" priority="35" stopIfTrue="1">
      <formula>testmandr2&gt;4</formula>
    </cfRule>
  </conditionalFormatting>
  <conditionalFormatting sqref="BQ61">
    <cfRule type="expression" dxfId="16" priority="36" stopIfTrue="1">
      <formula>mandrc2&lt;99</formula>
    </cfRule>
    <cfRule type="expression" dxfId="15" priority="37" stopIfTrue="1">
      <formula>testmandr2&gt;4</formula>
    </cfRule>
  </conditionalFormatting>
  <conditionalFormatting sqref="BQ68">
    <cfRule type="expression" dxfId="14" priority="38" stopIfTrue="1">
      <formula>mandrd2&lt;99</formula>
    </cfRule>
    <cfRule type="expression" dxfId="13" priority="39" stopIfTrue="1">
      <formula>testmandr2&gt;4</formula>
    </cfRule>
  </conditionalFormatting>
  <conditionalFormatting sqref="BQ80">
    <cfRule type="expression" dxfId="12" priority="40" stopIfTrue="1">
      <formula>mandre2&lt;99</formula>
    </cfRule>
    <cfRule type="expression" dxfId="11" priority="41" stopIfTrue="1">
      <formula>testmandr2&gt;4</formula>
    </cfRule>
  </conditionalFormatting>
  <conditionalFormatting sqref="BQ87">
    <cfRule type="expression" dxfId="10" priority="42" stopIfTrue="1">
      <formula>mandrf2&lt;99</formula>
    </cfRule>
    <cfRule type="expression" dxfId="9" priority="43" stopIfTrue="1">
      <formula>testmandr2&gt;4</formula>
    </cfRule>
  </conditionalFormatting>
  <conditionalFormatting sqref="AB27:AF28">
    <cfRule type="expression" dxfId="8" priority="44" stopIfTrue="1">
      <formula>$F$2&lt;&gt;0</formula>
    </cfRule>
  </conditionalFormatting>
  <conditionalFormatting sqref="AA39:AB50 AD39:AE50 AA58:AB69 AD58:AE69 AA77:AB88 AD77:AE88 AA99:AB99 AD99:AE99 AA102:AB102 AD102:AE102 AA105:AB105 AD105:AE105 AA108:AB108 AD108:AE108 AA111:AB111 AD111:AE111 AA114:AB114 AD114:AE114 AA117:AB117 AD117:AE117 AA120:AB120 AD120:AE120 AA130:AB130 AD130:AE130 AA133:AB133 AD133:AE133 AA136:AB136 AD136:AE136 AA139:AB139 AD139:AE139 AA149:AB149 AD149:AE149 AA152:AB152 AD152:AE152 AA155:AB155 AD155:AE155">
    <cfRule type="expression" dxfId="7" priority="45" stopIfTrue="1">
      <formula>INDEX(gesperrt,ROW())=TRUE</formula>
    </cfRule>
  </conditionalFormatting>
  <conditionalFormatting sqref="AA100:AB100 AA103:AB103 AA106:AB106 AA109:AB109 AA112:AB112 AA115:AB115 AA118:AB118 AA121:AB121">
    <cfRule type="expression" dxfId="6" priority="46" stopIfTrue="1">
      <formula>INDEX(testmanht,ROW())=TRUE</formula>
    </cfRule>
    <cfRule type="expression" dxfId="5" priority="47" stopIfTrue="1">
      <formula>INDEX(testkoht,ROW())=TRUE</formula>
    </cfRule>
  </conditionalFormatting>
  <conditionalFormatting sqref="AD100:AE100 AD103:AE103 AD106:AE106 AD109:AE109 AD112:AE112 AD115:AE115 AD118:AE118 AD121:AE121">
    <cfRule type="expression" dxfId="4" priority="48" stopIfTrue="1">
      <formula>INDEX(testmanat,ROW())=TRUE</formula>
    </cfRule>
    <cfRule type="expression" dxfId="3" priority="49" stopIfTrue="1">
      <formula>INDEX(testkoat,ROW())=TRUE</formula>
    </cfRule>
  </conditionalFormatting>
  <conditionalFormatting sqref="Y179:AD269">
    <cfRule type="expression" dxfId="2" priority="50" stopIfTrue="1">
      <formula>INDEX(test_et,ROW())=1</formula>
    </cfRule>
    <cfRule type="expression" dxfId="1" priority="51" stopIfTrue="1">
      <formula>INDEX(test_et2,ROW())=1</formula>
    </cfRule>
  </conditionalFormatting>
  <dataValidations xWindow="1044" yWindow="294" count="32">
    <dataValidation type="whole" allowBlank="1" showErrorMessage="1" errorTitle="FEHLER" error="Bitte eine ganze Zahl zwischen 0 und 999 eingeben oder die Zelle leer lassen." sqref="Y270:Y278" xr:uid="{CACB7399-7AB0-47C3-9866-E22EC24BBFB3}">
      <formula1>0</formula1>
      <formula2>999</formula2>
    </dataValidation>
    <dataValidation type="list" allowBlank="1" showInputMessage="1" showErrorMessage="1" sqref="Y246:AD269" xr:uid="{BCF73C75-4FD7-4278-88CC-47C7D2D789F8}">
      <formula1>etauswahl_ru</formula1>
    </dataValidation>
    <dataValidation type="list" allowBlank="1" showInputMessage="1" showErrorMessage="1" sqref="Y244:AD245" xr:uid="{34720656-078A-4C50-BA4D-43BE5B3E063B}">
      <formula1>etauswahl_gru</formula1>
    </dataValidation>
    <dataValidation type="list" allowBlank="1" showInputMessage="1" showErrorMessage="1" sqref="Y209:AD210 Y238:AD238 Y232:AD232 Y226:AD226 Y220:AD220" xr:uid="{619202BF-AE83-44E3-A907-06E863D24E95}">
      <formula1>etauswahl_gruf</formula1>
    </dataValidation>
    <dataValidation type="list" allowBlank="1" showInputMessage="1" showErrorMessage="1" sqref="Y207:AD208 Y237:AD237 Y231:AD231 Y225:AD225 Y219:AD219" xr:uid="{89688AF6-3CBE-45F4-8237-3AC5E5164047}">
      <formula1>etauswahl_grue</formula1>
    </dataValidation>
    <dataValidation type="list" allowBlank="1" showInputMessage="1" showErrorMessage="1" sqref="Y205:AD206 Y236:AD236 Y230:AD230 Y224:AD224 Y218:AD218" xr:uid="{64AA54B3-D0AD-4879-92CD-3850D73AFBE1}">
      <formula1>etauswahl_grud</formula1>
    </dataValidation>
    <dataValidation type="list" allowBlank="1" showInputMessage="1" showErrorMessage="1" sqref="Y203:AD204 Y235:AD235 Y229:AD229 Y223:AD223 Y217:AD217" xr:uid="{4FB7F107-03A9-4C69-A717-BD473A7D5CE7}">
      <formula1>etauswahl_gruc</formula1>
    </dataValidation>
    <dataValidation type="list" allowBlank="1" showInputMessage="1" showErrorMessage="1" sqref="Y201:AD202 Y234:AD234 Y228:AD228 Y222:AD222 Y216:AD216" xr:uid="{903B6932-9031-47E9-8EDD-2CF7049BC9F6}">
      <formula1>etauswahl_grub</formula1>
    </dataValidation>
    <dataValidation type="list" allowBlank="1" showInputMessage="1" showErrorMessage="1" sqref="Y199:AD200 Y233:AD233 Y227:AD227 Y221:AD221 Y215:AD215" xr:uid="{300F4968-3141-4246-82F6-0F3EA3119F3E}">
      <formula1>etauswahl_grua</formula1>
    </dataValidation>
    <dataValidation type="list" allowBlank="1" showInputMessage="1" showErrorMessage="1" sqref="Y179:AD198 Y239:AD243 Y211:AD214" xr:uid="{4ABEF10A-FD42-4627-A858-F76D17376882}">
      <formula1>etauswahl_alle</formula1>
    </dataValidation>
    <dataValidation allowBlank="1" errorTitle="FEHLER" error="Bitte einen Eintrag aus der Zellliste wählen oder die Zelle leer lassen." sqref="DW96:DY167 DV97:DV166 AL97:AO166" xr:uid="{03BDDCA1-D0AE-4ED0-964E-B685E506126B}"/>
    <dataValidation type="list" allowBlank="1" showInputMessage="1" showErrorMessage="1" errorTitle="Fehler" error="Bitte die Jokermarkierung nutzen oder die Zelle leer lassen." sqref="AI155:AI156 AI77:AI88 AI99:AI100 AI102:AI103 AI105:AI106 AI108:AI109 AI111:AI112 AI114:AI115 AI117:AI118 AI120:AI121 AI130:AI131 AI133:AI134 AI136:AI137 AI139:AI140 AI149:AI150 AI152:AI153 AI58:AI69 AI39:AI50" xr:uid="{4E54753D-7AB6-46EF-8BFC-33274AA785A0}">
      <formula1>$CW$3:$CW$4</formula1>
    </dataValidation>
    <dataValidation type="list" allowBlank="1" showErrorMessage="1" errorTitle="FEHLER" error="Bitte einen Eintrag aus der Liste wählen!" sqref="AK155:AK156 AK77:AK88 AK99:AK100 AK102:AK103 AK105:AK106 AK108:AK109 AK111:AK112 AK114:AK115 AK117:AK118 AK120:AK121 AK130:AK131 AK133:AK134 AK136:AK137 AK139:AK140 AK149:AK150 AK152:AK153 AK58:AK69 AK39:AK50" xr:uid="{E6662AD6-36F5-4958-81C4-FD882402CB95}">
      <formula1>$CV$3:$CV$5</formula1>
    </dataValidation>
    <dataValidation type="list" allowBlank="1" showInputMessage="1" showErrorMessage="1" errorTitle="FEHLER" error="Bitte T1 bzw. T2 aus der Liste wählen oder die Zelle leer lassen." sqref="AP155:AR156 AP152:AR153 AP149:AR150 AP139:AR140 AP136:AR137 AP133:AR134 AP130:AR131 AP120:AR121 AP117:AR118 AP114:AR115 AP111:AR112 AP108:AR109 AP105:AR106 AP102:AR103 AP99:AR100" xr:uid="{8A06ECBC-B8A8-4DE0-8C74-F553E79CBD24}">
      <formula1>$DI$14:$DI$17</formula1>
    </dataValidation>
    <dataValidation type="whole" allowBlank="1" showInputMessage="1" showErrorMessage="1" errorTitle="FEHLER" error="Bitte eine ganze Zahl von 0 bis 99 eingeben oder die Zelle leer lassen." sqref="AF155:AF156 AH155:AH156 AF152:AF153 AH152:AH153 AH149:AH150 AF149:AF150 AF139:AF140 AH139:AH140 AH136:AH137 AF136:AF137 AF133:AF134 AH133:AH134 AH130:AH131 AF130:AF131 AH120:AH121 AF120:AF121 AF117:AF118 AH117:AH118 AH114:AH115 AF114:AF115 AH111:AH112 AF111:AF112 AF108:AF109 AH108:AH109 AH105:AH106 AF105:AF106 AF102:AF103 AH102:AH103 AH99:AH100 AF99:AF100 AH77:AH88 AF77:AF88 AH58:AH69 AF58:AF69 AH39:AH50 AF39:AF50" xr:uid="{64328378-11EF-4124-A1F1-4DD46E2CA008}">
      <formula1>0</formula1>
      <formula2>99</formula2>
    </dataValidation>
    <dataValidation allowBlank="1" showInputMessage="1" showErrorMessage="1" prompt="Die Tabellen können unter 'Man.' editiert werden. Alle vier Teams einer Gruppe müssen dabei gesetzt werden._x000a_Die vier für das AF qualifizierten Dritten können unter Q3 gewählt werden. Hierbei müssen exakt vier Drittplatzierte markiert werden." sqref="BQ20" xr:uid="{06EF63AC-EEBE-4D2B-AD90-EBDD241D2400}"/>
    <dataValidation allowBlank="1" showInputMessage="1" promptTitle="Ergebnistipp" prompt="Geben sie ihren Ergebnistipp in den zwei Zellen links und rechts vom vorgegebenen Doppelpunkt ein. Nur Zahlen sind bei der Eingabe erlaubt._x000a_" sqref="BG22" xr:uid="{DDB24E35-6F1A-4065-BAC6-76BFB241131F}"/>
    <dataValidation allowBlank="1" showInputMessage="1" promptTitle="Ergebnisse der KO-Spiele " prompt="Editieren Sie unter &quot;Reales Erg.&quot; die  REALEN  Ergebnisse der KO-Paarungen. Geben Sie dabei  ALLE  Treffer inkl. evtl. Tore in Verlängerung und Elfmeterschießen ein. Unter &quot;Bem.&quot; können Hinweise wie &quot;n.V.&quot; oder &quot;n.E.&quot; frei ediitert werden." sqref="BQ23" xr:uid="{B45A831C-BD28-4117-80A4-3D708900558F}"/>
    <dataValidation allowBlank="1" showInputMessage="1" promptTitle="REALE Ergebnisse" prompt="Editieren Sie unter &quot;Reales _x000a_Erg.&quot; die  REALEN  Ergebnisse der Paarungen. Diese Eingaben sind NICHT zwingend erforderlich, die realen Tabellen werden aber aus diesen Angaben ermittelt._x000a_" sqref="BQ22" xr:uid="{00CB24BF-81B8-4698-92CB-D7BA5E7C871C}"/>
    <dataValidation allowBlank="1" showInputMessage="1" showErrorMessage="1" promptTitle="Einsatz E" prompt="Über den Einsatz wird die Wertigkeit eines Spiels bestimmt. In Abhängigkeit der mit dem Tipp erreichten Wertungskategorie wird der Einsatz über einen Faktor in Punkte umgerechnet. Mindesteinsatz und verfügbarer Einsatz werden im Hauptprogramm festgelegt." sqref="CE21" xr:uid="{1F8ED948-6710-4B11-A3AA-AF7C44E42AF3}"/>
    <dataValidation allowBlank="1" showInputMessage="1" showErrorMessage="1" promptTitle="Elfmeterwette EW" prompt="Der Tipper kann sich für Bonuspunkte auf ein Elfmeterschießen festlegen. In Abhängigkeit der festgelegten Regeln wird nur das Elfmeterschießen selbst oder das siegreiche Team (T1, T2) getippt. Verlorene EMW können mit Punktabzug bestraft werden." sqref="CE24" xr:uid="{7AC53800-8E70-40C8-9248-F16A5278D49A}"/>
    <dataValidation allowBlank="1" showInputMessage="1" showErrorMessage="1" promptTitle="Handicap-Wette  HW" prompt="Für Bonuspunkte kann ein Sieg mit 2 oder mehr (2+) bzw. 3 oder mehr (3+) Toren getippt werden. Wird die getippte Tordifferenz nicht erreicht oder der falsche Sieger getippt, wird der Tipp jedoch als FALSCH gewertet." sqref="CE23" xr:uid="{8AEA3D06-2919-49B9-837F-9CE9DDF59C2E}"/>
    <dataValidation allowBlank="1" showInputMessage="1" showErrorMessage="1" promptTitle="Jokerspiel J" prompt="Pro Tipprunde kann  EIN  Spiel als Jokerspiel mit gesonderter Wertung benannt werden. Wird in einer Tipprunde mehr als ein Joker gesetzt, wird beim späteren Importvorgang nur der erste Joker gewertet." sqref="CE19" xr:uid="{15B9EF0A-4E95-4294-9359-CD22892511B6}"/>
    <dataValidation type="list" allowBlank="1" showInputMessage="1" showErrorMessage="1" sqref="BF40:BF43 BP40:BP43" xr:uid="{6E518278-C8EA-4C57-B0AF-644B2805B4E1}">
      <formula1>grua_k</formula1>
    </dataValidation>
    <dataValidation type="list" allowBlank="1" showInputMessage="1" showErrorMessage="1" sqref="BF47:BF50 BP47:BP50" xr:uid="{5CF69F26-BE0C-4A6A-8EB0-AB5E2E83AA2C}">
      <formula1>grub_k</formula1>
    </dataValidation>
    <dataValidation type="list" allowBlank="1" showInputMessage="1" showErrorMessage="1" sqref="BF59:BF62 BP59:BP62" xr:uid="{072B71EF-8FDB-4D2B-B084-FC5D5B580ED5}">
      <formula1>gruc_k</formula1>
    </dataValidation>
    <dataValidation type="list" allowBlank="1" showInputMessage="1" showErrorMessage="1" sqref="BF66:BF69 BP66:BP69" xr:uid="{2C1AC940-933F-46FF-A077-31D41C900522}">
      <formula1>grud_k</formula1>
    </dataValidation>
    <dataValidation type="list" allowBlank="1" showInputMessage="1" showErrorMessage="1" sqref="BF78:BF81 BP78:BP81" xr:uid="{189585F4-D6C3-4E6F-BD54-12E4F7C37587}">
      <formula1>grue_k</formula1>
    </dataValidation>
    <dataValidation type="list" allowBlank="1" showErrorMessage="1" sqref="BG42 BG87 BG49 BG61 BG68 BG80 BQ42 BQ87 BQ49 BQ61 BQ68 BQ80" xr:uid="{4D3824A0-DE8F-4EB9-9C3E-235D5C5DF792}">
      <formula1>markierungdritter</formula1>
    </dataValidation>
    <dataValidation type="list" allowBlank="1" showInputMessage="1" showErrorMessage="1" sqref="BF85:BF88 BP85:BP88" xr:uid="{81919915-BE13-4C3D-8645-7F55FDAA442E}">
      <formula1>gruf_k</formula1>
    </dataValidation>
    <dataValidation allowBlank="1" showInputMessage="1" showErrorMessage="1" promptTitle="Topspiel TS" prompt="Pro Tipprunde wird das Spiel eines Teams als Topspiel mit gesonderter Wertung bestimmt. Die Festlegung erfolgt über das Hauptprogramm und kann hier nicht geändert werden." sqref="CE20" xr:uid="{861F5951-DB45-4360-8B53-2AA13CD13C5B}"/>
    <dataValidation type="list" allowBlank="1" showErrorMessage="1" errorTitle="FEHLER" error="Bitte ein Team aus der Liste wählen oder die Zelle leer lassen." sqref="AA100:AB100 AD156:AE156 AA156:AB156 AD153:AE153 AA153:AB153 AD150:AE150 AA150:AB150 AD140:AE140 AA140:AB140 AD137:AE137 AA137:AB137 AD134:AE134 AA134:AB134 AD131:AE131 AA131:AB131 AD121:AE121 AA121:AB121 AD118:AE118 AA118:AB118 AD115:AE115 AA115:AB115 AD112:AE112 AA112:AB112 AD109:AE109 AA109:AB109 AD106:AE106 AA106:AB106 AD103:AE103 AA103:AB103 AD100:AE100" xr:uid="{261806C8-9465-4B6B-8D0D-586F736C9EE5}">
      <formula1>auswahl_ko</formula1>
    </dataValidation>
  </dataValidations>
  <hyperlinks>
    <hyperlink ref="X19" location="Hinweise!A1" tooltip="Hinweise anzeigen" display="Hinweise" xr:uid="{45CA9619-4867-41A6-B468-660B5B8FDE78}"/>
    <hyperlink ref="X19:Y19" location="Hinweise!B1" tooltip="HINWEISE ZUR NUTZUNG" display="HINWEISE" xr:uid="{32372A5B-306D-4FD4-95D4-0BAF7D1DB845}"/>
    <hyperlink ref="Z19:AB19" location="Tippabgabe!A1" tooltip="HINWEISE ZU DEN EXTRATIPPS" display="EXTRATIPPS" xr:uid="{003F499D-CA5C-4D1E-A224-5AE91B26521E}"/>
    <hyperlink ref="AC19:AE19" location="'Eigene Hinweise'!A1" tooltip="EIGENE HINWEISE ANZEIGEN" display="EIGENE HINWEISE" xr:uid="{ACD40312-797B-422E-9DF4-B8DDD353D1E7}"/>
  </hyperlinks>
  <printOptions horizontalCentered="1"/>
  <pageMargins left="0.23622047244094491" right="0.23622047244094491" top="0.39370078740157483" bottom="0.31496062992125984" header="0.19685039370078741" footer="0.19685039370078741"/>
  <pageSetup paperSize="9" scale="56" fitToHeight="4" orientation="portrait" horizontalDpi="4294967293" verticalDpi="300" r:id="rId1"/>
  <headerFooter alignWithMargins="0">
    <oddFooter>&amp;LUEFA EM 2024&amp;CTippspiel XXL - Tippformular&amp;Rhttps://www.hexceler.de</oddFooter>
  </headerFooter>
  <rowBreaks count="1" manualBreakCount="1">
    <brk id="170" min="19" max="68" man="1"/>
  </rowBreaks>
  <drawing r:id="rId2"/>
  <legacyDrawing r:id="rId3"/>
  <controls>
    <mc:AlternateContent xmlns:mc="http://schemas.openxmlformats.org/markup-compatibility/2006">
      <mc:Choice Requires="x14">
        <control shapeId="1025" r:id="rId4" name="cobo_tsk">
          <controlPr print="0" autoLine="0" linkedCell="$DT$178" listFillRange="$M$292:$O$915" r:id="rId5">
            <anchor moveWithCells="1" sizeWithCells="1">
              <from>
                <xdr:col>24</xdr:col>
                <xdr:colOff>22860</xdr:colOff>
                <xdr:row>177</xdr:row>
                <xdr:rowOff>22860</xdr:rowOff>
              </from>
              <to>
                <xdr:col>29</xdr:col>
                <xdr:colOff>571500</xdr:colOff>
                <xdr:row>177</xdr:row>
                <xdr:rowOff>304800</xdr:rowOff>
              </to>
            </anchor>
          </controlPr>
        </control>
      </mc:Choice>
      <mc:Fallback>
        <control shapeId="1025" r:id="rId4" name="cobo_tsk"/>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88BD-7AF3-4E83-A168-1362F258F62F}">
  <sheetPr codeName="Tabelle3"/>
  <dimension ref="A1:BY77"/>
  <sheetViews>
    <sheetView topLeftCell="AR1" workbookViewId="0">
      <selection activeCell="BB6" sqref="BB6"/>
    </sheetView>
  </sheetViews>
  <sheetFormatPr baseColWidth="10" defaultRowHeight="10.199999999999999" x14ac:dyDescent="0.2"/>
  <cols>
    <col min="2" max="2" width="51" customWidth="1"/>
  </cols>
  <sheetData>
    <row r="1" spans="1:73" x14ac:dyDescent="0.2">
      <c r="B1" s="55" t="s">
        <v>165</v>
      </c>
      <c r="C1">
        <f>MATCH(C2,Tippabgabe!$C$39:$C$88,0)+38</f>
        <v>39</v>
      </c>
      <c r="D1">
        <f>MATCH(D2,Tippabgabe!$C$39:$C$88,0)+38</f>
        <v>40</v>
      </c>
      <c r="E1">
        <f>MATCH(E2,Tippabgabe!$C$39:$C$88,0)+38</f>
        <v>41</v>
      </c>
      <c r="F1">
        <f>MATCH(F2,Tippabgabe!$C$39:$C$88,0)+38</f>
        <v>42</v>
      </c>
      <c r="G1">
        <f>MATCH(G2,Tippabgabe!$C$39:$C$88,0)+38</f>
        <v>43</v>
      </c>
      <c r="H1">
        <f>MATCH(H2,Tippabgabe!$C$39:$C$88,0)+38</f>
        <v>44</v>
      </c>
      <c r="I1">
        <f>MATCH(I2,Tippabgabe!$C$39:$C$88,0)+38</f>
        <v>45</v>
      </c>
      <c r="J1">
        <f>MATCH(J2,Tippabgabe!$C$39:$C$88,0)+38</f>
        <v>46</v>
      </c>
      <c r="K1">
        <f>MATCH(K2,Tippabgabe!$C$39:$C$88,0)+38</f>
        <v>47</v>
      </c>
      <c r="L1">
        <f>MATCH(L2,Tippabgabe!$C$39:$C$88,0)+38</f>
        <v>48</v>
      </c>
      <c r="M1">
        <f>MATCH(M2,Tippabgabe!$C$39:$C$88,0)+38</f>
        <v>49</v>
      </c>
      <c r="N1">
        <f>MATCH(N2,Tippabgabe!$C$39:$C$88,0)+38</f>
        <v>50</v>
      </c>
      <c r="O1">
        <f>MATCH(O2,Tippabgabe!$C$39:$C$88,0)+38</f>
        <v>58</v>
      </c>
      <c r="P1">
        <f>MATCH(P2,Tippabgabe!$C$39:$C$88,0)+38</f>
        <v>59</v>
      </c>
      <c r="Q1">
        <f>MATCH(Q2,Tippabgabe!$C$39:$C$88,0)+38</f>
        <v>60</v>
      </c>
      <c r="R1">
        <f>MATCH(R2,Tippabgabe!$C$39:$C$88,0)+38</f>
        <v>61</v>
      </c>
      <c r="S1">
        <f>MATCH(S2,Tippabgabe!$C$39:$C$88,0)+38</f>
        <v>62</v>
      </c>
      <c r="T1">
        <f>MATCH(T2,Tippabgabe!$C$39:$C$88,0)+38</f>
        <v>63</v>
      </c>
      <c r="U1">
        <f>MATCH(U2,Tippabgabe!$C$39:$C$88,0)+38</f>
        <v>64</v>
      </c>
      <c r="V1">
        <f>MATCH(V2,Tippabgabe!$C$39:$C$88,0)+38</f>
        <v>65</v>
      </c>
      <c r="W1">
        <f>MATCH(W2,Tippabgabe!$C$39:$C$88,0)+38</f>
        <v>66</v>
      </c>
      <c r="X1">
        <f>MATCH(X2,Tippabgabe!$C$39:$C$88,0)+38</f>
        <v>67</v>
      </c>
      <c r="Y1">
        <f>MATCH(Y2,Tippabgabe!$C$39:$C$88,0)+38</f>
        <v>68</v>
      </c>
      <c r="Z1">
        <f>MATCH(Z2,Tippabgabe!$C$39:$C$88,0)+38</f>
        <v>69</v>
      </c>
      <c r="AA1">
        <f>MATCH(AA2,Tippabgabe!$C$39:$C$88,0)+38</f>
        <v>77</v>
      </c>
      <c r="AB1">
        <f>MATCH(AB2,Tippabgabe!$C$39:$C$88,0)+38</f>
        <v>78</v>
      </c>
      <c r="AC1">
        <f>MATCH(AC2,Tippabgabe!$C$39:$C$88,0)+38</f>
        <v>79</v>
      </c>
      <c r="AD1">
        <f>MATCH(AD2,Tippabgabe!$C$39:$C$88,0)+38</f>
        <v>80</v>
      </c>
      <c r="AE1">
        <f>MATCH(AE2,Tippabgabe!$C$39:$C$88,0)+38</f>
        <v>81</v>
      </c>
      <c r="AF1">
        <f>MATCH(AF2,Tippabgabe!$C$39:$C$88,0)+38</f>
        <v>82</v>
      </c>
      <c r="AG1">
        <f>MATCH(AG2,Tippabgabe!$C$39:$C$88,0)+38</f>
        <v>83</v>
      </c>
      <c r="AH1">
        <f>MATCH(AH2,Tippabgabe!$C$39:$C$88,0)+38</f>
        <v>84</v>
      </c>
      <c r="AI1">
        <f>MATCH(AI2,Tippabgabe!$C$39:$C$88,0)+38</f>
        <v>85</v>
      </c>
      <c r="AJ1">
        <f>MATCH(AJ2,Tippabgabe!$C$39:$C$88,0)+38</f>
        <v>86</v>
      </c>
      <c r="AK1">
        <f>MATCH(AK2,Tippabgabe!$C$39:$C$88,0)+38</f>
        <v>87</v>
      </c>
      <c r="AL1">
        <f>MATCH(AL2,Tippabgabe!$C$39:$C$88,0)+38</f>
        <v>88</v>
      </c>
      <c r="AM1">
        <f>MATCH(AM2,Tippabgabe!$E$99:$E$155,0)+98</f>
        <v>99</v>
      </c>
      <c r="AN1">
        <f>MATCH(AN2,Tippabgabe!$E$99:$E$155,0)+98</f>
        <v>102</v>
      </c>
      <c r="AO1">
        <f>MATCH(AO2,Tippabgabe!$E$99:$E$155,0)+98</f>
        <v>105</v>
      </c>
      <c r="AP1">
        <f>MATCH(AP2,Tippabgabe!$E$99:$E$155,0)+98</f>
        <v>108</v>
      </c>
      <c r="AQ1">
        <f>MATCH(AQ2,Tippabgabe!$E$99:$E$155,0)+98</f>
        <v>111</v>
      </c>
      <c r="AR1">
        <f>MATCH(AR2,Tippabgabe!$E$99:$E$155,0)+98</f>
        <v>114</v>
      </c>
      <c r="AS1">
        <f>MATCH(AS2,Tippabgabe!$E$99:$E$155,0)+98</f>
        <v>117</v>
      </c>
      <c r="AT1">
        <f>MATCH(AT2,Tippabgabe!$E$99:$E$155,0)+98</f>
        <v>120</v>
      </c>
      <c r="AU1">
        <f>MATCH(AU2,Tippabgabe!$E$99:$E$155,0)+98</f>
        <v>130</v>
      </c>
      <c r="AV1">
        <f>MATCH(AV2,Tippabgabe!$E$99:$E$155,0)+98</f>
        <v>133</v>
      </c>
      <c r="AW1">
        <f>MATCH(AW2,Tippabgabe!$E$99:$E$155,0)+98</f>
        <v>136</v>
      </c>
      <c r="AX1">
        <f>MATCH(AX2,Tippabgabe!$E$99:$E$155,0)+98</f>
        <v>139</v>
      </c>
      <c r="AY1">
        <f>MATCH(AY2,Tippabgabe!$E$99:$E$155,0)+98</f>
        <v>149</v>
      </c>
      <c r="AZ1">
        <f>MATCH(AZ2,Tippabgabe!$E$99:$E$155,0)+98</f>
        <v>152</v>
      </c>
      <c r="BA1">
        <f>MATCH(BA2,Tippabgabe!$E$99:$E$155,0)+98</f>
        <v>155</v>
      </c>
    </row>
    <row r="2" spans="1:73" x14ac:dyDescent="0.2">
      <c r="B2" s="55" t="s">
        <v>1114</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c r="AA2">
        <v>25</v>
      </c>
      <c r="AB2">
        <v>26</v>
      </c>
      <c r="AC2">
        <v>27</v>
      </c>
      <c r="AD2">
        <v>28</v>
      </c>
      <c r="AE2">
        <v>29</v>
      </c>
      <c r="AF2">
        <v>30</v>
      </c>
      <c r="AG2">
        <v>31</v>
      </c>
      <c r="AH2">
        <v>32</v>
      </c>
      <c r="AI2">
        <v>33</v>
      </c>
      <c r="AJ2">
        <v>34</v>
      </c>
      <c r="AK2">
        <v>35</v>
      </c>
      <c r="AL2">
        <v>36</v>
      </c>
      <c r="AM2" t="s">
        <v>406</v>
      </c>
      <c r="AN2" t="s">
        <v>410</v>
      </c>
      <c r="AO2" t="s">
        <v>413</v>
      </c>
      <c r="AP2" t="s">
        <v>415</v>
      </c>
      <c r="AQ2" t="s">
        <v>417</v>
      </c>
      <c r="AR2" t="s">
        <v>419</v>
      </c>
      <c r="AS2" t="s">
        <v>421</v>
      </c>
      <c r="AT2" t="s">
        <v>422</v>
      </c>
      <c r="AU2" t="s">
        <v>423</v>
      </c>
      <c r="AV2" t="s">
        <v>425</v>
      </c>
      <c r="AW2" t="s">
        <v>427</v>
      </c>
      <c r="AX2" t="s">
        <v>428</v>
      </c>
      <c r="AY2" t="s">
        <v>429</v>
      </c>
      <c r="AZ2" t="s">
        <v>432</v>
      </c>
      <c r="BA2" t="s">
        <v>736</v>
      </c>
    </row>
    <row r="3" spans="1:73" x14ac:dyDescent="0.2">
      <c r="A3">
        <v>1</v>
      </c>
      <c r="B3" t="s">
        <v>166</v>
      </c>
      <c r="C3" t="str">
        <f>INDEX(Tippabgabe!$CE$1:$CE$168,C$1)</f>
        <v/>
      </c>
      <c r="D3" t="str">
        <f>INDEX(Tippabgabe!$CE$1:$CE$168,D$1)</f>
        <v/>
      </c>
      <c r="E3" t="str">
        <f>INDEX(Tippabgabe!$CE$1:$CE$168,E$1)</f>
        <v/>
      </c>
      <c r="F3" t="str">
        <f>INDEX(Tippabgabe!$CE$1:$CE$168,F$1)</f>
        <v/>
      </c>
      <c r="G3" t="str">
        <f>INDEX(Tippabgabe!$CE$1:$CE$168,G$1)</f>
        <v/>
      </c>
      <c r="H3" t="str">
        <f>INDEX(Tippabgabe!$CE$1:$CE$168,H$1)</f>
        <v/>
      </c>
      <c r="I3" t="str">
        <f>INDEX(Tippabgabe!$CE$1:$CE$168,I$1)</f>
        <v/>
      </c>
      <c r="J3" t="str">
        <f>INDEX(Tippabgabe!$CE$1:$CE$168,J$1)</f>
        <v/>
      </c>
      <c r="K3" t="str">
        <f>INDEX(Tippabgabe!$CE$1:$CE$168,K$1)</f>
        <v/>
      </c>
      <c r="L3" t="str">
        <f>INDEX(Tippabgabe!$CE$1:$CE$168,L$1)</f>
        <v/>
      </c>
      <c r="M3" t="str">
        <f>INDEX(Tippabgabe!$CE$1:$CE$168,M$1)</f>
        <v/>
      </c>
      <c r="N3" t="str">
        <f>INDEX(Tippabgabe!$CE$1:$CE$168,N$1)</f>
        <v/>
      </c>
      <c r="O3" t="str">
        <f>INDEX(Tippabgabe!$CE$1:$CE$168,O$1)</f>
        <v/>
      </c>
      <c r="P3" t="str">
        <f>INDEX(Tippabgabe!$CE$1:$CE$168,P$1)</f>
        <v/>
      </c>
      <c r="Q3" t="str">
        <f>INDEX(Tippabgabe!$CE$1:$CE$168,Q$1)</f>
        <v/>
      </c>
      <c r="R3" t="str">
        <f>INDEX(Tippabgabe!$CE$1:$CE$168,R$1)</f>
        <v/>
      </c>
      <c r="S3" t="str">
        <f>INDEX(Tippabgabe!$CE$1:$CE$168,S$1)</f>
        <v/>
      </c>
      <c r="T3" t="str">
        <f>INDEX(Tippabgabe!$CE$1:$CE$168,T$1)</f>
        <v/>
      </c>
      <c r="U3" t="str">
        <f>INDEX(Tippabgabe!$CE$1:$CE$168,U$1)</f>
        <v/>
      </c>
      <c r="V3" t="str">
        <f>INDEX(Tippabgabe!$CE$1:$CE$168,V$1)</f>
        <v/>
      </c>
      <c r="W3" t="str">
        <f>INDEX(Tippabgabe!$CE$1:$CE$168,W$1)</f>
        <v/>
      </c>
      <c r="X3" t="str">
        <f>INDEX(Tippabgabe!$CE$1:$CE$168,X$1)</f>
        <v/>
      </c>
      <c r="Y3" t="str">
        <f>INDEX(Tippabgabe!$CE$1:$CE$168,Y$1)</f>
        <v/>
      </c>
      <c r="Z3" t="str">
        <f>INDEX(Tippabgabe!$CE$1:$CE$168,Z$1)</f>
        <v/>
      </c>
      <c r="AA3" t="str">
        <f>INDEX(Tippabgabe!$CE$1:$CE$168,AA$1)</f>
        <v/>
      </c>
      <c r="AB3" t="str">
        <f>INDEX(Tippabgabe!$CE$1:$CE$168,AB$1)</f>
        <v/>
      </c>
      <c r="AC3" t="str">
        <f>INDEX(Tippabgabe!$CE$1:$CE$168,AC$1)</f>
        <v/>
      </c>
      <c r="AD3" t="str">
        <f>INDEX(Tippabgabe!$CE$1:$CE$168,AD$1)</f>
        <v/>
      </c>
      <c r="AE3" t="str">
        <f>INDEX(Tippabgabe!$CE$1:$CE$168,AE$1)</f>
        <v/>
      </c>
      <c r="AF3" t="str">
        <f>INDEX(Tippabgabe!$CE$1:$CE$168,AF$1)</f>
        <v/>
      </c>
      <c r="AG3" t="str">
        <f>INDEX(Tippabgabe!$CE$1:$CE$168,AG$1)</f>
        <v/>
      </c>
      <c r="AH3" t="str">
        <f>INDEX(Tippabgabe!$CE$1:$CE$168,AH$1)</f>
        <v/>
      </c>
      <c r="AI3" t="str">
        <f>INDEX(Tippabgabe!$CE$1:$CE$168,AI$1)</f>
        <v/>
      </c>
      <c r="AJ3" t="str">
        <f>INDEX(Tippabgabe!$CE$1:$CE$168,AJ$1)</f>
        <v/>
      </c>
      <c r="AK3" t="str">
        <f>INDEX(Tippabgabe!$CE$1:$CE$168,AK$1)</f>
        <v/>
      </c>
      <c r="AL3" t="str">
        <f>INDEX(Tippabgabe!$CE$1:$CE$168,AL$1)</f>
        <v/>
      </c>
      <c r="AM3" t="str">
        <f>INDEX(Tippabgabe!$CE$1:$CE$168,AM$1)</f>
        <v/>
      </c>
      <c r="AN3" t="str">
        <f>INDEX(Tippabgabe!$CE$1:$CE$168,AN$1)</f>
        <v/>
      </c>
      <c r="AO3" t="str">
        <f>INDEX(Tippabgabe!$CE$1:$CE$168,AO$1)</f>
        <v/>
      </c>
      <c r="AP3" t="str">
        <f>INDEX(Tippabgabe!$CE$1:$CE$168,AP$1)</f>
        <v/>
      </c>
      <c r="AQ3" t="str">
        <f>INDEX(Tippabgabe!$CE$1:$CE$168,AQ$1)</f>
        <v/>
      </c>
      <c r="AR3" t="str">
        <f>INDEX(Tippabgabe!$CE$1:$CE$168,AR$1)</f>
        <v/>
      </c>
      <c r="AS3" t="str">
        <f>INDEX(Tippabgabe!$CE$1:$CE$168,AS$1)</f>
        <v/>
      </c>
      <c r="AT3" t="str">
        <f>INDEX(Tippabgabe!$CE$1:$CE$168,AT$1)</f>
        <v/>
      </c>
      <c r="AU3" t="str">
        <f>INDEX(Tippabgabe!$CE$1:$CE$168,AU$1)</f>
        <v/>
      </c>
      <c r="AV3" t="str">
        <f>INDEX(Tippabgabe!$CE$1:$CE$168,AV$1)</f>
        <v/>
      </c>
      <c r="AW3" t="str">
        <f>INDEX(Tippabgabe!$CE$1:$CE$168,AW$1)</f>
        <v/>
      </c>
      <c r="AX3" t="str">
        <f>INDEX(Tippabgabe!$CE$1:$CE$168,AX$1)</f>
        <v/>
      </c>
      <c r="AY3" t="str">
        <f>INDEX(Tippabgabe!$CE$1:$CE$168,AY$1)</f>
        <v/>
      </c>
      <c r="AZ3" t="str">
        <f>INDEX(Tippabgabe!$CE$1:$CE$168,AZ$1)</f>
        <v/>
      </c>
      <c r="BA3" t="str">
        <f>INDEX(Tippabgabe!$CE$1:$CE$168,BA$1)</f>
        <v/>
      </c>
    </row>
    <row r="4" spans="1:73" x14ac:dyDescent="0.2">
      <c r="A4">
        <v>2</v>
      </c>
      <c r="B4" t="s">
        <v>167</v>
      </c>
      <c r="C4" t="str">
        <f>INDEX(Tippabgabe!$CF$1:$CF$168,C$1)</f>
        <v/>
      </c>
      <c r="D4" t="str">
        <f>INDEX(Tippabgabe!$CF$1:$CF$168,D$1)</f>
        <v/>
      </c>
      <c r="E4" t="str">
        <f>INDEX(Tippabgabe!$CF$1:$CF$168,E$1)</f>
        <v/>
      </c>
      <c r="F4" t="str">
        <f>INDEX(Tippabgabe!$CF$1:$CF$168,F$1)</f>
        <v/>
      </c>
      <c r="G4" t="str">
        <f>INDEX(Tippabgabe!$CF$1:$CF$168,G$1)</f>
        <v/>
      </c>
      <c r="H4" t="str">
        <f>INDEX(Tippabgabe!$CF$1:$CF$168,H$1)</f>
        <v/>
      </c>
      <c r="I4" t="str">
        <f>INDEX(Tippabgabe!$CF$1:$CF$168,I$1)</f>
        <v/>
      </c>
      <c r="J4" t="str">
        <f>INDEX(Tippabgabe!$CF$1:$CF$168,J$1)</f>
        <v/>
      </c>
      <c r="K4" t="str">
        <f>INDEX(Tippabgabe!$CF$1:$CF$168,K$1)</f>
        <v/>
      </c>
      <c r="L4" t="str">
        <f>INDEX(Tippabgabe!$CF$1:$CF$168,L$1)</f>
        <v/>
      </c>
      <c r="M4" t="str">
        <f>INDEX(Tippabgabe!$CF$1:$CF$168,M$1)</f>
        <v/>
      </c>
      <c r="N4" t="str">
        <f>INDEX(Tippabgabe!$CF$1:$CF$168,N$1)</f>
        <v/>
      </c>
      <c r="O4" t="str">
        <f>INDEX(Tippabgabe!$CF$1:$CF$168,O$1)</f>
        <v/>
      </c>
      <c r="P4" t="str">
        <f>INDEX(Tippabgabe!$CF$1:$CF$168,P$1)</f>
        <v/>
      </c>
      <c r="Q4" t="str">
        <f>INDEX(Tippabgabe!$CF$1:$CF$168,Q$1)</f>
        <v/>
      </c>
      <c r="R4" t="str">
        <f>INDEX(Tippabgabe!$CF$1:$CF$168,R$1)</f>
        <v/>
      </c>
      <c r="S4" t="str">
        <f>INDEX(Tippabgabe!$CF$1:$CF$168,S$1)</f>
        <v/>
      </c>
      <c r="T4" t="str">
        <f>INDEX(Tippabgabe!$CF$1:$CF$168,T$1)</f>
        <v/>
      </c>
      <c r="U4" t="str">
        <f>INDEX(Tippabgabe!$CF$1:$CF$168,U$1)</f>
        <v/>
      </c>
      <c r="V4" t="str">
        <f>INDEX(Tippabgabe!$CF$1:$CF$168,V$1)</f>
        <v/>
      </c>
      <c r="W4" t="str">
        <f>INDEX(Tippabgabe!$CF$1:$CF$168,W$1)</f>
        <v/>
      </c>
      <c r="X4" t="str">
        <f>INDEX(Tippabgabe!$CF$1:$CF$168,X$1)</f>
        <v/>
      </c>
      <c r="Y4" t="str">
        <f>INDEX(Tippabgabe!$CF$1:$CF$168,Y$1)</f>
        <v/>
      </c>
      <c r="Z4" t="str">
        <f>INDEX(Tippabgabe!$CF$1:$CF$168,Z$1)</f>
        <v/>
      </c>
      <c r="AA4" t="str">
        <f>INDEX(Tippabgabe!$CF$1:$CF$168,AA$1)</f>
        <v/>
      </c>
      <c r="AB4" t="str">
        <f>INDEX(Tippabgabe!$CF$1:$CF$168,AB$1)</f>
        <v/>
      </c>
      <c r="AC4" t="str">
        <f>INDEX(Tippabgabe!$CF$1:$CF$168,AC$1)</f>
        <v/>
      </c>
      <c r="AD4" t="str">
        <f>INDEX(Tippabgabe!$CF$1:$CF$168,AD$1)</f>
        <v/>
      </c>
      <c r="AE4" t="str">
        <f>INDEX(Tippabgabe!$CF$1:$CF$168,AE$1)</f>
        <v/>
      </c>
      <c r="AF4" t="str">
        <f>INDEX(Tippabgabe!$CF$1:$CF$168,AF$1)</f>
        <v/>
      </c>
      <c r="AG4" t="str">
        <f>INDEX(Tippabgabe!$CF$1:$CF$168,AG$1)</f>
        <v/>
      </c>
      <c r="AH4" t="str">
        <f>INDEX(Tippabgabe!$CF$1:$CF$168,AH$1)</f>
        <v/>
      </c>
      <c r="AI4" t="str">
        <f>INDEX(Tippabgabe!$CF$1:$CF$168,AI$1)</f>
        <v/>
      </c>
      <c r="AJ4" t="str">
        <f>INDEX(Tippabgabe!$CF$1:$CF$168,AJ$1)</f>
        <v/>
      </c>
      <c r="AK4" t="str">
        <f>INDEX(Tippabgabe!$CF$1:$CF$168,AK$1)</f>
        <v/>
      </c>
      <c r="AL4" t="str">
        <f>INDEX(Tippabgabe!$CF$1:$CF$168,AL$1)</f>
        <v/>
      </c>
      <c r="AM4" t="str">
        <f>INDEX(Tippabgabe!$CF$1:$CF$168,AM$1)</f>
        <v/>
      </c>
      <c r="AN4" t="str">
        <f>INDEX(Tippabgabe!$CF$1:$CF$168,AN$1)</f>
        <v/>
      </c>
      <c r="AO4" t="str">
        <f>INDEX(Tippabgabe!$CF$1:$CF$168,AO$1)</f>
        <v/>
      </c>
      <c r="AP4" t="str">
        <f>INDEX(Tippabgabe!$CF$1:$CF$168,AP$1)</f>
        <v/>
      </c>
      <c r="AQ4" t="str">
        <f>INDEX(Tippabgabe!$CF$1:$CF$168,AQ$1)</f>
        <v/>
      </c>
      <c r="AR4" t="str">
        <f>INDEX(Tippabgabe!$CF$1:$CF$168,AR$1)</f>
        <v/>
      </c>
      <c r="AS4" t="str">
        <f>INDEX(Tippabgabe!$CF$1:$CF$168,AS$1)</f>
        <v/>
      </c>
      <c r="AT4" t="str">
        <f>INDEX(Tippabgabe!$CF$1:$CF$168,AT$1)</f>
        <v/>
      </c>
      <c r="AU4" t="str">
        <f>INDEX(Tippabgabe!$CF$1:$CF$168,AU$1)</f>
        <v/>
      </c>
      <c r="AV4" t="str">
        <f>INDEX(Tippabgabe!$CF$1:$CF$168,AV$1)</f>
        <v/>
      </c>
      <c r="AW4" t="str">
        <f>INDEX(Tippabgabe!$CF$1:$CF$168,AW$1)</f>
        <v/>
      </c>
      <c r="AX4" t="str">
        <f>INDEX(Tippabgabe!$CF$1:$CF$168,AX$1)</f>
        <v/>
      </c>
      <c r="AY4" t="str">
        <f>INDEX(Tippabgabe!$CF$1:$CF$168,AY$1)</f>
        <v/>
      </c>
      <c r="AZ4" t="str">
        <f>INDEX(Tippabgabe!$CF$1:$CF$168,AZ$1)</f>
        <v/>
      </c>
      <c r="BA4" t="str">
        <f>INDEX(Tippabgabe!$CF$1:$CF$168,BA$1)</f>
        <v/>
      </c>
    </row>
    <row r="5" spans="1:73" x14ac:dyDescent="0.2">
      <c r="A5">
        <v>3</v>
      </c>
      <c r="B5" t="s">
        <v>168</v>
      </c>
      <c r="C5">
        <f>INDEX(Tippabgabe!$CG$1:$CG$168,C$1)</f>
        <v>0</v>
      </c>
      <c r="D5">
        <f>INDEX(Tippabgabe!$CG$1:$CG$168,D$1)</f>
        <v>0</v>
      </c>
      <c r="E5">
        <f>INDEX(Tippabgabe!$CG$1:$CG$168,E$1)</f>
        <v>0</v>
      </c>
      <c r="F5">
        <f>INDEX(Tippabgabe!$CG$1:$CG$168,F$1)</f>
        <v>0</v>
      </c>
      <c r="G5">
        <f>INDEX(Tippabgabe!$CG$1:$CG$168,G$1)</f>
        <v>0</v>
      </c>
      <c r="H5">
        <f>INDEX(Tippabgabe!$CG$1:$CG$168,H$1)</f>
        <v>0</v>
      </c>
      <c r="I5">
        <f>INDEX(Tippabgabe!$CG$1:$CG$168,I$1)</f>
        <v>0</v>
      </c>
      <c r="J5">
        <f>INDEX(Tippabgabe!$CG$1:$CG$168,J$1)</f>
        <v>0</v>
      </c>
      <c r="K5">
        <f>INDEX(Tippabgabe!$CG$1:$CG$168,K$1)</f>
        <v>0</v>
      </c>
      <c r="L5">
        <f>INDEX(Tippabgabe!$CG$1:$CG$168,L$1)</f>
        <v>0</v>
      </c>
      <c r="M5">
        <f>INDEX(Tippabgabe!$CG$1:$CG$168,M$1)</f>
        <v>0</v>
      </c>
      <c r="N5">
        <f>INDEX(Tippabgabe!$CG$1:$CG$168,N$1)</f>
        <v>0</v>
      </c>
      <c r="O5">
        <f>INDEX(Tippabgabe!$CG$1:$CG$168,O$1)</f>
        <v>0</v>
      </c>
      <c r="P5">
        <f>INDEX(Tippabgabe!$CG$1:$CG$168,P$1)</f>
        <v>0</v>
      </c>
      <c r="Q5">
        <f>INDEX(Tippabgabe!$CG$1:$CG$168,Q$1)</f>
        <v>0</v>
      </c>
      <c r="R5">
        <f>INDEX(Tippabgabe!$CG$1:$CG$168,R$1)</f>
        <v>0</v>
      </c>
      <c r="S5">
        <f>INDEX(Tippabgabe!$CG$1:$CG$168,S$1)</f>
        <v>0</v>
      </c>
      <c r="T5">
        <f>INDEX(Tippabgabe!$CG$1:$CG$168,T$1)</f>
        <v>0</v>
      </c>
      <c r="U5">
        <f>INDEX(Tippabgabe!$CG$1:$CG$168,U$1)</f>
        <v>0</v>
      </c>
      <c r="V5">
        <f>INDEX(Tippabgabe!$CG$1:$CG$168,V$1)</f>
        <v>0</v>
      </c>
      <c r="W5">
        <f>INDEX(Tippabgabe!$CG$1:$CG$168,W$1)</f>
        <v>0</v>
      </c>
      <c r="X5">
        <f>INDEX(Tippabgabe!$CG$1:$CG$168,X$1)</f>
        <v>0</v>
      </c>
      <c r="Y5">
        <f>INDEX(Tippabgabe!$CG$1:$CG$168,Y$1)</f>
        <v>0</v>
      </c>
      <c r="Z5">
        <f>INDEX(Tippabgabe!$CG$1:$CG$168,Z$1)</f>
        <v>0</v>
      </c>
      <c r="AA5">
        <f>INDEX(Tippabgabe!$CG$1:$CG$168,AA$1)</f>
        <v>0</v>
      </c>
      <c r="AB5">
        <f>INDEX(Tippabgabe!$CG$1:$CG$168,AB$1)</f>
        <v>0</v>
      </c>
      <c r="AC5">
        <f>INDEX(Tippabgabe!$CG$1:$CG$168,AC$1)</f>
        <v>0</v>
      </c>
      <c r="AD5">
        <f>INDEX(Tippabgabe!$CG$1:$CG$168,AD$1)</f>
        <v>0</v>
      </c>
      <c r="AE5">
        <f>INDEX(Tippabgabe!$CG$1:$CG$168,AE$1)</f>
        <v>0</v>
      </c>
      <c r="AF5">
        <f>INDEX(Tippabgabe!$CG$1:$CG$168,AF$1)</f>
        <v>0</v>
      </c>
      <c r="AG5">
        <f>INDEX(Tippabgabe!$CG$1:$CG$168,AG$1)</f>
        <v>0</v>
      </c>
      <c r="AH5">
        <f>INDEX(Tippabgabe!$CG$1:$CG$168,AH$1)</f>
        <v>0</v>
      </c>
      <c r="AI5">
        <f>INDEX(Tippabgabe!$CG$1:$CG$168,AI$1)</f>
        <v>0</v>
      </c>
      <c r="AJ5">
        <f>INDEX(Tippabgabe!$CG$1:$CG$168,AJ$1)</f>
        <v>0</v>
      </c>
      <c r="AK5">
        <f>INDEX(Tippabgabe!$CG$1:$CG$168,AK$1)</f>
        <v>0</v>
      </c>
      <c r="AL5">
        <f>INDEX(Tippabgabe!$CG$1:$CG$168,AL$1)</f>
        <v>0</v>
      </c>
      <c r="AM5">
        <f>INDEX(Tippabgabe!$CG$1:$CG$168,AM$1)</f>
        <v>0</v>
      </c>
      <c r="AN5">
        <f>INDEX(Tippabgabe!$CG$1:$CG$168,AN$1)</f>
        <v>0</v>
      </c>
      <c r="AO5">
        <f>INDEX(Tippabgabe!$CG$1:$CG$168,AO$1)</f>
        <v>0</v>
      </c>
      <c r="AP5">
        <f>INDEX(Tippabgabe!$CG$1:$CG$168,AP$1)</f>
        <v>0</v>
      </c>
      <c r="AQ5">
        <f>INDEX(Tippabgabe!$CG$1:$CG$168,AQ$1)</f>
        <v>0</v>
      </c>
      <c r="AR5">
        <f>INDEX(Tippabgabe!$CG$1:$CG$168,AR$1)</f>
        <v>0</v>
      </c>
      <c r="AS5">
        <f>INDEX(Tippabgabe!$CG$1:$CG$168,AS$1)</f>
        <v>0</v>
      </c>
      <c r="AT5">
        <f>INDEX(Tippabgabe!$CG$1:$CG$168,AT$1)</f>
        <v>0</v>
      </c>
      <c r="AU5">
        <f>INDEX(Tippabgabe!$CG$1:$CG$168,AU$1)</f>
        <v>0</v>
      </c>
      <c r="AV5">
        <f>INDEX(Tippabgabe!$CG$1:$CG$168,AV$1)</f>
        <v>0</v>
      </c>
      <c r="AW5">
        <f>INDEX(Tippabgabe!$CG$1:$CG$168,AW$1)</f>
        <v>0</v>
      </c>
      <c r="AX5">
        <f>INDEX(Tippabgabe!$CG$1:$CG$168,AX$1)</f>
        <v>0</v>
      </c>
      <c r="AY5">
        <f>INDEX(Tippabgabe!$CG$1:$CG$168,AY$1)</f>
        <v>0</v>
      </c>
      <c r="AZ5">
        <f>INDEX(Tippabgabe!$CG$1:$CG$168,AZ$1)</f>
        <v>0</v>
      </c>
      <c r="BA5">
        <f>INDEX(Tippabgabe!$CG$1:$CG$168,BA$1)</f>
        <v>0</v>
      </c>
    </row>
    <row r="6" spans="1:73" x14ac:dyDescent="0.2">
      <c r="A6">
        <v>4</v>
      </c>
      <c r="B6" t="s">
        <v>383</v>
      </c>
      <c r="C6">
        <f>INDEX(Tippabgabe!$FG$1:$FG$168,C$1)</f>
        <v>1</v>
      </c>
      <c r="D6">
        <f>INDEX(Tippabgabe!$FG$1:$FG$168,D$1)</f>
        <v>1</v>
      </c>
      <c r="E6">
        <f>INDEX(Tippabgabe!$FG$1:$FG$168,E$1)</f>
        <v>1</v>
      </c>
      <c r="F6">
        <f>INDEX(Tippabgabe!$FG$1:$FG$168,F$1)</f>
        <v>1</v>
      </c>
      <c r="G6">
        <f>INDEX(Tippabgabe!$FG$1:$FG$168,G$1)</f>
        <v>1</v>
      </c>
      <c r="H6">
        <f>INDEX(Tippabgabe!$FG$1:$FG$168,H$1)</f>
        <v>1</v>
      </c>
      <c r="I6">
        <f>INDEX(Tippabgabe!$FG$1:$FG$168,I$1)</f>
        <v>1</v>
      </c>
      <c r="J6">
        <f>INDEX(Tippabgabe!$FG$1:$FG$168,J$1)</f>
        <v>1</v>
      </c>
      <c r="K6">
        <f>INDEX(Tippabgabe!$FG$1:$FG$168,K$1)</f>
        <v>1</v>
      </c>
      <c r="L6">
        <f>INDEX(Tippabgabe!$FG$1:$FG$168,L$1)</f>
        <v>1</v>
      </c>
      <c r="M6">
        <f>INDEX(Tippabgabe!$FG$1:$FG$168,M$1)</f>
        <v>1</v>
      </c>
      <c r="N6">
        <f>INDEX(Tippabgabe!$FG$1:$FG$168,N$1)</f>
        <v>1</v>
      </c>
      <c r="O6">
        <f>INDEX(Tippabgabe!$FG$1:$FG$168,O$1)</f>
        <v>1</v>
      </c>
      <c r="P6">
        <f>INDEX(Tippabgabe!$FG$1:$FG$168,P$1)</f>
        <v>1</v>
      </c>
      <c r="Q6">
        <f>INDEX(Tippabgabe!$FG$1:$FG$168,Q$1)</f>
        <v>1</v>
      </c>
      <c r="R6">
        <f>INDEX(Tippabgabe!$FG$1:$FG$168,R$1)</f>
        <v>1</v>
      </c>
      <c r="S6">
        <f>INDEX(Tippabgabe!$FG$1:$FG$168,S$1)</f>
        <v>1</v>
      </c>
      <c r="T6">
        <f>INDEX(Tippabgabe!$FG$1:$FG$168,T$1)</f>
        <v>1</v>
      </c>
      <c r="U6">
        <f>INDEX(Tippabgabe!$FG$1:$FG$168,U$1)</f>
        <v>1</v>
      </c>
      <c r="V6">
        <f>INDEX(Tippabgabe!$FG$1:$FG$168,V$1)</f>
        <v>1</v>
      </c>
      <c r="W6">
        <f>INDEX(Tippabgabe!$FG$1:$FG$168,W$1)</f>
        <v>1</v>
      </c>
      <c r="X6">
        <f>INDEX(Tippabgabe!$FG$1:$FG$168,X$1)</f>
        <v>1</v>
      </c>
      <c r="Y6">
        <f>INDEX(Tippabgabe!$FG$1:$FG$168,Y$1)</f>
        <v>1</v>
      </c>
      <c r="Z6">
        <f>INDEX(Tippabgabe!$FG$1:$FG$168,Z$1)</f>
        <v>1</v>
      </c>
      <c r="AA6">
        <f>INDEX(Tippabgabe!$FG$1:$FG$168,AA$1)</f>
        <v>1</v>
      </c>
      <c r="AB6">
        <f>INDEX(Tippabgabe!$FG$1:$FG$168,AB$1)</f>
        <v>1</v>
      </c>
      <c r="AC6">
        <f>INDEX(Tippabgabe!$FG$1:$FG$168,AC$1)</f>
        <v>1</v>
      </c>
      <c r="AD6">
        <f>INDEX(Tippabgabe!$FG$1:$FG$168,AD$1)</f>
        <v>1</v>
      </c>
      <c r="AE6">
        <f>INDEX(Tippabgabe!$FG$1:$FG$168,AE$1)</f>
        <v>1</v>
      </c>
      <c r="AF6">
        <f>INDEX(Tippabgabe!$FG$1:$FG$168,AF$1)</f>
        <v>1</v>
      </c>
      <c r="AG6">
        <f>INDEX(Tippabgabe!$FG$1:$FG$168,AG$1)</f>
        <v>1</v>
      </c>
      <c r="AH6">
        <f>INDEX(Tippabgabe!$FG$1:$FG$168,AH$1)</f>
        <v>1</v>
      </c>
      <c r="AI6">
        <f>INDEX(Tippabgabe!$FG$1:$FG$168,AI$1)</f>
        <v>1</v>
      </c>
      <c r="AJ6">
        <f>INDEX(Tippabgabe!$FG$1:$FG$168,AJ$1)</f>
        <v>1</v>
      </c>
      <c r="AK6">
        <f>INDEX(Tippabgabe!$FG$1:$FG$168,AK$1)</f>
        <v>1</v>
      </c>
      <c r="AL6">
        <f>INDEX(Tippabgabe!$FG$1:$FG$168,AL$1)</f>
        <v>1</v>
      </c>
      <c r="AM6">
        <f>INDEX(Tippabgabe!$FG$1:$FG$168,AM$1)</f>
        <v>1</v>
      </c>
      <c r="AN6">
        <f>INDEX(Tippabgabe!$FG$1:$FG$168,AN$1)</f>
        <v>1</v>
      </c>
      <c r="AO6">
        <f>INDEX(Tippabgabe!$FG$1:$FG$168,AO$1)</f>
        <v>1</v>
      </c>
      <c r="AP6">
        <f>INDEX(Tippabgabe!$FG$1:$FG$168,AP$1)</f>
        <v>1</v>
      </c>
      <c r="AQ6">
        <f>INDEX(Tippabgabe!$FG$1:$FG$168,AQ$1)</f>
        <v>1</v>
      </c>
      <c r="AR6">
        <f>INDEX(Tippabgabe!$FG$1:$FG$168,AR$1)</f>
        <v>1</v>
      </c>
      <c r="AS6">
        <f>INDEX(Tippabgabe!$FG$1:$FG$168,AS$1)</f>
        <v>1</v>
      </c>
      <c r="AT6">
        <f>INDEX(Tippabgabe!$FG$1:$FG$168,AT$1)</f>
        <v>1</v>
      </c>
      <c r="AU6">
        <f>INDEX(Tippabgabe!$FG$1:$FG$168,AU$1)</f>
        <v>1</v>
      </c>
      <c r="AV6">
        <f>INDEX(Tippabgabe!$FG$1:$FG$168,AV$1)</f>
        <v>1</v>
      </c>
      <c r="AW6">
        <f>INDEX(Tippabgabe!$FG$1:$FG$168,AW$1)</f>
        <v>1</v>
      </c>
      <c r="AX6">
        <f>INDEX(Tippabgabe!$FG$1:$FG$168,AX$1)</f>
        <v>1</v>
      </c>
      <c r="AY6">
        <f>INDEX(Tippabgabe!$FG$1:$FG$168,AY$1)</f>
        <v>5</v>
      </c>
      <c r="AZ6">
        <f>INDEX(Tippabgabe!$FG$1:$FG$168,AZ$1)</f>
        <v>5</v>
      </c>
      <c r="BA6">
        <f>INDEX(Tippabgabe!$FG$1:$FG$168,BA$1)</f>
        <v>5</v>
      </c>
    </row>
    <row r="7" spans="1:73" x14ac:dyDescent="0.2">
      <c r="A7">
        <v>5</v>
      </c>
      <c r="B7" t="s">
        <v>169</v>
      </c>
      <c r="C7">
        <f>INDEX(Tippabgabe!$CJ$1:$CJ$168,C$1)</f>
        <v>0</v>
      </c>
      <c r="D7">
        <f>INDEX(Tippabgabe!$CJ$1:$CJ$168,D$1)</f>
        <v>0</v>
      </c>
      <c r="E7">
        <f>INDEX(Tippabgabe!$CJ$1:$CJ$168,E$1)</f>
        <v>0</v>
      </c>
      <c r="F7">
        <f>INDEX(Tippabgabe!$CJ$1:$CJ$168,F$1)</f>
        <v>0</v>
      </c>
      <c r="G7">
        <f>INDEX(Tippabgabe!$CJ$1:$CJ$168,G$1)</f>
        <v>0</v>
      </c>
      <c r="H7">
        <f>INDEX(Tippabgabe!$CJ$1:$CJ$168,H$1)</f>
        <v>0</v>
      </c>
      <c r="I7">
        <f>INDEX(Tippabgabe!$CJ$1:$CJ$168,I$1)</f>
        <v>0</v>
      </c>
      <c r="J7">
        <f>INDEX(Tippabgabe!$CJ$1:$CJ$168,J$1)</f>
        <v>0</v>
      </c>
      <c r="K7">
        <f>INDEX(Tippabgabe!$CJ$1:$CJ$168,K$1)</f>
        <v>0</v>
      </c>
      <c r="L7">
        <f>INDEX(Tippabgabe!$CJ$1:$CJ$168,L$1)</f>
        <v>0</v>
      </c>
      <c r="M7">
        <f>INDEX(Tippabgabe!$CJ$1:$CJ$168,M$1)</f>
        <v>0</v>
      </c>
      <c r="N7">
        <f>INDEX(Tippabgabe!$CJ$1:$CJ$168,N$1)</f>
        <v>0</v>
      </c>
      <c r="O7">
        <f>INDEX(Tippabgabe!$CJ$1:$CJ$168,O$1)</f>
        <v>0</v>
      </c>
      <c r="P7">
        <f>INDEX(Tippabgabe!$CJ$1:$CJ$168,P$1)</f>
        <v>0</v>
      </c>
      <c r="Q7">
        <f>INDEX(Tippabgabe!$CJ$1:$CJ$168,Q$1)</f>
        <v>0</v>
      </c>
      <c r="R7">
        <f>INDEX(Tippabgabe!$CJ$1:$CJ$168,R$1)</f>
        <v>0</v>
      </c>
      <c r="S7">
        <f>INDEX(Tippabgabe!$CJ$1:$CJ$168,S$1)</f>
        <v>0</v>
      </c>
      <c r="T7">
        <f>INDEX(Tippabgabe!$CJ$1:$CJ$168,T$1)</f>
        <v>0</v>
      </c>
      <c r="U7">
        <f>INDEX(Tippabgabe!$CJ$1:$CJ$168,U$1)</f>
        <v>0</v>
      </c>
      <c r="V7">
        <f>INDEX(Tippabgabe!$CJ$1:$CJ$168,V$1)</f>
        <v>0</v>
      </c>
      <c r="W7">
        <f>INDEX(Tippabgabe!$CJ$1:$CJ$168,W$1)</f>
        <v>0</v>
      </c>
      <c r="X7">
        <f>INDEX(Tippabgabe!$CJ$1:$CJ$168,X$1)</f>
        <v>0</v>
      </c>
      <c r="Y7">
        <f>INDEX(Tippabgabe!$CJ$1:$CJ$168,Y$1)</f>
        <v>0</v>
      </c>
      <c r="Z7">
        <f>INDEX(Tippabgabe!$CJ$1:$CJ$168,Z$1)</f>
        <v>0</v>
      </c>
      <c r="AA7">
        <f>INDEX(Tippabgabe!$CJ$1:$CJ$168,AA$1)</f>
        <v>0</v>
      </c>
      <c r="AB7">
        <f>INDEX(Tippabgabe!$CJ$1:$CJ$168,AB$1)</f>
        <v>0</v>
      </c>
      <c r="AC7">
        <f>INDEX(Tippabgabe!$CJ$1:$CJ$168,AC$1)</f>
        <v>0</v>
      </c>
      <c r="AD7">
        <f>INDEX(Tippabgabe!$CJ$1:$CJ$168,AD$1)</f>
        <v>0</v>
      </c>
      <c r="AE7">
        <f>INDEX(Tippabgabe!$CJ$1:$CJ$168,AE$1)</f>
        <v>0</v>
      </c>
      <c r="AF7">
        <f>INDEX(Tippabgabe!$CJ$1:$CJ$168,AF$1)</f>
        <v>0</v>
      </c>
      <c r="AG7">
        <f>INDEX(Tippabgabe!$CJ$1:$CJ$168,AG$1)</f>
        <v>0</v>
      </c>
      <c r="AH7">
        <f>INDEX(Tippabgabe!$CJ$1:$CJ$168,AH$1)</f>
        <v>0</v>
      </c>
      <c r="AI7">
        <f>INDEX(Tippabgabe!$CJ$1:$CJ$168,AI$1)</f>
        <v>0</v>
      </c>
      <c r="AJ7">
        <f>INDEX(Tippabgabe!$CJ$1:$CJ$168,AJ$1)</f>
        <v>0</v>
      </c>
      <c r="AK7">
        <f>INDEX(Tippabgabe!$CJ$1:$CJ$168,AK$1)</f>
        <v>0</v>
      </c>
      <c r="AL7">
        <f>INDEX(Tippabgabe!$CJ$1:$CJ$168,AL$1)</f>
        <v>0</v>
      </c>
      <c r="AM7">
        <f>INDEX(Tippabgabe!$CJ$1:$CJ$168,AM$1)</f>
        <v>0</v>
      </c>
      <c r="AN7">
        <f>INDEX(Tippabgabe!$CJ$1:$CJ$168,AN$1)</f>
        <v>0</v>
      </c>
      <c r="AO7">
        <f>INDEX(Tippabgabe!$CJ$1:$CJ$168,AO$1)</f>
        <v>0</v>
      </c>
      <c r="AP7">
        <f>INDEX(Tippabgabe!$CJ$1:$CJ$168,AP$1)</f>
        <v>0</v>
      </c>
      <c r="AQ7">
        <f>INDEX(Tippabgabe!$CJ$1:$CJ$168,AQ$1)</f>
        <v>0</v>
      </c>
      <c r="AR7">
        <f>INDEX(Tippabgabe!$CJ$1:$CJ$168,AR$1)</f>
        <v>0</v>
      </c>
      <c r="AS7">
        <f>INDEX(Tippabgabe!$CJ$1:$CJ$168,AS$1)</f>
        <v>0</v>
      </c>
      <c r="AT7">
        <f>INDEX(Tippabgabe!$CJ$1:$CJ$168,AT$1)</f>
        <v>0</v>
      </c>
      <c r="AU7">
        <f>INDEX(Tippabgabe!$CJ$1:$CJ$168,AU$1)</f>
        <v>0</v>
      </c>
      <c r="AV7">
        <f>INDEX(Tippabgabe!$CJ$1:$CJ$168,AV$1)</f>
        <v>0</v>
      </c>
      <c r="AW7">
        <f>INDEX(Tippabgabe!$CJ$1:$CJ$168,AW$1)</f>
        <v>0</v>
      </c>
      <c r="AX7">
        <f>INDEX(Tippabgabe!$CJ$1:$CJ$168,AX$1)</f>
        <v>0</v>
      </c>
      <c r="AY7">
        <f>INDEX(Tippabgabe!$CJ$1:$CJ$168,AY$1)</f>
        <v>0</v>
      </c>
      <c r="AZ7">
        <f>INDEX(Tippabgabe!$CJ$1:$CJ$168,AZ$1)</f>
        <v>0</v>
      </c>
      <c r="BA7">
        <f>INDEX(Tippabgabe!$CJ$1:$CJ$168,BA$1)</f>
        <v>0</v>
      </c>
    </row>
    <row r="8" spans="1:73" x14ac:dyDescent="0.2">
      <c r="A8">
        <v>6</v>
      </c>
      <c r="B8" t="s">
        <v>170</v>
      </c>
      <c r="C8">
        <f>INDEX(Tippabgabe!$CK$1:$CK$168,C$1)</f>
        <v>0</v>
      </c>
      <c r="D8">
        <f>INDEX(Tippabgabe!$CK$1:$CK$168,D$1)</f>
        <v>0</v>
      </c>
      <c r="E8">
        <f>INDEX(Tippabgabe!$CK$1:$CK$168,E$1)</f>
        <v>0</v>
      </c>
      <c r="F8">
        <f>INDEX(Tippabgabe!$CK$1:$CK$168,F$1)</f>
        <v>0</v>
      </c>
      <c r="G8">
        <f>INDEX(Tippabgabe!$CK$1:$CK$168,G$1)</f>
        <v>0</v>
      </c>
      <c r="H8">
        <f>INDEX(Tippabgabe!$CK$1:$CK$168,H$1)</f>
        <v>0</v>
      </c>
      <c r="I8">
        <f>INDEX(Tippabgabe!$CK$1:$CK$168,I$1)</f>
        <v>0</v>
      </c>
      <c r="J8">
        <f>INDEX(Tippabgabe!$CK$1:$CK$168,J$1)</f>
        <v>0</v>
      </c>
      <c r="K8">
        <f>INDEX(Tippabgabe!$CK$1:$CK$168,K$1)</f>
        <v>0</v>
      </c>
      <c r="L8">
        <f>INDEX(Tippabgabe!$CK$1:$CK$168,L$1)</f>
        <v>0</v>
      </c>
      <c r="M8">
        <f>INDEX(Tippabgabe!$CK$1:$CK$168,M$1)</f>
        <v>0</v>
      </c>
      <c r="N8">
        <f>INDEX(Tippabgabe!$CK$1:$CK$168,N$1)</f>
        <v>0</v>
      </c>
      <c r="O8">
        <f>INDEX(Tippabgabe!$CK$1:$CK$168,O$1)</f>
        <v>0</v>
      </c>
      <c r="P8">
        <f>INDEX(Tippabgabe!$CK$1:$CK$168,P$1)</f>
        <v>0</v>
      </c>
      <c r="Q8">
        <f>INDEX(Tippabgabe!$CK$1:$CK$168,Q$1)</f>
        <v>0</v>
      </c>
      <c r="R8">
        <f>INDEX(Tippabgabe!$CK$1:$CK$168,R$1)</f>
        <v>0</v>
      </c>
      <c r="S8">
        <f>INDEX(Tippabgabe!$CK$1:$CK$168,S$1)</f>
        <v>0</v>
      </c>
      <c r="T8">
        <f>INDEX(Tippabgabe!$CK$1:$CK$168,T$1)</f>
        <v>0</v>
      </c>
      <c r="U8">
        <f>INDEX(Tippabgabe!$CK$1:$CK$168,U$1)</f>
        <v>0</v>
      </c>
      <c r="V8">
        <f>INDEX(Tippabgabe!$CK$1:$CK$168,V$1)</f>
        <v>0</v>
      </c>
      <c r="W8">
        <f>INDEX(Tippabgabe!$CK$1:$CK$168,W$1)</f>
        <v>0</v>
      </c>
      <c r="X8">
        <f>INDEX(Tippabgabe!$CK$1:$CK$168,X$1)</f>
        <v>0</v>
      </c>
      <c r="Y8">
        <f>INDEX(Tippabgabe!$CK$1:$CK$168,Y$1)</f>
        <v>0</v>
      </c>
      <c r="Z8">
        <f>INDEX(Tippabgabe!$CK$1:$CK$168,Z$1)</f>
        <v>0</v>
      </c>
      <c r="AA8">
        <f>INDEX(Tippabgabe!$CK$1:$CK$168,AA$1)</f>
        <v>0</v>
      </c>
      <c r="AB8">
        <f>INDEX(Tippabgabe!$CK$1:$CK$168,AB$1)</f>
        <v>0</v>
      </c>
      <c r="AC8">
        <f>INDEX(Tippabgabe!$CK$1:$CK$168,AC$1)</f>
        <v>0</v>
      </c>
      <c r="AD8">
        <f>INDEX(Tippabgabe!$CK$1:$CK$168,AD$1)</f>
        <v>0</v>
      </c>
      <c r="AE8">
        <f>INDEX(Tippabgabe!$CK$1:$CK$168,AE$1)</f>
        <v>0</v>
      </c>
      <c r="AF8">
        <f>INDEX(Tippabgabe!$CK$1:$CK$168,AF$1)</f>
        <v>0</v>
      </c>
      <c r="AG8">
        <f>INDEX(Tippabgabe!$CK$1:$CK$168,AG$1)</f>
        <v>0</v>
      </c>
      <c r="AH8">
        <f>INDEX(Tippabgabe!$CK$1:$CK$168,AH$1)</f>
        <v>0</v>
      </c>
      <c r="AI8">
        <f>INDEX(Tippabgabe!$CK$1:$CK$168,AI$1)</f>
        <v>0</v>
      </c>
      <c r="AJ8">
        <f>INDEX(Tippabgabe!$CK$1:$CK$168,AJ$1)</f>
        <v>0</v>
      </c>
      <c r="AK8">
        <f>INDEX(Tippabgabe!$CK$1:$CK$168,AK$1)</f>
        <v>0</v>
      </c>
      <c r="AL8">
        <f>INDEX(Tippabgabe!$CK$1:$CK$168,AL$1)</f>
        <v>0</v>
      </c>
      <c r="AM8">
        <f>INDEX(Tippabgabe!$CK$1:$CK$168,AM$1)</f>
        <v>0</v>
      </c>
      <c r="AN8">
        <f>INDEX(Tippabgabe!$CK$1:$CK$168,AN$1)</f>
        <v>0</v>
      </c>
      <c r="AO8">
        <f>INDEX(Tippabgabe!$CK$1:$CK$168,AO$1)</f>
        <v>0</v>
      </c>
      <c r="AP8">
        <f>INDEX(Tippabgabe!$CK$1:$CK$168,AP$1)</f>
        <v>0</v>
      </c>
      <c r="AQ8">
        <f>INDEX(Tippabgabe!$CK$1:$CK$168,AQ$1)</f>
        <v>0</v>
      </c>
      <c r="AR8">
        <f>INDEX(Tippabgabe!$CK$1:$CK$168,AR$1)</f>
        <v>0</v>
      </c>
      <c r="AS8">
        <f>INDEX(Tippabgabe!$CK$1:$CK$168,AS$1)</f>
        <v>0</v>
      </c>
      <c r="AT8">
        <f>INDEX(Tippabgabe!$CK$1:$CK$168,AT$1)</f>
        <v>0</v>
      </c>
      <c r="AU8">
        <f>INDEX(Tippabgabe!$CK$1:$CK$168,AU$1)</f>
        <v>0</v>
      </c>
      <c r="AV8">
        <f>INDEX(Tippabgabe!$CK$1:$CK$168,AV$1)</f>
        <v>0</v>
      </c>
      <c r="AW8">
        <f>INDEX(Tippabgabe!$CK$1:$CK$168,AW$1)</f>
        <v>0</v>
      </c>
      <c r="AX8">
        <f>INDEX(Tippabgabe!$CK$1:$CK$168,AX$1)</f>
        <v>0</v>
      </c>
      <c r="AY8">
        <f>INDEX(Tippabgabe!$CK$1:$CK$168,AY$1)</f>
        <v>0</v>
      </c>
      <c r="AZ8">
        <f>INDEX(Tippabgabe!$CK$1:$CK$168,AZ$1)</f>
        <v>0</v>
      </c>
      <c r="BA8">
        <f>INDEX(Tippabgabe!$CK$1:$CK$168,BA$1)</f>
        <v>0</v>
      </c>
    </row>
    <row r="9" spans="1:73" x14ac:dyDescent="0.2">
      <c r="A9">
        <v>7</v>
      </c>
      <c r="B9" t="s">
        <v>171</v>
      </c>
      <c r="C9">
        <f>INDEX(Tippabgabe!$CI$1:$CI$168,C$1)</f>
        <v>0</v>
      </c>
      <c r="D9">
        <f>INDEX(Tippabgabe!$CI$1:$CI$168,D$1)</f>
        <v>0</v>
      </c>
      <c r="E9">
        <f>INDEX(Tippabgabe!$CI$1:$CI$168,E$1)</f>
        <v>0</v>
      </c>
      <c r="F9">
        <f>INDEX(Tippabgabe!$CI$1:$CI$168,F$1)</f>
        <v>0</v>
      </c>
      <c r="G9">
        <f>INDEX(Tippabgabe!$CI$1:$CI$168,G$1)</f>
        <v>0</v>
      </c>
      <c r="H9">
        <f>INDEX(Tippabgabe!$CI$1:$CI$168,H$1)</f>
        <v>0</v>
      </c>
      <c r="I9">
        <f>INDEX(Tippabgabe!$CI$1:$CI$168,I$1)</f>
        <v>0</v>
      </c>
      <c r="J9">
        <f>INDEX(Tippabgabe!$CI$1:$CI$168,J$1)</f>
        <v>0</v>
      </c>
      <c r="K9">
        <f>INDEX(Tippabgabe!$CI$1:$CI$168,K$1)</f>
        <v>0</v>
      </c>
      <c r="L9">
        <f>INDEX(Tippabgabe!$CI$1:$CI$168,L$1)</f>
        <v>0</v>
      </c>
      <c r="M9">
        <f>INDEX(Tippabgabe!$CI$1:$CI$168,M$1)</f>
        <v>0</v>
      </c>
      <c r="N9">
        <f>INDEX(Tippabgabe!$CI$1:$CI$168,N$1)</f>
        <v>0</v>
      </c>
      <c r="O9">
        <f>INDEX(Tippabgabe!$CI$1:$CI$168,O$1)</f>
        <v>0</v>
      </c>
      <c r="P9">
        <f>INDEX(Tippabgabe!$CI$1:$CI$168,P$1)</f>
        <v>0</v>
      </c>
      <c r="Q9">
        <f>INDEX(Tippabgabe!$CI$1:$CI$168,Q$1)</f>
        <v>0</v>
      </c>
      <c r="R9">
        <f>INDEX(Tippabgabe!$CI$1:$CI$168,R$1)</f>
        <v>0</v>
      </c>
      <c r="S9">
        <f>INDEX(Tippabgabe!$CI$1:$CI$168,S$1)</f>
        <v>0</v>
      </c>
      <c r="T9">
        <f>INDEX(Tippabgabe!$CI$1:$CI$168,T$1)</f>
        <v>0</v>
      </c>
      <c r="U9">
        <f>INDEX(Tippabgabe!$CI$1:$CI$168,U$1)</f>
        <v>0</v>
      </c>
      <c r="V9">
        <f>INDEX(Tippabgabe!$CI$1:$CI$168,V$1)</f>
        <v>0</v>
      </c>
      <c r="W9">
        <f>INDEX(Tippabgabe!$CI$1:$CI$168,W$1)</f>
        <v>0</v>
      </c>
      <c r="X9">
        <f>INDEX(Tippabgabe!$CI$1:$CI$168,X$1)</f>
        <v>0</v>
      </c>
      <c r="Y9">
        <f>INDEX(Tippabgabe!$CI$1:$CI$168,Y$1)</f>
        <v>0</v>
      </c>
      <c r="Z9">
        <f>INDEX(Tippabgabe!$CI$1:$CI$168,Z$1)</f>
        <v>0</v>
      </c>
      <c r="AA9">
        <f>INDEX(Tippabgabe!$CI$1:$CI$168,AA$1)</f>
        <v>0</v>
      </c>
      <c r="AB9">
        <f>INDEX(Tippabgabe!$CI$1:$CI$168,AB$1)</f>
        <v>0</v>
      </c>
      <c r="AC9">
        <f>INDEX(Tippabgabe!$CI$1:$CI$168,AC$1)</f>
        <v>0</v>
      </c>
      <c r="AD9">
        <f>INDEX(Tippabgabe!$CI$1:$CI$168,AD$1)</f>
        <v>0</v>
      </c>
      <c r="AE9">
        <f>INDEX(Tippabgabe!$CI$1:$CI$168,AE$1)</f>
        <v>0</v>
      </c>
      <c r="AF9">
        <f>INDEX(Tippabgabe!$CI$1:$CI$168,AF$1)</f>
        <v>0</v>
      </c>
      <c r="AG9">
        <f>INDEX(Tippabgabe!$CI$1:$CI$168,AG$1)</f>
        <v>0</v>
      </c>
      <c r="AH9">
        <f>INDEX(Tippabgabe!$CI$1:$CI$168,AH$1)</f>
        <v>0</v>
      </c>
      <c r="AI9">
        <f>INDEX(Tippabgabe!$CI$1:$CI$168,AI$1)</f>
        <v>0</v>
      </c>
      <c r="AJ9">
        <f>INDEX(Tippabgabe!$CI$1:$CI$168,AJ$1)</f>
        <v>0</v>
      </c>
      <c r="AK9">
        <f>INDEX(Tippabgabe!$CI$1:$CI$168,AK$1)</f>
        <v>0</v>
      </c>
      <c r="AL9">
        <f>INDEX(Tippabgabe!$CI$1:$CI$168,AL$1)</f>
        <v>0</v>
      </c>
      <c r="AM9">
        <f>INDEX(Tippabgabe!$CI$1:$CI$168,AM$1)</f>
        <v>0</v>
      </c>
      <c r="AN9">
        <f>INDEX(Tippabgabe!$CI$1:$CI$168,AN$1)</f>
        <v>0</v>
      </c>
      <c r="AO9">
        <f>INDEX(Tippabgabe!$CI$1:$CI$168,AO$1)</f>
        <v>0</v>
      </c>
      <c r="AP9">
        <f>INDEX(Tippabgabe!$CI$1:$CI$168,AP$1)</f>
        <v>0</v>
      </c>
      <c r="AQ9">
        <f>INDEX(Tippabgabe!$CI$1:$CI$168,AQ$1)</f>
        <v>0</v>
      </c>
      <c r="AR9">
        <f>INDEX(Tippabgabe!$CI$1:$CI$168,AR$1)</f>
        <v>0</v>
      </c>
      <c r="AS9">
        <f>INDEX(Tippabgabe!$CI$1:$CI$168,AS$1)</f>
        <v>0</v>
      </c>
      <c r="AT9">
        <f>INDEX(Tippabgabe!$CI$1:$CI$168,AT$1)</f>
        <v>0</v>
      </c>
      <c r="AU9">
        <f>INDEX(Tippabgabe!$CI$1:$CI$168,AU$1)</f>
        <v>0</v>
      </c>
      <c r="AV9">
        <f>INDEX(Tippabgabe!$CI$1:$CI$168,AV$1)</f>
        <v>0</v>
      </c>
      <c r="AW9">
        <f>INDEX(Tippabgabe!$CI$1:$CI$168,AW$1)</f>
        <v>0</v>
      </c>
      <c r="AX9">
        <f>INDEX(Tippabgabe!$CI$1:$CI$168,AX$1)</f>
        <v>0</v>
      </c>
      <c r="AY9">
        <f>INDEX(Tippabgabe!$CI$1:$CI$168,AY$1)</f>
        <v>0</v>
      </c>
      <c r="AZ9">
        <f>INDEX(Tippabgabe!$CI$1:$CI$168,AZ$1)</f>
        <v>0</v>
      </c>
      <c r="BA9">
        <f>INDEX(Tippabgabe!$CI$1:$CI$168,BA$1)</f>
        <v>0</v>
      </c>
    </row>
    <row r="10" spans="1:73" x14ac:dyDescent="0.2">
      <c r="A10">
        <v>8</v>
      </c>
      <c r="B10" t="s">
        <v>172</v>
      </c>
      <c r="C10">
        <f>INDEX(Tippabgabe!$CL$1:$CL$168,C$1)</f>
        <v>0</v>
      </c>
      <c r="D10">
        <f>INDEX(Tippabgabe!$CL$1:$CL$168,D$1)</f>
        <v>0</v>
      </c>
      <c r="E10">
        <f>INDEX(Tippabgabe!$CL$1:$CL$168,E$1)</f>
        <v>0</v>
      </c>
      <c r="F10">
        <f>INDEX(Tippabgabe!$CL$1:$CL$168,F$1)</f>
        <v>0</v>
      </c>
      <c r="G10">
        <f>INDEX(Tippabgabe!$CL$1:$CL$168,G$1)</f>
        <v>0</v>
      </c>
      <c r="H10">
        <f>INDEX(Tippabgabe!$CL$1:$CL$168,H$1)</f>
        <v>0</v>
      </c>
      <c r="I10">
        <f>INDEX(Tippabgabe!$CL$1:$CL$168,I$1)</f>
        <v>0</v>
      </c>
      <c r="J10">
        <f>INDEX(Tippabgabe!$CL$1:$CL$168,J$1)</f>
        <v>0</v>
      </c>
      <c r="K10">
        <f>INDEX(Tippabgabe!$CL$1:$CL$168,K$1)</f>
        <v>0</v>
      </c>
      <c r="L10">
        <f>INDEX(Tippabgabe!$CL$1:$CL$168,L$1)</f>
        <v>0</v>
      </c>
      <c r="M10">
        <f>INDEX(Tippabgabe!$CL$1:$CL$168,M$1)</f>
        <v>0</v>
      </c>
      <c r="N10">
        <f>INDEX(Tippabgabe!$CL$1:$CL$168,N$1)</f>
        <v>0</v>
      </c>
      <c r="O10">
        <f>INDEX(Tippabgabe!$CL$1:$CL$168,O$1)</f>
        <v>0</v>
      </c>
      <c r="P10">
        <f>INDEX(Tippabgabe!$CL$1:$CL$168,P$1)</f>
        <v>0</v>
      </c>
      <c r="Q10">
        <f>INDEX(Tippabgabe!$CL$1:$CL$168,Q$1)</f>
        <v>0</v>
      </c>
      <c r="R10">
        <f>INDEX(Tippabgabe!$CL$1:$CL$168,R$1)</f>
        <v>0</v>
      </c>
      <c r="S10">
        <f>INDEX(Tippabgabe!$CL$1:$CL$168,S$1)</f>
        <v>0</v>
      </c>
      <c r="T10">
        <f>INDEX(Tippabgabe!$CL$1:$CL$168,T$1)</f>
        <v>0</v>
      </c>
      <c r="U10">
        <f>INDEX(Tippabgabe!$CL$1:$CL$168,U$1)</f>
        <v>0</v>
      </c>
      <c r="V10">
        <f>INDEX(Tippabgabe!$CL$1:$CL$168,V$1)</f>
        <v>0</v>
      </c>
      <c r="W10">
        <f>INDEX(Tippabgabe!$CL$1:$CL$168,W$1)</f>
        <v>0</v>
      </c>
      <c r="X10">
        <f>INDEX(Tippabgabe!$CL$1:$CL$168,X$1)</f>
        <v>0</v>
      </c>
      <c r="Y10">
        <f>INDEX(Tippabgabe!$CL$1:$CL$168,Y$1)</f>
        <v>0</v>
      </c>
      <c r="Z10">
        <f>INDEX(Tippabgabe!$CL$1:$CL$168,Z$1)</f>
        <v>0</v>
      </c>
      <c r="AA10">
        <f>INDEX(Tippabgabe!$CL$1:$CL$168,AA$1)</f>
        <v>0</v>
      </c>
      <c r="AB10">
        <f>INDEX(Tippabgabe!$CL$1:$CL$168,AB$1)</f>
        <v>0</v>
      </c>
      <c r="AC10">
        <f>INDEX(Tippabgabe!$CL$1:$CL$168,AC$1)</f>
        <v>0</v>
      </c>
      <c r="AD10">
        <f>INDEX(Tippabgabe!$CL$1:$CL$168,AD$1)</f>
        <v>0</v>
      </c>
      <c r="AE10">
        <f>INDEX(Tippabgabe!$CL$1:$CL$168,AE$1)</f>
        <v>0</v>
      </c>
      <c r="AF10">
        <f>INDEX(Tippabgabe!$CL$1:$CL$168,AF$1)</f>
        <v>0</v>
      </c>
      <c r="AG10">
        <f>INDEX(Tippabgabe!$CL$1:$CL$168,AG$1)</f>
        <v>0</v>
      </c>
      <c r="AH10">
        <f>INDEX(Tippabgabe!$CL$1:$CL$168,AH$1)</f>
        <v>0</v>
      </c>
      <c r="AI10">
        <f>INDEX(Tippabgabe!$CL$1:$CL$168,AI$1)</f>
        <v>0</v>
      </c>
      <c r="AJ10">
        <f>INDEX(Tippabgabe!$CL$1:$CL$168,AJ$1)</f>
        <v>0</v>
      </c>
      <c r="AK10">
        <f>INDEX(Tippabgabe!$CL$1:$CL$168,AK$1)</f>
        <v>0</v>
      </c>
      <c r="AL10">
        <f>INDEX(Tippabgabe!$CL$1:$CL$168,AL$1)</f>
        <v>0</v>
      </c>
      <c r="AM10">
        <f ca="1">INDEX(Tippabgabe!$CL$1:$CL$168,AM$1)</f>
        <v>0</v>
      </c>
      <c r="AN10">
        <f ca="1">INDEX(Tippabgabe!$CL$1:$CL$168,AN$1)</f>
        <v>0</v>
      </c>
      <c r="AO10">
        <f ca="1">INDEX(Tippabgabe!$CL$1:$CL$168,AO$1)</f>
        <v>0</v>
      </c>
      <c r="AP10">
        <f ca="1">INDEX(Tippabgabe!$CL$1:$CL$168,AP$1)</f>
        <v>0</v>
      </c>
      <c r="AQ10">
        <f ca="1">INDEX(Tippabgabe!$CL$1:$CL$168,AQ$1)</f>
        <v>0</v>
      </c>
      <c r="AR10">
        <f ca="1">INDEX(Tippabgabe!$CL$1:$CL$168,AR$1)</f>
        <v>0</v>
      </c>
      <c r="AS10">
        <f ca="1">INDEX(Tippabgabe!$CL$1:$CL$168,AS$1)</f>
        <v>0</v>
      </c>
      <c r="AT10">
        <f ca="1">INDEX(Tippabgabe!$CL$1:$CL$168,AT$1)</f>
        <v>0</v>
      </c>
      <c r="AU10">
        <f ca="1">INDEX(Tippabgabe!$CL$1:$CL$168,AU$1)</f>
        <v>0</v>
      </c>
      <c r="AV10">
        <f ca="1">INDEX(Tippabgabe!$CL$1:$CL$168,AV$1)</f>
        <v>0</v>
      </c>
      <c r="AW10">
        <f ca="1">INDEX(Tippabgabe!$CL$1:$CL$168,AW$1)</f>
        <v>0</v>
      </c>
      <c r="AX10">
        <f ca="1">INDEX(Tippabgabe!$CL$1:$CL$168,AX$1)</f>
        <v>0</v>
      </c>
      <c r="AY10">
        <f ca="1">INDEX(Tippabgabe!$CL$1:$CL$168,AY$1)</f>
        <v>0</v>
      </c>
      <c r="AZ10">
        <f ca="1">INDEX(Tippabgabe!$CL$1:$CL$168,AZ$1)</f>
        <v>0</v>
      </c>
      <c r="BA10">
        <f ca="1">INDEX(Tippabgabe!$CL$1:$CL$168,BA$1)</f>
        <v>0</v>
      </c>
    </row>
    <row r="11" spans="1:73" x14ac:dyDescent="0.2">
      <c r="A11">
        <v>9</v>
      </c>
      <c r="B11" t="s">
        <v>1127</v>
      </c>
      <c r="C11">
        <f t="shared" ref="C11:AL11" si="0">C16</f>
        <v>-1</v>
      </c>
      <c r="D11">
        <f t="shared" si="0"/>
        <v>-1</v>
      </c>
      <c r="E11">
        <f t="shared" si="0"/>
        <v>-1</v>
      </c>
      <c r="F11">
        <f t="shared" si="0"/>
        <v>-1</v>
      </c>
      <c r="G11">
        <f t="shared" si="0"/>
        <v>-1</v>
      </c>
      <c r="H11">
        <f t="shared" si="0"/>
        <v>-1</v>
      </c>
      <c r="I11">
        <f t="shared" si="0"/>
        <v>-1</v>
      </c>
      <c r="J11">
        <f t="shared" si="0"/>
        <v>-1</v>
      </c>
      <c r="K11">
        <f t="shared" si="0"/>
        <v>-1</v>
      </c>
      <c r="L11">
        <f t="shared" si="0"/>
        <v>-1</v>
      </c>
      <c r="M11">
        <f t="shared" si="0"/>
        <v>-1</v>
      </c>
      <c r="N11">
        <f t="shared" si="0"/>
        <v>-1</v>
      </c>
      <c r="O11">
        <f t="shared" si="0"/>
        <v>-1</v>
      </c>
      <c r="P11">
        <f t="shared" si="0"/>
        <v>-1</v>
      </c>
      <c r="Q11">
        <f t="shared" si="0"/>
        <v>-1</v>
      </c>
      <c r="R11">
        <f t="shared" si="0"/>
        <v>-1</v>
      </c>
      <c r="S11">
        <f t="shared" si="0"/>
        <v>-1</v>
      </c>
      <c r="T11">
        <f t="shared" si="0"/>
        <v>-1</v>
      </c>
      <c r="U11">
        <f t="shared" si="0"/>
        <v>-1</v>
      </c>
      <c r="V11">
        <f t="shared" si="0"/>
        <v>-1</v>
      </c>
      <c r="W11">
        <f t="shared" si="0"/>
        <v>-1</v>
      </c>
      <c r="X11">
        <f t="shared" si="0"/>
        <v>-1</v>
      </c>
      <c r="Y11">
        <f t="shared" si="0"/>
        <v>-1</v>
      </c>
      <c r="Z11">
        <f t="shared" si="0"/>
        <v>-1</v>
      </c>
      <c r="AA11">
        <f t="shared" si="0"/>
        <v>-1</v>
      </c>
      <c r="AB11">
        <f t="shared" si="0"/>
        <v>-1</v>
      </c>
      <c r="AC11">
        <f t="shared" si="0"/>
        <v>-1</v>
      </c>
      <c r="AD11">
        <f t="shared" si="0"/>
        <v>-1</v>
      </c>
      <c r="AE11">
        <f t="shared" si="0"/>
        <v>-1</v>
      </c>
      <c r="AF11">
        <f t="shared" si="0"/>
        <v>-1</v>
      </c>
      <c r="AG11">
        <f t="shared" si="0"/>
        <v>-1</v>
      </c>
      <c r="AH11">
        <f t="shared" si="0"/>
        <v>-1</v>
      </c>
      <c r="AI11">
        <f t="shared" si="0"/>
        <v>-1</v>
      </c>
      <c r="AJ11">
        <f t="shared" si="0"/>
        <v>-1</v>
      </c>
      <c r="AK11">
        <f t="shared" si="0"/>
        <v>-1</v>
      </c>
      <c r="AL11">
        <f t="shared" si="0"/>
        <v>-1</v>
      </c>
      <c r="AM11" s="264">
        <f ca="1">INDEX(Tippabgabe!$EJ$1:$EJ$168,AM$1)</f>
        <v>-1</v>
      </c>
      <c r="AN11" s="264">
        <f ca="1">INDEX(Tippabgabe!$EJ$1:$EJ$168,AN$1)</f>
        <v>-1</v>
      </c>
      <c r="AO11" s="264">
        <f ca="1">INDEX(Tippabgabe!$EJ$1:$EJ$168,AO$1)</f>
        <v>-1</v>
      </c>
      <c r="AP11" s="264">
        <f ca="1">INDEX(Tippabgabe!$EJ$1:$EJ$168,AP$1)</f>
        <v>-1</v>
      </c>
      <c r="AQ11" s="264">
        <f ca="1">INDEX(Tippabgabe!$EJ$1:$EJ$168,AQ$1)</f>
        <v>-1</v>
      </c>
      <c r="AR11" s="264">
        <f ca="1">INDEX(Tippabgabe!$EJ$1:$EJ$168,AR$1)</f>
        <v>-1</v>
      </c>
      <c r="AS11" s="264">
        <f ca="1">INDEX(Tippabgabe!$EJ$1:$EJ$168,AS$1)</f>
        <v>-1</v>
      </c>
      <c r="AT11" s="264">
        <f ca="1">INDEX(Tippabgabe!$EJ$1:$EJ$168,AT$1)</f>
        <v>-1</v>
      </c>
      <c r="AU11" s="264">
        <f ca="1">INDEX(Tippabgabe!$EJ$1:$EJ$168,AU$1)</f>
        <v>-1</v>
      </c>
      <c r="AV11" s="264">
        <f ca="1">INDEX(Tippabgabe!$EJ$1:$EJ$168,AV$1)</f>
        <v>-1</v>
      </c>
      <c r="AW11" s="264">
        <f ca="1">INDEX(Tippabgabe!$EJ$1:$EJ$168,AW$1)</f>
        <v>-1</v>
      </c>
      <c r="AX11" s="264">
        <f ca="1">INDEX(Tippabgabe!$EJ$1:$EJ$168,AX$1)</f>
        <v>-1</v>
      </c>
      <c r="AY11" s="264">
        <f ca="1">INDEX(Tippabgabe!$EJ$1:$EJ$168,AY$1)</f>
        <v>-1</v>
      </c>
      <c r="AZ11" s="264">
        <f ca="1">INDEX(Tippabgabe!$EJ$1:$EJ$168,AZ$1)</f>
        <v>-1</v>
      </c>
      <c r="BA11" s="264">
        <f ca="1">INDEX(Tippabgabe!$EJ$1:$EJ$168,BA$1)</f>
        <v>-1</v>
      </c>
      <c r="BC11" s="91"/>
      <c r="BD11" s="91"/>
      <c r="BE11" s="91"/>
      <c r="BF11" s="91"/>
      <c r="BG11" s="91"/>
      <c r="BH11" s="91"/>
      <c r="BI11" s="91"/>
      <c r="BJ11" s="91"/>
      <c r="BK11" s="91"/>
      <c r="BL11" s="91"/>
      <c r="BM11" s="91"/>
      <c r="BN11" s="91"/>
      <c r="BO11" s="91"/>
      <c r="BP11" s="91"/>
      <c r="BQ11" s="91"/>
      <c r="BR11" s="91"/>
      <c r="BS11" s="91"/>
      <c r="BT11" s="91"/>
      <c r="BU11" s="91"/>
    </row>
    <row r="12" spans="1:73" x14ac:dyDescent="0.2">
      <c r="A12">
        <v>10</v>
      </c>
      <c r="B12" t="s">
        <v>1128</v>
      </c>
      <c r="C12" s="317" t="str">
        <f ca="1">IF(NOT(INDEX(Tippabgabe!$DN$69:$DN$74,tipps!C33)),"",OFFSET(Tippabgabe!$DN$39,tipps!B35,0))</f>
        <v/>
      </c>
      <c r="D12" s="317" t="str">
        <f ca="1">IF(NOT(INDEX(Tippabgabe!$DN$69:$DN$74,tipps!D33)),"",OFFSET(Tippabgabe!$DN$39,tipps!C35,0))</f>
        <v/>
      </c>
      <c r="E12" s="317" t="str">
        <f ca="1">IF(NOT(INDEX(Tippabgabe!$DN$69:$DN$74,tipps!E33)),"",OFFSET(Tippabgabe!$DN$39,tipps!D35,0))</f>
        <v/>
      </c>
      <c r="F12" s="317" t="str">
        <f ca="1">IF(NOT(INDEX(Tippabgabe!$DN$69:$DN$74,tipps!F33)),"",OFFSET(Tippabgabe!$DN$39,tipps!E35,0))</f>
        <v/>
      </c>
      <c r="G12" s="317" t="str">
        <f ca="1">IF(NOT(INDEX(Tippabgabe!$DN$69:$DN$74,tipps!G33)),"",OFFSET(Tippabgabe!$DN$39,tipps!F35,0))</f>
        <v/>
      </c>
      <c r="H12" s="317" t="str">
        <f ca="1">IF(NOT(INDEX(Tippabgabe!$DN$69:$DN$74,tipps!H33)),"",OFFSET(Tippabgabe!$DN$39,tipps!G35,0))</f>
        <v/>
      </c>
      <c r="I12" s="317" t="str">
        <f ca="1">IF(NOT(INDEX(Tippabgabe!$DN$69:$DN$74,tipps!I33)),"",OFFSET(Tippabgabe!$DN$39,tipps!H35,0))</f>
        <v/>
      </c>
      <c r="J12" s="317" t="str">
        <f ca="1">IF(NOT(INDEX(Tippabgabe!$DN$69:$DN$74,tipps!J33)),"",OFFSET(Tippabgabe!$DN$39,tipps!I35,0))</f>
        <v/>
      </c>
      <c r="K12" s="317" t="str">
        <f ca="1">IF(NOT(INDEX(Tippabgabe!$DN$69:$DN$74,tipps!K33)),"",OFFSET(Tippabgabe!$DN$39,tipps!J35,0))</f>
        <v/>
      </c>
      <c r="L12" s="317" t="str">
        <f ca="1">IF(NOT(INDEX(Tippabgabe!$DN$69:$DN$74,tipps!L33)),"",OFFSET(Tippabgabe!$DN$39,tipps!K35,0))</f>
        <v/>
      </c>
      <c r="M12" s="317" t="str">
        <f ca="1">IF(NOT(INDEX(Tippabgabe!$DN$69:$DN$74,tipps!M33)),"",OFFSET(Tippabgabe!$DN$39,tipps!L35,0))</f>
        <v/>
      </c>
      <c r="N12" s="317" t="str">
        <f ca="1">IF(NOT(INDEX(Tippabgabe!$DN$69:$DN$74,tipps!N33)),"",OFFSET(Tippabgabe!$DN$39,tipps!M35,0))</f>
        <v/>
      </c>
      <c r="O12" s="317" t="str">
        <f ca="1">IF(NOT(INDEX(Tippabgabe!$DN$69:$DN$74,tipps!O33)),"",OFFSET(Tippabgabe!$DN$39,tipps!N35,0))</f>
        <v/>
      </c>
      <c r="P12" s="317" t="str">
        <f ca="1">IF(NOT(INDEX(Tippabgabe!$DN$69:$DN$74,tipps!P33)),"",OFFSET(Tippabgabe!$DN$39,tipps!O35,0))</f>
        <v/>
      </c>
      <c r="Q12" s="317" t="str">
        <f ca="1">IF(NOT(INDEX(Tippabgabe!$DN$69:$DN$74,tipps!Q33)),"",OFFSET(Tippabgabe!$DN$39,tipps!P35,0))</f>
        <v/>
      </c>
      <c r="R12" s="317" t="str">
        <f ca="1">IF(NOT(INDEX(Tippabgabe!$DN$69:$DN$74,tipps!R33)),"",OFFSET(Tippabgabe!$DN$39,tipps!Q35,0))</f>
        <v/>
      </c>
      <c r="S12" s="317" t="str">
        <f ca="1">IF(NOT(INDEX(Tippabgabe!$DN$69:$DN$74,tipps!S33)),"",OFFSET(Tippabgabe!$DN$39,tipps!R35,0))</f>
        <v/>
      </c>
      <c r="T12" s="317" t="str">
        <f ca="1">IF(NOT(INDEX(Tippabgabe!$DN$69:$DN$74,tipps!T33)),"",OFFSET(Tippabgabe!$DN$39,tipps!S35,0))</f>
        <v/>
      </c>
      <c r="U12" s="317" t="str">
        <f ca="1">IF(NOT(INDEX(Tippabgabe!$DN$69:$DN$74,tipps!U33)),"",OFFSET(Tippabgabe!$DN$39,tipps!T35,0))</f>
        <v/>
      </c>
      <c r="V12" s="317" t="str">
        <f ca="1">IF(NOT(INDEX(Tippabgabe!$DN$69:$DN$74,tipps!V33)),"",OFFSET(Tippabgabe!$DN$39,tipps!U35,0))</f>
        <v/>
      </c>
      <c r="W12" s="317" t="str">
        <f ca="1">IF(NOT(INDEX(Tippabgabe!$DN$69:$DN$74,tipps!W33)),"",OFFSET(Tippabgabe!$DN$39,tipps!V35,0))</f>
        <v/>
      </c>
      <c r="X12" s="317" t="str">
        <f ca="1">IF(NOT(INDEX(Tippabgabe!$DN$69:$DN$74,tipps!X33)),"",OFFSET(Tippabgabe!$DN$39,tipps!W35,0))</f>
        <v/>
      </c>
      <c r="Y12" s="317" t="str">
        <f ca="1">IF(NOT(INDEX(Tippabgabe!$DN$69:$DN$74,tipps!Y33)),"",OFFSET(Tippabgabe!$DN$39,tipps!X35,0))</f>
        <v/>
      </c>
      <c r="Z12" s="317" t="str">
        <f ca="1">IF(NOT(INDEX(Tippabgabe!$DN$69:$DN$74,tipps!Z33)),"",OFFSET(Tippabgabe!$DN$39,tipps!Y35,0))</f>
        <v/>
      </c>
      <c r="AA12" s="63" t="str">
        <f>IF(NOT(mandrtipp),"",Tippabgabe!DR81)</f>
        <v/>
      </c>
      <c r="AB12" s="63" t="str">
        <f>IF(NOT(mandrtipp),"",Tippabgabe!DR82)</f>
        <v/>
      </c>
      <c r="AC12" s="63" t="str">
        <f>IF(NOT(mandrtipp),"",Tippabgabe!DR83)</f>
        <v/>
      </c>
      <c r="AD12" s="63" t="str">
        <f>IF(NOT(mandrtipp),"",Tippabgabe!DR84)</f>
        <v/>
      </c>
    </row>
    <row r="13" spans="1:73" x14ac:dyDescent="0.2">
      <c r="A13">
        <v>11</v>
      </c>
      <c r="B13" t="s">
        <v>1129</v>
      </c>
    </row>
    <row r="14" spans="1:73" x14ac:dyDescent="0.2">
      <c r="A14">
        <v>12</v>
      </c>
      <c r="B14" t="s">
        <v>1130</v>
      </c>
    </row>
    <row r="15" spans="1:73" x14ac:dyDescent="0.2">
      <c r="A15">
        <v>13</v>
      </c>
      <c r="B15" t="s">
        <v>1131</v>
      </c>
    </row>
    <row r="16" spans="1:73" x14ac:dyDescent="0.2">
      <c r="A16">
        <v>14</v>
      </c>
      <c r="B16" t="s">
        <v>1132</v>
      </c>
      <c r="C16">
        <f t="shared" ref="C16:AH16" si="1">IF(COUNT(C3:C4)&lt;&gt;2,-1,IF(C3=C4,0,IF(C3&gt;C4,1,2)))</f>
        <v>-1</v>
      </c>
      <c r="D16">
        <f t="shared" si="1"/>
        <v>-1</v>
      </c>
      <c r="E16">
        <f t="shared" si="1"/>
        <v>-1</v>
      </c>
      <c r="F16">
        <f t="shared" si="1"/>
        <v>-1</v>
      </c>
      <c r="G16">
        <f t="shared" si="1"/>
        <v>-1</v>
      </c>
      <c r="H16">
        <f t="shared" si="1"/>
        <v>-1</v>
      </c>
      <c r="I16">
        <f t="shared" si="1"/>
        <v>-1</v>
      </c>
      <c r="J16">
        <f t="shared" si="1"/>
        <v>-1</v>
      </c>
      <c r="K16">
        <f t="shared" si="1"/>
        <v>-1</v>
      </c>
      <c r="L16">
        <f t="shared" si="1"/>
        <v>-1</v>
      </c>
      <c r="M16">
        <f t="shared" si="1"/>
        <v>-1</v>
      </c>
      <c r="N16">
        <f t="shared" si="1"/>
        <v>-1</v>
      </c>
      <c r="O16">
        <f t="shared" si="1"/>
        <v>-1</v>
      </c>
      <c r="P16">
        <f t="shared" si="1"/>
        <v>-1</v>
      </c>
      <c r="Q16">
        <f t="shared" si="1"/>
        <v>-1</v>
      </c>
      <c r="R16">
        <f t="shared" si="1"/>
        <v>-1</v>
      </c>
      <c r="S16">
        <f t="shared" si="1"/>
        <v>-1</v>
      </c>
      <c r="T16">
        <f t="shared" si="1"/>
        <v>-1</v>
      </c>
      <c r="U16">
        <f t="shared" si="1"/>
        <v>-1</v>
      </c>
      <c r="V16">
        <f t="shared" si="1"/>
        <v>-1</v>
      </c>
      <c r="W16">
        <f t="shared" si="1"/>
        <v>-1</v>
      </c>
      <c r="X16">
        <f t="shared" si="1"/>
        <v>-1</v>
      </c>
      <c r="Y16">
        <f t="shared" si="1"/>
        <v>-1</v>
      </c>
      <c r="Z16">
        <f t="shared" si="1"/>
        <v>-1</v>
      </c>
      <c r="AA16">
        <f t="shared" si="1"/>
        <v>-1</v>
      </c>
      <c r="AB16">
        <f t="shared" si="1"/>
        <v>-1</v>
      </c>
      <c r="AC16">
        <f t="shared" si="1"/>
        <v>-1</v>
      </c>
      <c r="AD16">
        <f t="shared" si="1"/>
        <v>-1</v>
      </c>
      <c r="AE16">
        <f t="shared" si="1"/>
        <v>-1</v>
      </c>
      <c r="AF16">
        <f t="shared" si="1"/>
        <v>-1</v>
      </c>
      <c r="AG16">
        <f t="shared" si="1"/>
        <v>-1</v>
      </c>
      <c r="AH16">
        <f t="shared" si="1"/>
        <v>-1</v>
      </c>
      <c r="AI16">
        <f t="shared" ref="AI16:AZ16" si="2">IF(COUNT(AI3:AI4)&lt;&gt;2,-1,IF(AI3=AI4,0,IF(AI3&gt;AI4,1,2)))</f>
        <v>-1</v>
      </c>
      <c r="AJ16">
        <f t="shared" si="2"/>
        <v>-1</v>
      </c>
      <c r="AK16">
        <f t="shared" si="2"/>
        <v>-1</v>
      </c>
      <c r="AL16">
        <f t="shared" si="2"/>
        <v>-1</v>
      </c>
      <c r="AM16">
        <f t="shared" si="2"/>
        <v>-1</v>
      </c>
      <c r="AN16">
        <f t="shared" si="2"/>
        <v>-1</v>
      </c>
      <c r="AO16">
        <f t="shared" si="2"/>
        <v>-1</v>
      </c>
      <c r="AP16">
        <f t="shared" si="2"/>
        <v>-1</v>
      </c>
      <c r="AQ16">
        <f t="shared" si="2"/>
        <v>-1</v>
      </c>
      <c r="AR16">
        <f t="shared" si="2"/>
        <v>-1</v>
      </c>
      <c r="AS16">
        <f t="shared" si="2"/>
        <v>-1</v>
      </c>
      <c r="AT16">
        <f t="shared" si="2"/>
        <v>-1</v>
      </c>
      <c r="AU16">
        <f t="shared" si="2"/>
        <v>-1</v>
      </c>
      <c r="AV16">
        <f t="shared" si="2"/>
        <v>-1</v>
      </c>
      <c r="AW16">
        <f t="shared" si="2"/>
        <v>-1</v>
      </c>
      <c r="AX16">
        <f t="shared" si="2"/>
        <v>-1</v>
      </c>
      <c r="AY16">
        <f t="shared" si="2"/>
        <v>-1</v>
      </c>
      <c r="AZ16">
        <f t="shared" si="2"/>
        <v>-1</v>
      </c>
      <c r="BA16">
        <f>IF(COUNT(BA3:BA4)&lt;&gt;2,-1,IF(BA3=BA4,0,IF(BA3&gt;BA4,1,2)))</f>
        <v>-1</v>
      </c>
    </row>
    <row r="17" spans="1:2" x14ac:dyDescent="0.2">
      <c r="A17">
        <v>15</v>
      </c>
    </row>
    <row r="18" spans="1:2" x14ac:dyDescent="0.2">
      <c r="A18">
        <v>16</v>
      </c>
      <c r="B18" t="s">
        <v>173</v>
      </c>
    </row>
    <row r="19" spans="1:2" x14ac:dyDescent="0.2">
      <c r="A19">
        <v>17</v>
      </c>
      <c r="B19" t="s">
        <v>174</v>
      </c>
    </row>
    <row r="20" spans="1:2" x14ac:dyDescent="0.2">
      <c r="A20">
        <v>18</v>
      </c>
      <c r="B20" t="s">
        <v>175</v>
      </c>
    </row>
    <row r="21" spans="1:2" x14ac:dyDescent="0.2">
      <c r="A21">
        <v>19</v>
      </c>
      <c r="B21" t="s">
        <v>176</v>
      </c>
    </row>
    <row r="22" spans="1:2" x14ac:dyDescent="0.2">
      <c r="A22">
        <v>20</v>
      </c>
      <c r="B22" t="s">
        <v>177</v>
      </c>
    </row>
    <row r="23" spans="1:2" x14ac:dyDescent="0.2">
      <c r="A23">
        <v>21</v>
      </c>
      <c r="B23" t="s">
        <v>178</v>
      </c>
    </row>
    <row r="24" spans="1:2" x14ac:dyDescent="0.2">
      <c r="A24">
        <v>22</v>
      </c>
    </row>
    <row r="25" spans="1:2" x14ac:dyDescent="0.2">
      <c r="A25">
        <v>23</v>
      </c>
      <c r="B25" t="s">
        <v>1133</v>
      </c>
    </row>
    <row r="26" spans="1:2" x14ac:dyDescent="0.2">
      <c r="A26">
        <v>24</v>
      </c>
      <c r="B26" t="s">
        <v>179</v>
      </c>
    </row>
    <row r="27" spans="1:2" x14ac:dyDescent="0.2">
      <c r="A27">
        <v>25</v>
      </c>
      <c r="B27" t="s">
        <v>180</v>
      </c>
    </row>
    <row r="28" spans="1:2" x14ac:dyDescent="0.2">
      <c r="A28">
        <v>26</v>
      </c>
      <c r="B28" t="s">
        <v>181</v>
      </c>
    </row>
    <row r="29" spans="1:2" x14ac:dyDescent="0.2">
      <c r="A29">
        <v>27</v>
      </c>
      <c r="B29" t="s">
        <v>182</v>
      </c>
    </row>
    <row r="30" spans="1:2" x14ac:dyDescent="0.2">
      <c r="A30">
        <v>28</v>
      </c>
      <c r="B30" t="s">
        <v>183</v>
      </c>
    </row>
    <row r="31" spans="1:2" x14ac:dyDescent="0.2">
      <c r="A31">
        <v>29</v>
      </c>
      <c r="B31" t="s">
        <v>184</v>
      </c>
    </row>
    <row r="32" spans="1:2" x14ac:dyDescent="0.2">
      <c r="A32">
        <v>30</v>
      </c>
    </row>
    <row r="33" spans="1:77" x14ac:dyDescent="0.2">
      <c r="B33" t="s">
        <v>817</v>
      </c>
      <c r="C33">
        <v>1</v>
      </c>
      <c r="D33">
        <v>1</v>
      </c>
      <c r="E33">
        <v>1</v>
      </c>
      <c r="F33">
        <v>1</v>
      </c>
      <c r="G33">
        <v>2</v>
      </c>
      <c r="H33">
        <v>2</v>
      </c>
      <c r="I33">
        <v>2</v>
      </c>
      <c r="J33">
        <v>2</v>
      </c>
      <c r="K33">
        <v>3</v>
      </c>
      <c r="L33">
        <v>3</v>
      </c>
      <c r="M33">
        <v>3</v>
      </c>
      <c r="N33">
        <v>3</v>
      </c>
      <c r="O33">
        <v>4</v>
      </c>
      <c r="P33">
        <v>4</v>
      </c>
      <c r="Q33">
        <v>4</v>
      </c>
      <c r="R33">
        <v>4</v>
      </c>
      <c r="S33">
        <v>5</v>
      </c>
      <c r="T33">
        <v>5</v>
      </c>
      <c r="U33">
        <v>5</v>
      </c>
      <c r="V33">
        <v>5</v>
      </c>
      <c r="W33">
        <v>6</v>
      </c>
      <c r="X33">
        <v>6</v>
      </c>
      <c r="Y33">
        <v>6</v>
      </c>
      <c r="Z33">
        <v>6</v>
      </c>
    </row>
    <row r="34" spans="1:77" x14ac:dyDescent="0.2">
      <c r="A34" t="s">
        <v>818</v>
      </c>
      <c r="B34">
        <v>1</v>
      </c>
      <c r="C34">
        <v>1</v>
      </c>
      <c r="D34">
        <v>1</v>
      </c>
      <c r="E34">
        <v>1</v>
      </c>
      <c r="F34">
        <v>1</v>
      </c>
      <c r="G34">
        <v>2</v>
      </c>
      <c r="H34">
        <v>2</v>
      </c>
      <c r="I34">
        <v>4</v>
      </c>
      <c r="J34">
        <v>8</v>
      </c>
      <c r="K34">
        <v>16</v>
      </c>
      <c r="L34">
        <v>1</v>
      </c>
      <c r="M34">
        <v>1</v>
      </c>
      <c r="N34">
        <v>1</v>
      </c>
      <c r="O34">
        <v>1</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row>
    <row r="35" spans="1:77" ht="10.8" thickBot="1" x14ac:dyDescent="0.25">
      <c r="B35">
        <v>1</v>
      </c>
      <c r="C35">
        <v>2</v>
      </c>
      <c r="D35">
        <v>3</v>
      </c>
      <c r="E35">
        <v>4</v>
      </c>
      <c r="F35">
        <v>5</v>
      </c>
      <c r="G35">
        <v>6</v>
      </c>
      <c r="H35">
        <v>7</v>
      </c>
      <c r="I35">
        <v>8</v>
      </c>
      <c r="J35">
        <v>9</v>
      </c>
      <c r="K35">
        <v>10</v>
      </c>
      <c r="L35">
        <v>11</v>
      </c>
      <c r="M35">
        <v>12</v>
      </c>
      <c r="N35">
        <v>13</v>
      </c>
      <c r="O35">
        <v>14</v>
      </c>
      <c r="P35">
        <v>15</v>
      </c>
      <c r="Q35">
        <v>16</v>
      </c>
      <c r="R35">
        <v>17</v>
      </c>
      <c r="S35">
        <v>18</v>
      </c>
      <c r="T35">
        <v>19</v>
      </c>
      <c r="U35">
        <v>20</v>
      </c>
      <c r="V35">
        <v>21</v>
      </c>
      <c r="W35">
        <v>22</v>
      </c>
      <c r="X35">
        <v>23</v>
      </c>
      <c r="Y35">
        <v>24</v>
      </c>
      <c r="Z35">
        <v>25</v>
      </c>
      <c r="AA35">
        <v>26</v>
      </c>
      <c r="AB35">
        <v>27</v>
      </c>
      <c r="AC35">
        <v>28</v>
      </c>
      <c r="AD35">
        <v>29</v>
      </c>
      <c r="AE35">
        <v>30</v>
      </c>
      <c r="AF35">
        <v>31</v>
      </c>
      <c r="AG35">
        <v>32</v>
      </c>
      <c r="AH35">
        <v>33</v>
      </c>
      <c r="AI35">
        <v>34</v>
      </c>
      <c r="AJ35">
        <v>35</v>
      </c>
      <c r="AK35">
        <v>36</v>
      </c>
      <c r="AL35">
        <v>37</v>
      </c>
      <c r="AM35">
        <v>38</v>
      </c>
      <c r="AN35">
        <v>39</v>
      </c>
      <c r="AO35">
        <v>40</v>
      </c>
      <c r="AP35">
        <v>41</v>
      </c>
      <c r="AQ35">
        <v>42</v>
      </c>
      <c r="AR35">
        <v>43</v>
      </c>
      <c r="AS35">
        <v>44</v>
      </c>
      <c r="AT35">
        <v>45</v>
      </c>
      <c r="AU35">
        <v>46</v>
      </c>
      <c r="AV35">
        <v>47</v>
      </c>
      <c r="AW35">
        <v>48</v>
      </c>
      <c r="AX35">
        <v>49</v>
      </c>
      <c r="AY35">
        <v>50</v>
      </c>
      <c r="AZ35">
        <v>51</v>
      </c>
      <c r="BA35">
        <v>52</v>
      </c>
      <c r="BB35">
        <v>53</v>
      </c>
      <c r="BC35">
        <v>54</v>
      </c>
      <c r="BD35">
        <v>55</v>
      </c>
      <c r="BE35">
        <v>56</v>
      </c>
      <c r="BF35">
        <v>57</v>
      </c>
      <c r="BG35">
        <v>58</v>
      </c>
      <c r="BH35">
        <v>59</v>
      </c>
      <c r="BI35">
        <v>60</v>
      </c>
      <c r="BJ35">
        <v>61</v>
      </c>
      <c r="BK35">
        <v>62</v>
      </c>
      <c r="BL35">
        <v>63</v>
      </c>
      <c r="BM35">
        <v>64</v>
      </c>
      <c r="BN35">
        <v>65</v>
      </c>
      <c r="BO35">
        <v>66</v>
      </c>
      <c r="BP35">
        <v>67</v>
      </c>
      <c r="BQ35">
        <v>68</v>
      </c>
      <c r="BR35">
        <v>69</v>
      </c>
      <c r="BS35">
        <v>70</v>
      </c>
      <c r="BT35">
        <v>71</v>
      </c>
      <c r="BU35">
        <v>72</v>
      </c>
      <c r="BV35">
        <v>73</v>
      </c>
      <c r="BW35">
        <v>74</v>
      </c>
    </row>
    <row r="36" spans="1:77" ht="10.8" thickTop="1" x14ac:dyDescent="0.2">
      <c r="A36" s="318">
        <v>1</v>
      </c>
      <c r="B36" s="318" t="str">
        <f ca="1">IF($A36&gt;B$34,"",OFFSET(Tippabgabe!$EF$177,SUM(tipps!$A$34:A$34)+tipps!$A36,0))</f>
        <v/>
      </c>
      <c r="C36" s="318" t="str">
        <f ca="1">IF($A36&gt;C$34,"",OFFSET(Tippabgabe!$EF$177,SUM(tipps!$A$34:B$34)+tipps!$A36,0))</f>
        <v/>
      </c>
      <c r="D36" s="318" t="str">
        <f ca="1">IF($A36&gt;D$34,"",OFFSET(Tippabgabe!$EF$177,SUM(tipps!$A$34:C$34)+tipps!$A36,0))</f>
        <v/>
      </c>
      <c r="E36" s="318" t="str">
        <f ca="1">IF($A36&gt;E$34,"",OFFSET(Tippabgabe!$EF$177,SUM(tipps!$A$34:D$34)+tipps!$A36,0))</f>
        <v/>
      </c>
      <c r="F36" s="318" t="str">
        <f ca="1">IF($A36&gt;F$34,"",OFFSET(Tippabgabe!$EF$177,SUM(tipps!$A$34:E$34)+tipps!$A36,0))</f>
        <v/>
      </c>
      <c r="G36" s="318" t="str">
        <f ca="1">IF($A36&gt;G$34,"",OFFSET(Tippabgabe!$EF$177,SUM(tipps!$A$34:F$34)+tipps!$A36,0))</f>
        <v/>
      </c>
      <c r="H36" s="318" t="str">
        <f ca="1">IF($A36&gt;H$34,"",OFFSET(Tippabgabe!$EF$177,SUM(tipps!$A$34:G$34)+tipps!$A36,0))</f>
        <v/>
      </c>
      <c r="I36" s="318" t="str">
        <f ca="1">IF($A36&gt;I$34,"",OFFSET(Tippabgabe!$EF$177,SUM(tipps!$A$34:H$34)+tipps!$A36,0))</f>
        <v/>
      </c>
      <c r="J36" s="318" t="str">
        <f ca="1">IF($A36&gt;J$34,"",OFFSET(Tippabgabe!$EF$177,SUM(tipps!$A$34:I$34)+tipps!$A36,0))</f>
        <v/>
      </c>
      <c r="K36" s="318" t="str">
        <f ca="1">IF($A36&gt;K$34,"",OFFSET(Tippabgabe!$EF$177,SUM(tipps!$A$34:J$34)+tipps!$A36,0))</f>
        <v/>
      </c>
      <c r="L36" s="318" t="str">
        <f ca="1">IF($A36&gt;L$34,"",OFFSET(Tippabgabe!$EF$177,SUM(tipps!$A$34:K$34)+tipps!$A36,0))</f>
        <v/>
      </c>
      <c r="M36" s="318" t="str">
        <f ca="1">IF($A36&gt;M$34,"",OFFSET(Tippabgabe!$EF$177,SUM(tipps!$A$34:L$34)+tipps!$A36,0))</f>
        <v/>
      </c>
      <c r="N36" s="318" t="str">
        <f ca="1">IF($A36&gt;N$34,"",OFFSET(Tippabgabe!$EF$177,SUM(tipps!$A$34:M$34)+tipps!$A36,0))</f>
        <v/>
      </c>
      <c r="O36" s="318" t="str">
        <f ca="1">IF($A36&gt;O$34,"",OFFSET(Tippabgabe!$EF$177,SUM(tipps!$A$34:N$34)+tipps!$A36,0))</f>
        <v/>
      </c>
      <c r="P36" s="318" t="str">
        <f ca="1">IF($A36&gt;P$34,"",OFFSET(Tippabgabe!$EF$177,SUM(tipps!$A$34:O$34)+tipps!$A36,0))</f>
        <v/>
      </c>
      <c r="Q36" s="318" t="str">
        <f ca="1">IF($A36&gt;Q$34,"",OFFSET(Tippabgabe!$EF$177,SUM(tipps!$A$34:P$34)+tipps!$A36,0))</f>
        <v/>
      </c>
      <c r="R36" s="318" t="str">
        <f ca="1">IF($A36&gt;R$34,"",OFFSET(Tippabgabe!$EF$177,SUM(tipps!$A$34:Q$34)+tipps!$A36,0))</f>
        <v/>
      </c>
      <c r="S36" s="318" t="str">
        <f ca="1">IF($A36&gt;S$34,"",OFFSET(Tippabgabe!$EF$177,SUM(tipps!$A$34:R$34)+tipps!$A36,0))</f>
        <v/>
      </c>
      <c r="T36" s="318" t="str">
        <f ca="1">IF($A36&gt;T$34,"",OFFSET(Tippabgabe!$EF$177,SUM(tipps!$A$34:S$34)+tipps!$A36,0))</f>
        <v/>
      </c>
      <c r="U36" s="318" t="str">
        <f ca="1">IF($A36&gt;U$34,"",OFFSET(Tippabgabe!$EF$177,SUM(tipps!$A$34:T$34)+tipps!$A36,0))</f>
        <v/>
      </c>
      <c r="V36" s="318" t="str">
        <f ca="1">IF($A36&gt;V$34,"",OFFSET(Tippabgabe!$EF$177,SUM(tipps!$A$34:U$34)+tipps!$A36,0))</f>
        <v/>
      </c>
      <c r="W36" s="318" t="str">
        <f ca="1">IF($A36&gt;W$34,"",OFFSET(Tippabgabe!$EF$177,SUM(tipps!$A$34:V$34)+tipps!$A36,0))</f>
        <v/>
      </c>
      <c r="X36" s="318" t="str">
        <f ca="1">IF($A36&gt;X$34,"",OFFSET(Tippabgabe!$EF$177,SUM(tipps!$A$34:W$34)+tipps!$A36,0))</f>
        <v/>
      </c>
      <c r="Y36" s="318" t="str">
        <f ca="1">IF($A36&gt;Y$34,"",OFFSET(Tippabgabe!$EF$177,SUM(tipps!$A$34:X$34)+tipps!$A36,0))</f>
        <v/>
      </c>
      <c r="Z36" s="318" t="str">
        <f ca="1">IF($A36&gt;Z$34,"",OFFSET(Tippabgabe!$EF$177,SUM(tipps!$A$34:Y$34)+tipps!$A36,0))</f>
        <v/>
      </c>
      <c r="AA36" s="318" t="str">
        <f ca="1">IF($A36&gt;AA$34,"",OFFSET(Tippabgabe!$EF$177,SUM(tipps!$A$34:Z$34)+tipps!$A36,0))</f>
        <v/>
      </c>
      <c r="AB36" s="318" t="str">
        <f ca="1">IF($A36&gt;AB$34,"",OFFSET(Tippabgabe!$EF$177,SUM(tipps!$A$34:AA$34)+tipps!$A36,0))</f>
        <v/>
      </c>
      <c r="AC36" s="318" t="str">
        <f ca="1">IF($A36&gt;AC$34,"",OFFSET(Tippabgabe!$EF$177,SUM(tipps!$A$34:AB$34)+tipps!$A36,0))</f>
        <v/>
      </c>
      <c r="AD36" s="318" t="str">
        <f ca="1">IF($A36&gt;AD$34,"",OFFSET(Tippabgabe!$EF$177,SUM(tipps!$A$34:AC$34)+tipps!$A36,0))</f>
        <v/>
      </c>
      <c r="AE36" s="318" t="str">
        <f ca="1">IF($A36&gt;AE$34,"",OFFSET(Tippabgabe!$EF$177,SUM(tipps!$A$34:AD$34)+tipps!$A36,0))</f>
        <v/>
      </c>
      <c r="AF36" s="318" t="str">
        <f ca="1">IF($A36&gt;AF$34,"",OFFSET(Tippabgabe!$EF$177,SUM(tipps!$A$34:AE$34)+tipps!$A36,0))</f>
        <v/>
      </c>
      <c r="AG36" s="318" t="str">
        <f ca="1">IF($A36&gt;AG$34,"",OFFSET(Tippabgabe!$EF$177,SUM(tipps!$A$34:AF$34)+tipps!$A36,0))</f>
        <v/>
      </c>
      <c r="AH36" s="318" t="str">
        <f ca="1">IF($A36&gt;AH$34,"",OFFSET(Tippabgabe!$EF$177,SUM(tipps!$A$34:AG$34)+tipps!$A36,0))</f>
        <v/>
      </c>
      <c r="AI36" s="318" t="str">
        <f ca="1">IF($A36&gt;AI$34,"",OFFSET(Tippabgabe!$EF$177,SUM(tipps!$A$34:AH$34)+tipps!$A36,0))</f>
        <v/>
      </c>
      <c r="AJ36" s="318" t="str">
        <f ca="1">IF($A36&gt;AJ$34,"",OFFSET(Tippabgabe!$EF$177,SUM(tipps!$A$34:AI$34)+tipps!$A36,0))</f>
        <v/>
      </c>
      <c r="AK36" s="318" t="str">
        <f ca="1">IF($A36&gt;AK$34,"",OFFSET(Tippabgabe!$EF$177,SUM(tipps!$A$34:AJ$34)+tipps!$A36,0))</f>
        <v/>
      </c>
      <c r="AL36" s="318" t="str">
        <f ca="1">IF($A36&gt;AL$34,"",OFFSET(Tippabgabe!$EF$177,SUM(tipps!$A$34:AK$34)+tipps!$A36,0))</f>
        <v/>
      </c>
      <c r="AM36" s="318" t="str">
        <f ca="1">IF($A36&gt;AM$34,"",OFFSET(Tippabgabe!$EF$177,SUM(tipps!$A$34:AL$34)+tipps!$A36,0))</f>
        <v/>
      </c>
      <c r="AN36" s="318" t="str">
        <f ca="1">IF($A36&gt;AN$34,"",OFFSET(Tippabgabe!$EF$177,SUM(tipps!$A$34:AM$34)+tipps!$A36,0))</f>
        <v/>
      </c>
      <c r="AO36" s="318" t="str">
        <f ca="1">IF($A36&gt;AO$34,"",OFFSET(Tippabgabe!$EF$177,SUM(tipps!$A$34:AN$34)+tipps!$A36,0))</f>
        <v/>
      </c>
      <c r="AP36" s="318" t="str">
        <f ca="1">IF($A36&gt;AP$34,"",OFFSET(Tippabgabe!$EF$177,SUM(tipps!$A$34:AO$34)+tipps!$A36,0))</f>
        <v/>
      </c>
      <c r="AQ36" s="318" t="str">
        <f ca="1">IF($A36&gt;AQ$34,"",OFFSET(Tippabgabe!$EF$177,SUM(tipps!$A$34:AP$34)+tipps!$A36,0))</f>
        <v/>
      </c>
      <c r="AR36" s="318" t="str">
        <f ca="1">IF($A36&gt;AR$34,"",OFFSET(Tippabgabe!$EF$177,SUM(tipps!$A$34:AQ$34)+tipps!$A36,0))</f>
        <v/>
      </c>
      <c r="AS36" s="318" t="str">
        <f ca="1">IF($A36&gt;AS$34,"",OFFSET(Tippabgabe!$EF$177,SUM(tipps!$A$34:AR$34)+tipps!$A36,0))</f>
        <v/>
      </c>
      <c r="AT36" s="318" t="str">
        <f ca="1">IF($A36&gt;AT$34,"",OFFSET(Tippabgabe!$EF$177,SUM(tipps!$A$34:AS$34)+tipps!$A36,0))</f>
        <v/>
      </c>
      <c r="AU36" s="318" t="str">
        <f ca="1">IF($A36&gt;AU$34,"",OFFSET(Tippabgabe!$EF$177,SUM(tipps!$A$34:AT$34)+tipps!$A36,0))</f>
        <v/>
      </c>
      <c r="AV36" s="318" t="str">
        <f ca="1">IF($A36&gt;AV$34,"",OFFSET(Tippabgabe!$EF$177,SUM(tipps!$A$34:AU$34)+tipps!$A36,0))</f>
        <v/>
      </c>
      <c r="AW36" s="318" t="str">
        <f ca="1">IF($A36&gt;AW$34,"",OFFSET(Tippabgabe!$EF$177,SUM(tipps!$A$34:AV$34)+tipps!$A36,0))</f>
        <v/>
      </c>
      <c r="AX36" s="318" t="str">
        <f ca="1">IF($A36&gt;AX$34,"",OFFSET(Tippabgabe!$EF$177,SUM(tipps!$A$34:AW$34)+tipps!$A36,0))</f>
        <v/>
      </c>
      <c r="AY36" s="318" t="str">
        <f ca="1">IF($A36&gt;AY$34,"",OFFSET(Tippabgabe!$EF$177,SUM(tipps!$A$34:AX$34)+tipps!$A36,0))</f>
        <v/>
      </c>
      <c r="AZ36" s="318" t="str">
        <f ca="1">IF($A36&gt;AZ$34,"",OFFSET(Tippabgabe!$EF$177,SUM(tipps!$A$34:AY$34)+tipps!$A36,0))</f>
        <v/>
      </c>
      <c r="BA36" s="318" t="str">
        <f ca="1">IF($A36&gt;BA$34,"",OFFSET(Tippabgabe!$EF$177,SUM(tipps!$A$34:AZ$34)+tipps!$A36,0))</f>
        <v/>
      </c>
      <c r="BB36" s="318" t="str">
        <f ca="1">IF($A36&gt;BB$34,"",OFFSET(Tippabgabe!$EF$177,SUM(tipps!$A$34:BA$34)+tipps!$A36,0))</f>
        <v/>
      </c>
      <c r="BC36" s="318" t="str">
        <f ca="1">IF($A36&gt;BC$34,"",OFFSET(Tippabgabe!$EF$177,SUM(tipps!$A$34:BB$34)+tipps!$A36,0))</f>
        <v/>
      </c>
      <c r="BD36" s="318" t="str">
        <f ca="1">IF($A36&gt;BD$34,"",OFFSET(Tippabgabe!$EF$177,SUM(tipps!$A$34:BC$34)+tipps!$A36,0))</f>
        <v/>
      </c>
      <c r="BE36" s="318" t="str">
        <f ca="1">IF($A36&gt;BE$34,"",OFFSET(Tippabgabe!$EF$177,SUM(tipps!$A$34:BD$34)+tipps!$A36,0))</f>
        <v/>
      </c>
      <c r="BF36" s="318" t="str">
        <f ca="1">IF($A36&gt;BF$34,"",OFFSET(Tippabgabe!$EF$177,SUM(tipps!$A$34:BE$34)+tipps!$A36,0))</f>
        <v/>
      </c>
      <c r="BG36" s="318" t="str">
        <f ca="1">IF($A36&gt;BG$34,"",OFFSET(Tippabgabe!$EF$177,SUM(tipps!$A$34:BF$34)+tipps!$A36,0))</f>
        <v/>
      </c>
      <c r="BH36" s="318" t="str">
        <f ca="1">IF($A36&gt;BH$34,"",OFFSET(Tippabgabe!$EF$177,SUM(tipps!$A$34:BG$34)+tipps!$A36,0))</f>
        <v/>
      </c>
      <c r="BI36" s="318" t="str">
        <f ca="1">IF($A36&gt;BI$34,"",OFFSET(Tippabgabe!$EF$177,SUM(tipps!$A$34:BH$34)+tipps!$A36,0))</f>
        <v/>
      </c>
      <c r="BJ36" s="318" t="str">
        <f ca="1">IF($A36&gt;BJ$34,"",OFFSET(Tippabgabe!$EF$177,SUM(tipps!$A$34:BI$34)+tipps!$A36,0))</f>
        <v/>
      </c>
      <c r="BK36" s="318" t="str">
        <f ca="1">IF($A36&gt;BK$34,"",OFFSET(Tippabgabe!$EF$177,SUM(tipps!$A$34:BJ$34)+tipps!$A36,0))</f>
        <v/>
      </c>
      <c r="BL36" s="318" t="str">
        <f ca="1">IF($A36&gt;BL$34,"",OFFSET(Tippabgabe!$EF$177,SUM(tipps!$A$34:BK$34)+tipps!$A36,0))</f>
        <v/>
      </c>
      <c r="BM36" s="318" t="str">
        <f ca="1">IF($A36&gt;BM$34,"",OFFSET(Tippabgabe!$EF$177,SUM(tipps!$A$34:BL$34)+tipps!$A36,0))</f>
        <v/>
      </c>
      <c r="BN36" s="318" t="str">
        <f ca="1">IF($A36&gt;BN$34,"",OFFSET(Tippabgabe!$EF$177,SUM(tipps!$A$34:BM$34)+tipps!$A36,0))</f>
        <v/>
      </c>
      <c r="BO36" s="318" t="str">
        <f ca="1">IF($A36&gt;BO$34,"",OFFSET(Tippabgabe!$EF$177,SUM(tipps!$A$34:BN$34)+tipps!$A36,0))</f>
        <v/>
      </c>
      <c r="BP36" s="318" t="str">
        <f ca="1">IF($A36&gt;BP$34,"",OFFSET(Tippabgabe!$EF$177,SUM(tipps!$A$34:BO$34)+tipps!$A36,0))</f>
        <v/>
      </c>
      <c r="BQ36" s="318" t="str">
        <f ca="1">IF($A36&gt;BQ$34,"",OFFSET(Tippabgabe!$EF$177,SUM(tipps!$A$34:BP$34)+tipps!$A36,0))</f>
        <v/>
      </c>
      <c r="BR36" s="318" t="str">
        <f ca="1">IF($A36&gt;BR$34,"",OFFSET(Tippabgabe!$EF$177,SUM(tipps!$A$34:BQ$34)+tipps!$A36,0))</f>
        <v/>
      </c>
      <c r="BS36" s="318" t="str">
        <f ca="1">IF($A36&gt;BS$34,"",OFFSET(Tippabgabe!$EF$177,SUM(tipps!$A$34:BR$34)+tipps!$A36,0))</f>
        <v/>
      </c>
      <c r="BT36" s="318" t="str">
        <f ca="1">IF($A36&gt;BT$34,"",OFFSET(Tippabgabe!$EF$177,SUM(tipps!$A$34:BS$34)+tipps!$A36,0))</f>
        <v/>
      </c>
      <c r="BU36" s="318" t="str">
        <f ca="1">IF($A36&gt;BU$34,"",OFFSET(Tippabgabe!$EF$177,SUM(tipps!$A$34:BT$34)+tipps!$A36,0))</f>
        <v/>
      </c>
      <c r="BV36" s="318" t="str">
        <f ca="1">IF($A36&gt;BV$34,"",OFFSET(Tippabgabe!$EF$177,SUM(tipps!$A$34:BU$34)+tipps!$A36,0))</f>
        <v/>
      </c>
      <c r="BW36" s="318" t="str">
        <f ca="1">IF($A36&gt;BW$34,"",OFFSET(Tippabgabe!$EF$177,SUM(tipps!$A$34:BV$34)+tipps!$A36,0))</f>
        <v/>
      </c>
      <c r="BX36" s="318"/>
      <c r="BY36" s="318"/>
    </row>
    <row r="37" spans="1:77" x14ac:dyDescent="0.2">
      <c r="A37">
        <v>2</v>
      </c>
      <c r="B37" t="str">
        <f ca="1">IF($A37&gt;B$34,"",OFFSET(Tippabgabe!$EF$177,SUM(tipps!$A$34:A$34)+tipps!$A37,0))</f>
        <v/>
      </c>
      <c r="C37" t="str">
        <f ca="1">IF($A37&gt;C$34,"",OFFSET(Tippabgabe!$EF$177,SUM(tipps!$A$34:B$34)+tipps!$A37,0))</f>
        <v/>
      </c>
      <c r="D37" t="str">
        <f ca="1">IF($A37&gt;D$34,"",OFFSET(Tippabgabe!$EF$177,SUM(tipps!$A$34:C$34)+tipps!$A37,0))</f>
        <v/>
      </c>
      <c r="E37" t="str">
        <f ca="1">IF($A37&gt;E$34,"",OFFSET(Tippabgabe!$EF$177,SUM(tipps!$A$34:D$34)+tipps!$A37,0))</f>
        <v/>
      </c>
      <c r="F37" t="str">
        <f ca="1">IF($A37&gt;F$34,"",OFFSET(Tippabgabe!$EF$177,SUM(tipps!$A$34:E$34)+tipps!$A37,0))</f>
        <v/>
      </c>
      <c r="G37" t="str">
        <f ca="1">IF($A37&gt;G$34,"",OFFSET(Tippabgabe!$EF$177,SUM(tipps!$A$34:F$34)+tipps!$A37,0))</f>
        <v/>
      </c>
      <c r="H37" t="str">
        <f ca="1">IF($A37&gt;H$34,"",OFFSET(Tippabgabe!$EF$177,SUM(tipps!$A$34:G$34)+tipps!$A37,0))</f>
        <v/>
      </c>
      <c r="I37" t="str">
        <f ca="1">IF($A37&gt;I$34,"",OFFSET(Tippabgabe!$EF$177,SUM(tipps!$A$34:H$34)+tipps!$A37,0))</f>
        <v/>
      </c>
      <c r="J37" t="str">
        <f ca="1">IF($A37&gt;J$34,"",OFFSET(Tippabgabe!$EF$177,SUM(tipps!$A$34:I$34)+tipps!$A37,0))</f>
        <v/>
      </c>
      <c r="K37" t="str">
        <f ca="1">IF($A37&gt;K$34,"",OFFSET(Tippabgabe!$EF$177,SUM(tipps!$A$34:J$34)+tipps!$A37,0))</f>
        <v/>
      </c>
      <c r="L37" t="str">
        <f ca="1">IF($A37&gt;L$34,"",OFFSET(Tippabgabe!$EF$177,SUM(tipps!$A$34:K$34)+tipps!$A37,0))</f>
        <v/>
      </c>
      <c r="M37" t="str">
        <f ca="1">IF($A37&gt;M$34,"",OFFSET(Tippabgabe!$EF$177,SUM(tipps!$A$34:L$34)+tipps!$A37,0))</f>
        <v/>
      </c>
      <c r="N37" t="str">
        <f ca="1">IF($A37&gt;N$34,"",OFFSET(Tippabgabe!$EF$177,SUM(tipps!$A$34:M$34)+tipps!$A37,0))</f>
        <v/>
      </c>
      <c r="O37" t="str">
        <f ca="1">IF($A37&gt;O$34,"",OFFSET(Tippabgabe!$EF$177,SUM(tipps!$A$34:N$34)+tipps!$A37,0))</f>
        <v/>
      </c>
      <c r="P37" t="str">
        <f ca="1">IF($A37&gt;P$34,"",OFFSET(Tippabgabe!$EF$177,SUM(tipps!$A$34:O$34)+tipps!$A37,0))</f>
        <v/>
      </c>
      <c r="Q37" t="str">
        <f ca="1">IF($A37&gt;Q$34,"",OFFSET(Tippabgabe!$EF$177,SUM(tipps!$A$34:P$34)+tipps!$A37,0))</f>
        <v/>
      </c>
      <c r="R37" t="str">
        <f ca="1">IF($A37&gt;R$34,"",OFFSET(Tippabgabe!$EF$177,SUM(tipps!$A$34:Q$34)+tipps!$A37,0))</f>
        <v/>
      </c>
      <c r="S37" t="str">
        <f ca="1">IF($A37&gt;S$34,"",OFFSET(Tippabgabe!$EF$177,SUM(tipps!$A$34:R$34)+tipps!$A37,0))</f>
        <v/>
      </c>
      <c r="T37" t="str">
        <f ca="1">IF($A37&gt;T$34,"",OFFSET(Tippabgabe!$EF$177,SUM(tipps!$A$34:S$34)+tipps!$A37,0))</f>
        <v/>
      </c>
      <c r="U37" t="str">
        <f ca="1">IF($A37&gt;U$34,"",OFFSET(Tippabgabe!$EF$177,SUM(tipps!$A$34:T$34)+tipps!$A37,0))</f>
        <v/>
      </c>
      <c r="V37" t="str">
        <f ca="1">IF($A37&gt;V$34,"",OFFSET(Tippabgabe!$EF$177,SUM(tipps!$A$34:U$34)+tipps!$A37,0))</f>
        <v/>
      </c>
      <c r="W37" t="str">
        <f ca="1">IF($A37&gt;W$34,"",OFFSET(Tippabgabe!$EF$177,SUM(tipps!$A$34:V$34)+tipps!$A37,0))</f>
        <v/>
      </c>
      <c r="X37" t="str">
        <f ca="1">IF($A37&gt;X$34,"",OFFSET(Tippabgabe!$EF$177,SUM(tipps!$A$34:W$34)+tipps!$A37,0))</f>
        <v/>
      </c>
      <c r="Y37" t="str">
        <f ca="1">IF($A37&gt;Y$34,"",OFFSET(Tippabgabe!$EF$177,SUM(tipps!$A$34:X$34)+tipps!$A37,0))</f>
        <v/>
      </c>
      <c r="Z37" t="str">
        <f ca="1">IF($A37&gt;Z$34,"",OFFSET(Tippabgabe!$EF$177,SUM(tipps!$A$34:Y$34)+tipps!$A37,0))</f>
        <v/>
      </c>
      <c r="AA37" t="str">
        <f ca="1">IF($A37&gt;AA$34,"",OFFSET(Tippabgabe!$EF$177,SUM(tipps!$A$34:Z$34)+tipps!$A37,0))</f>
        <v/>
      </c>
      <c r="AB37" t="str">
        <f ca="1">IF($A37&gt;AB$34,"",OFFSET(Tippabgabe!$EF$177,SUM(tipps!$A$34:AA$34)+tipps!$A37,0))</f>
        <v/>
      </c>
      <c r="AC37" t="str">
        <f ca="1">IF($A37&gt;AC$34,"",OFFSET(Tippabgabe!$EF$177,SUM(tipps!$A$34:AB$34)+tipps!$A37,0))</f>
        <v/>
      </c>
      <c r="AD37" t="str">
        <f ca="1">IF($A37&gt;AD$34,"",OFFSET(Tippabgabe!$EF$177,SUM(tipps!$A$34:AC$34)+tipps!$A37,0))</f>
        <v/>
      </c>
      <c r="AE37" t="str">
        <f ca="1">IF($A37&gt;AE$34,"",OFFSET(Tippabgabe!$EF$177,SUM(tipps!$A$34:AD$34)+tipps!$A37,0))</f>
        <v/>
      </c>
      <c r="AF37" t="str">
        <f ca="1">IF($A37&gt;AF$34,"",OFFSET(Tippabgabe!$EF$177,SUM(tipps!$A$34:AE$34)+tipps!$A37,0))</f>
        <v/>
      </c>
      <c r="AG37" t="str">
        <f ca="1">IF($A37&gt;AG$34,"",OFFSET(Tippabgabe!$EF$177,SUM(tipps!$A$34:AF$34)+tipps!$A37,0))</f>
        <v/>
      </c>
      <c r="AH37" t="str">
        <f ca="1">IF($A37&gt;AH$34,"",OFFSET(Tippabgabe!$EF$177,SUM(tipps!$A$34:AG$34)+tipps!$A37,0))</f>
        <v/>
      </c>
      <c r="AI37" t="str">
        <f ca="1">IF($A37&gt;AI$34,"",OFFSET(Tippabgabe!$EF$177,SUM(tipps!$A$34:AH$34)+tipps!$A37,0))</f>
        <v/>
      </c>
      <c r="AJ37" t="str">
        <f ca="1">IF($A37&gt;AJ$34,"",OFFSET(Tippabgabe!$EF$177,SUM(tipps!$A$34:AI$34)+tipps!$A37,0))</f>
        <v/>
      </c>
      <c r="AK37" t="str">
        <f ca="1">IF($A37&gt;AK$34,"",OFFSET(Tippabgabe!$EF$177,SUM(tipps!$A$34:AJ$34)+tipps!$A37,0))</f>
        <v/>
      </c>
      <c r="AL37" t="str">
        <f ca="1">IF($A37&gt;AL$34,"",OFFSET(Tippabgabe!$EF$177,SUM(tipps!$A$34:AK$34)+tipps!$A37,0))</f>
        <v/>
      </c>
      <c r="AM37" t="str">
        <f ca="1">IF($A37&gt;AM$34,"",OFFSET(Tippabgabe!$EF$177,SUM(tipps!$A$34:AL$34)+tipps!$A37,0))</f>
        <v/>
      </c>
      <c r="AN37" t="str">
        <f ca="1">IF($A37&gt;AN$34,"",OFFSET(Tippabgabe!$EF$177,SUM(tipps!$A$34:AM$34)+tipps!$A37,0))</f>
        <v/>
      </c>
      <c r="AO37" t="str">
        <f ca="1">IF($A37&gt;AO$34,"",OFFSET(Tippabgabe!$EF$177,SUM(tipps!$A$34:AN$34)+tipps!$A37,0))</f>
        <v/>
      </c>
      <c r="AP37" t="str">
        <f ca="1">IF($A37&gt;AP$34,"",OFFSET(Tippabgabe!$EF$177,SUM(tipps!$A$34:AO$34)+tipps!$A37,0))</f>
        <v/>
      </c>
      <c r="AQ37" t="str">
        <f ca="1">IF($A37&gt;AQ$34,"",OFFSET(Tippabgabe!$EF$177,SUM(tipps!$A$34:AP$34)+tipps!$A37,0))</f>
        <v/>
      </c>
      <c r="AR37" t="str">
        <f ca="1">IF($A37&gt;AR$34,"",OFFSET(Tippabgabe!$EF$177,SUM(tipps!$A$34:AQ$34)+tipps!$A37,0))</f>
        <v/>
      </c>
      <c r="AS37" t="str">
        <f ca="1">IF($A37&gt;AS$34,"",OFFSET(Tippabgabe!$EF$177,SUM(tipps!$A$34:AR$34)+tipps!$A37,0))</f>
        <v/>
      </c>
      <c r="AT37" t="str">
        <f ca="1">IF($A37&gt;AT$34,"",OFFSET(Tippabgabe!$EF$177,SUM(tipps!$A$34:AS$34)+tipps!$A37,0))</f>
        <v/>
      </c>
      <c r="AU37" t="str">
        <f ca="1">IF($A37&gt;AU$34,"",OFFSET(Tippabgabe!$EF$177,SUM(tipps!$A$34:AT$34)+tipps!$A37,0))</f>
        <v/>
      </c>
      <c r="AV37" t="str">
        <f ca="1">IF($A37&gt;AV$34,"",OFFSET(Tippabgabe!$EF$177,SUM(tipps!$A$34:AU$34)+tipps!$A37,0))</f>
        <v/>
      </c>
      <c r="AW37" t="str">
        <f ca="1">IF($A37&gt;AW$34,"",OFFSET(Tippabgabe!$EF$177,SUM(tipps!$A$34:AV$34)+tipps!$A37,0))</f>
        <v/>
      </c>
      <c r="AX37" t="str">
        <f ca="1">IF($A37&gt;AX$34,"",OFFSET(Tippabgabe!$EF$177,SUM(tipps!$A$34:AW$34)+tipps!$A37,0))</f>
        <v/>
      </c>
      <c r="AY37" t="str">
        <f ca="1">IF($A37&gt;AY$34,"",OFFSET(Tippabgabe!$EF$177,SUM(tipps!$A$34:AX$34)+tipps!$A37,0))</f>
        <v/>
      </c>
      <c r="AZ37" t="str">
        <f ca="1">IF($A37&gt;AZ$34,"",OFFSET(Tippabgabe!$EF$177,SUM(tipps!$A$34:AY$34)+tipps!$A37,0))</f>
        <v/>
      </c>
      <c r="BA37" t="str">
        <f ca="1">IF($A37&gt;BA$34,"",OFFSET(Tippabgabe!$EF$177,SUM(tipps!$A$34:AZ$34)+tipps!$A37,0))</f>
        <v/>
      </c>
      <c r="BB37" t="str">
        <f ca="1">IF($A37&gt;BB$34,"",OFFSET(Tippabgabe!$EF$177,SUM(tipps!$A$34:BA$34)+tipps!$A37,0))</f>
        <v/>
      </c>
      <c r="BC37" t="str">
        <f ca="1">IF($A37&gt;BC$34,"",OFFSET(Tippabgabe!$EF$177,SUM(tipps!$A$34:BB$34)+tipps!$A37,0))</f>
        <v/>
      </c>
      <c r="BD37" t="str">
        <f ca="1">IF($A37&gt;BD$34,"",OFFSET(Tippabgabe!$EF$177,SUM(tipps!$A$34:BC$34)+tipps!$A37,0))</f>
        <v/>
      </c>
      <c r="BE37" t="str">
        <f ca="1">IF($A37&gt;BE$34,"",OFFSET(Tippabgabe!$EF$177,SUM(tipps!$A$34:BD$34)+tipps!$A37,0))</f>
        <v/>
      </c>
      <c r="BF37" t="str">
        <f ca="1">IF($A37&gt;BF$34,"",OFFSET(Tippabgabe!$EF$177,SUM(tipps!$A$34:BE$34)+tipps!$A37,0))</f>
        <v/>
      </c>
      <c r="BG37" t="str">
        <f ca="1">IF($A37&gt;BG$34,"",OFFSET(Tippabgabe!$EF$177,SUM(tipps!$A$34:BF$34)+tipps!$A37,0))</f>
        <v/>
      </c>
      <c r="BH37" t="str">
        <f ca="1">IF($A37&gt;BH$34,"",OFFSET(Tippabgabe!$EF$177,SUM(tipps!$A$34:BG$34)+tipps!$A37,0))</f>
        <v/>
      </c>
      <c r="BI37" t="str">
        <f ca="1">IF($A37&gt;BI$34,"",OFFSET(Tippabgabe!$EF$177,SUM(tipps!$A$34:BH$34)+tipps!$A37,0))</f>
        <v/>
      </c>
      <c r="BJ37" t="str">
        <f ca="1">IF($A37&gt;BJ$34,"",OFFSET(Tippabgabe!$EF$177,SUM(tipps!$A$34:BI$34)+tipps!$A37,0))</f>
        <v/>
      </c>
      <c r="BK37" t="str">
        <f ca="1">IF($A37&gt;BK$34,"",OFFSET(Tippabgabe!$EF$177,SUM(tipps!$A$34:BJ$34)+tipps!$A37,0))</f>
        <v/>
      </c>
      <c r="BL37" t="str">
        <f ca="1">IF($A37&gt;BL$34,"",OFFSET(Tippabgabe!$EF$177,SUM(tipps!$A$34:BK$34)+tipps!$A37,0))</f>
        <v/>
      </c>
      <c r="BM37" t="str">
        <f ca="1">IF($A37&gt;BM$34,"",OFFSET(Tippabgabe!$EF$177,SUM(tipps!$A$34:BL$34)+tipps!$A37,0))</f>
        <v/>
      </c>
      <c r="BN37" t="str">
        <f ca="1">IF($A37&gt;BN$34,"",OFFSET(Tippabgabe!$EF$177,SUM(tipps!$A$34:BM$34)+tipps!$A37,0))</f>
        <v/>
      </c>
      <c r="BO37" t="str">
        <f ca="1">IF($A37&gt;BO$34,"",OFFSET(Tippabgabe!$EF$177,SUM(tipps!$A$34:BN$34)+tipps!$A37,0))</f>
        <v/>
      </c>
      <c r="BP37" t="str">
        <f ca="1">IF($A37&gt;BP$34,"",OFFSET(Tippabgabe!$EF$177,SUM(tipps!$A$34:BO$34)+tipps!$A37,0))</f>
        <v/>
      </c>
      <c r="BQ37" t="str">
        <f ca="1">IF($A37&gt;BQ$34,"",OFFSET(Tippabgabe!$EF$177,SUM(tipps!$A$34:BP$34)+tipps!$A37,0))</f>
        <v/>
      </c>
      <c r="BR37" t="str">
        <f ca="1">IF($A37&gt;BR$34,"",OFFSET(Tippabgabe!$EF$177,SUM(tipps!$A$34:BQ$34)+tipps!$A37,0))</f>
        <v/>
      </c>
      <c r="BS37" t="str">
        <f ca="1">IF($A37&gt;BS$34,"",OFFSET(Tippabgabe!$EF$177,SUM(tipps!$A$34:BR$34)+tipps!$A37,0))</f>
        <v/>
      </c>
      <c r="BT37" t="str">
        <f ca="1">IF($A37&gt;BT$34,"",OFFSET(Tippabgabe!$EF$177,SUM(tipps!$A$34:BS$34)+tipps!$A37,0))</f>
        <v/>
      </c>
      <c r="BU37" t="str">
        <f ca="1">IF($A37&gt;BU$34,"",OFFSET(Tippabgabe!$EF$177,SUM(tipps!$A$34:BT$34)+tipps!$A37,0))</f>
        <v/>
      </c>
      <c r="BV37" t="str">
        <f ca="1">IF($A37&gt;BV$34,"",OFFSET(Tippabgabe!$EF$177,SUM(tipps!$A$34:BU$34)+tipps!$A37,0))</f>
        <v/>
      </c>
      <c r="BW37" t="str">
        <f ca="1">IF($A37&gt;BW$34,"",OFFSET(Tippabgabe!$EF$177,SUM(tipps!$A$34:BV$34)+tipps!$A37,0))</f>
        <v/>
      </c>
    </row>
    <row r="38" spans="1:77" x14ac:dyDescent="0.2">
      <c r="A38">
        <v>3</v>
      </c>
      <c r="B38" t="str">
        <f ca="1">IF($A38&gt;B$34,"",OFFSET(Tippabgabe!$EF$177,SUM(tipps!$A$34:A$34)+tipps!$A38,0))</f>
        <v/>
      </c>
      <c r="C38" t="str">
        <f ca="1">IF($A38&gt;C$34,"",OFFSET(Tippabgabe!$EF$177,SUM(tipps!$A$34:B$34)+tipps!$A38,0))</f>
        <v/>
      </c>
      <c r="D38" t="str">
        <f ca="1">IF($A38&gt;D$34,"",OFFSET(Tippabgabe!$EF$177,SUM(tipps!$A$34:C$34)+tipps!$A38,0))</f>
        <v/>
      </c>
      <c r="E38" t="str">
        <f ca="1">IF($A38&gt;E$34,"",OFFSET(Tippabgabe!$EF$177,SUM(tipps!$A$34:D$34)+tipps!$A38,0))</f>
        <v/>
      </c>
      <c r="F38" t="str">
        <f ca="1">IF($A38&gt;F$34,"",OFFSET(Tippabgabe!$EF$177,SUM(tipps!$A$34:E$34)+tipps!$A38,0))</f>
        <v/>
      </c>
      <c r="G38" t="str">
        <f ca="1">IF($A38&gt;G$34,"",OFFSET(Tippabgabe!$EF$177,SUM(tipps!$A$34:F$34)+tipps!$A38,0))</f>
        <v/>
      </c>
      <c r="H38" t="str">
        <f ca="1">IF($A38&gt;H$34,"",OFFSET(Tippabgabe!$EF$177,SUM(tipps!$A$34:G$34)+tipps!$A38,0))</f>
        <v/>
      </c>
      <c r="I38" t="str">
        <f ca="1">IF($A38&gt;I$34,"",OFFSET(Tippabgabe!$EF$177,SUM(tipps!$A$34:H$34)+tipps!$A38,0))</f>
        <v/>
      </c>
      <c r="J38" t="str">
        <f ca="1">IF($A38&gt;J$34,"",OFFSET(Tippabgabe!$EF$177,SUM(tipps!$A$34:I$34)+tipps!$A38,0))</f>
        <v/>
      </c>
      <c r="K38" t="str">
        <f ca="1">IF($A38&gt;K$34,"",OFFSET(Tippabgabe!$EF$177,SUM(tipps!$A$34:J$34)+tipps!$A38,0))</f>
        <v/>
      </c>
      <c r="L38" t="str">
        <f ca="1">IF($A38&gt;L$34,"",OFFSET(Tippabgabe!$EF$177,SUM(tipps!$A$34:K$34)+tipps!$A38,0))</f>
        <v/>
      </c>
      <c r="M38" t="str">
        <f ca="1">IF($A38&gt;M$34,"",OFFSET(Tippabgabe!$EF$177,SUM(tipps!$A$34:L$34)+tipps!$A38,0))</f>
        <v/>
      </c>
      <c r="N38" t="str">
        <f ca="1">IF($A38&gt;N$34,"",OFFSET(Tippabgabe!$EF$177,SUM(tipps!$A$34:M$34)+tipps!$A38,0))</f>
        <v/>
      </c>
      <c r="O38" t="str">
        <f ca="1">IF($A38&gt;O$34,"",OFFSET(Tippabgabe!$EF$177,SUM(tipps!$A$34:N$34)+tipps!$A38,0))</f>
        <v/>
      </c>
      <c r="P38" t="str">
        <f ca="1">IF($A38&gt;P$34,"",OFFSET(Tippabgabe!$EF$177,SUM(tipps!$A$34:O$34)+tipps!$A38,0))</f>
        <v/>
      </c>
      <c r="Q38" t="str">
        <f ca="1">IF($A38&gt;Q$34,"",OFFSET(Tippabgabe!$EF$177,SUM(tipps!$A$34:P$34)+tipps!$A38,0))</f>
        <v/>
      </c>
      <c r="R38" t="str">
        <f ca="1">IF($A38&gt;R$34,"",OFFSET(Tippabgabe!$EF$177,SUM(tipps!$A$34:Q$34)+tipps!$A38,0))</f>
        <v/>
      </c>
      <c r="S38" t="str">
        <f ca="1">IF($A38&gt;S$34,"",OFFSET(Tippabgabe!$EF$177,SUM(tipps!$A$34:R$34)+tipps!$A38,0))</f>
        <v/>
      </c>
      <c r="T38" t="str">
        <f ca="1">IF($A38&gt;T$34,"",OFFSET(Tippabgabe!$EF$177,SUM(tipps!$A$34:S$34)+tipps!$A38,0))</f>
        <v/>
      </c>
      <c r="U38" t="str">
        <f ca="1">IF($A38&gt;U$34,"",OFFSET(Tippabgabe!$EF$177,SUM(tipps!$A$34:T$34)+tipps!$A38,0))</f>
        <v/>
      </c>
      <c r="V38" t="str">
        <f ca="1">IF($A38&gt;V$34,"",OFFSET(Tippabgabe!$EF$177,SUM(tipps!$A$34:U$34)+tipps!$A38,0))</f>
        <v/>
      </c>
      <c r="W38" t="str">
        <f ca="1">IF($A38&gt;W$34,"",OFFSET(Tippabgabe!$EF$177,SUM(tipps!$A$34:V$34)+tipps!$A38,0))</f>
        <v/>
      </c>
      <c r="X38" t="str">
        <f ca="1">IF($A38&gt;X$34,"",OFFSET(Tippabgabe!$EF$177,SUM(tipps!$A$34:W$34)+tipps!$A38,0))</f>
        <v/>
      </c>
      <c r="Y38" t="str">
        <f ca="1">IF($A38&gt;Y$34,"",OFFSET(Tippabgabe!$EF$177,SUM(tipps!$A$34:X$34)+tipps!$A38,0))</f>
        <v/>
      </c>
      <c r="Z38" t="str">
        <f ca="1">IF($A38&gt;Z$34,"",OFFSET(Tippabgabe!$EF$177,SUM(tipps!$A$34:Y$34)+tipps!$A38,0))</f>
        <v/>
      </c>
      <c r="AA38" t="str">
        <f ca="1">IF($A38&gt;AA$34,"",OFFSET(Tippabgabe!$EF$177,SUM(tipps!$A$34:Z$34)+tipps!$A38,0))</f>
        <v/>
      </c>
      <c r="AB38" t="str">
        <f ca="1">IF($A38&gt;AB$34,"",OFFSET(Tippabgabe!$EF$177,SUM(tipps!$A$34:AA$34)+tipps!$A38,0))</f>
        <v/>
      </c>
      <c r="AC38" t="str">
        <f ca="1">IF($A38&gt;AC$34,"",OFFSET(Tippabgabe!$EF$177,SUM(tipps!$A$34:AB$34)+tipps!$A38,0))</f>
        <v/>
      </c>
      <c r="AD38" t="str">
        <f ca="1">IF($A38&gt;AD$34,"",OFFSET(Tippabgabe!$EF$177,SUM(tipps!$A$34:AC$34)+tipps!$A38,0))</f>
        <v/>
      </c>
      <c r="AE38" t="str">
        <f ca="1">IF($A38&gt;AE$34,"",OFFSET(Tippabgabe!$EF$177,SUM(tipps!$A$34:AD$34)+tipps!$A38,0))</f>
        <v/>
      </c>
      <c r="AF38" t="str">
        <f ca="1">IF($A38&gt;AF$34,"",OFFSET(Tippabgabe!$EF$177,SUM(tipps!$A$34:AE$34)+tipps!$A38,0))</f>
        <v/>
      </c>
      <c r="AG38" t="str">
        <f ca="1">IF($A38&gt;AG$34,"",OFFSET(Tippabgabe!$EF$177,SUM(tipps!$A$34:AF$34)+tipps!$A38,0))</f>
        <v/>
      </c>
      <c r="AH38" t="str">
        <f ca="1">IF($A38&gt;AH$34,"",OFFSET(Tippabgabe!$EF$177,SUM(tipps!$A$34:AG$34)+tipps!$A38,0))</f>
        <v/>
      </c>
      <c r="AI38" t="str">
        <f ca="1">IF($A38&gt;AI$34,"",OFFSET(Tippabgabe!$EF$177,SUM(tipps!$A$34:AH$34)+tipps!$A38,0))</f>
        <v/>
      </c>
      <c r="AJ38" t="str">
        <f ca="1">IF($A38&gt;AJ$34,"",OFFSET(Tippabgabe!$EF$177,SUM(tipps!$A$34:AI$34)+tipps!$A38,0))</f>
        <v/>
      </c>
      <c r="AK38" t="str">
        <f ca="1">IF($A38&gt;AK$34,"",OFFSET(Tippabgabe!$EF$177,SUM(tipps!$A$34:AJ$34)+tipps!$A38,0))</f>
        <v/>
      </c>
      <c r="AL38" t="str">
        <f ca="1">IF($A38&gt;AL$34,"",OFFSET(Tippabgabe!$EF$177,SUM(tipps!$A$34:AK$34)+tipps!$A38,0))</f>
        <v/>
      </c>
      <c r="AM38" t="str">
        <f ca="1">IF($A38&gt;AM$34,"",OFFSET(Tippabgabe!$EF$177,SUM(tipps!$A$34:AL$34)+tipps!$A38,0))</f>
        <v/>
      </c>
      <c r="AN38" t="str">
        <f ca="1">IF($A38&gt;AN$34,"",OFFSET(Tippabgabe!$EF$177,SUM(tipps!$A$34:AM$34)+tipps!$A38,0))</f>
        <v/>
      </c>
      <c r="AO38" t="str">
        <f ca="1">IF($A38&gt;AO$34,"",OFFSET(Tippabgabe!$EF$177,SUM(tipps!$A$34:AN$34)+tipps!$A38,0))</f>
        <v/>
      </c>
      <c r="AP38" t="str">
        <f ca="1">IF($A38&gt;AP$34,"",OFFSET(Tippabgabe!$EF$177,SUM(tipps!$A$34:AO$34)+tipps!$A38,0))</f>
        <v/>
      </c>
      <c r="AQ38" t="str">
        <f ca="1">IF($A38&gt;AQ$34,"",OFFSET(Tippabgabe!$EF$177,SUM(tipps!$A$34:AP$34)+tipps!$A38,0))</f>
        <v/>
      </c>
      <c r="AR38" t="str">
        <f ca="1">IF($A38&gt;AR$34,"",OFFSET(Tippabgabe!$EF$177,SUM(tipps!$A$34:AQ$34)+tipps!$A38,0))</f>
        <v/>
      </c>
      <c r="AS38" t="str">
        <f ca="1">IF($A38&gt;AS$34,"",OFFSET(Tippabgabe!$EF$177,SUM(tipps!$A$34:AR$34)+tipps!$A38,0))</f>
        <v/>
      </c>
      <c r="AT38" t="str">
        <f ca="1">IF($A38&gt;AT$34,"",OFFSET(Tippabgabe!$EF$177,SUM(tipps!$A$34:AS$34)+tipps!$A38,0))</f>
        <v/>
      </c>
      <c r="AU38" t="str">
        <f ca="1">IF($A38&gt;AU$34,"",OFFSET(Tippabgabe!$EF$177,SUM(tipps!$A$34:AT$34)+tipps!$A38,0))</f>
        <v/>
      </c>
      <c r="AV38" t="str">
        <f ca="1">IF($A38&gt;AV$34,"",OFFSET(Tippabgabe!$EF$177,SUM(tipps!$A$34:AU$34)+tipps!$A38,0))</f>
        <v/>
      </c>
      <c r="AW38" t="str">
        <f ca="1">IF($A38&gt;AW$34,"",OFFSET(Tippabgabe!$EF$177,SUM(tipps!$A$34:AV$34)+tipps!$A38,0))</f>
        <v/>
      </c>
      <c r="AX38" t="str">
        <f ca="1">IF($A38&gt;AX$34,"",OFFSET(Tippabgabe!$EF$177,SUM(tipps!$A$34:AW$34)+tipps!$A38,0))</f>
        <v/>
      </c>
      <c r="AY38" t="str">
        <f ca="1">IF($A38&gt;AY$34,"",OFFSET(Tippabgabe!$EF$177,SUM(tipps!$A$34:AX$34)+tipps!$A38,0))</f>
        <v/>
      </c>
      <c r="AZ38" t="str">
        <f ca="1">IF($A38&gt;AZ$34,"",OFFSET(Tippabgabe!$EF$177,SUM(tipps!$A$34:AY$34)+tipps!$A38,0))</f>
        <v/>
      </c>
      <c r="BA38" t="str">
        <f ca="1">IF($A38&gt;BA$34,"",OFFSET(Tippabgabe!$EF$177,SUM(tipps!$A$34:AZ$34)+tipps!$A38,0))</f>
        <v/>
      </c>
      <c r="BB38" t="str">
        <f ca="1">IF($A38&gt;BB$34,"",OFFSET(Tippabgabe!$EF$177,SUM(tipps!$A$34:BA$34)+tipps!$A38,0))</f>
        <v/>
      </c>
      <c r="BC38" t="str">
        <f ca="1">IF($A38&gt;BC$34,"",OFFSET(Tippabgabe!$EF$177,SUM(tipps!$A$34:BB$34)+tipps!$A38,0))</f>
        <v/>
      </c>
      <c r="BD38" t="str">
        <f ca="1">IF($A38&gt;BD$34,"",OFFSET(Tippabgabe!$EF$177,SUM(tipps!$A$34:BC$34)+tipps!$A38,0))</f>
        <v/>
      </c>
      <c r="BE38" t="str">
        <f ca="1">IF($A38&gt;BE$34,"",OFFSET(Tippabgabe!$EF$177,SUM(tipps!$A$34:BD$34)+tipps!$A38,0))</f>
        <v/>
      </c>
      <c r="BF38" t="str">
        <f ca="1">IF($A38&gt;BF$34,"",OFFSET(Tippabgabe!$EF$177,SUM(tipps!$A$34:BE$34)+tipps!$A38,0))</f>
        <v/>
      </c>
      <c r="BG38" t="str">
        <f ca="1">IF($A38&gt;BG$34,"",OFFSET(Tippabgabe!$EF$177,SUM(tipps!$A$34:BF$34)+tipps!$A38,0))</f>
        <v/>
      </c>
      <c r="BH38" t="str">
        <f ca="1">IF($A38&gt;BH$34,"",OFFSET(Tippabgabe!$EF$177,SUM(tipps!$A$34:BG$34)+tipps!$A38,0))</f>
        <v/>
      </c>
      <c r="BI38" t="str">
        <f ca="1">IF($A38&gt;BI$34,"",OFFSET(Tippabgabe!$EF$177,SUM(tipps!$A$34:BH$34)+tipps!$A38,0))</f>
        <v/>
      </c>
      <c r="BJ38" t="str">
        <f ca="1">IF($A38&gt;BJ$34,"",OFFSET(Tippabgabe!$EF$177,SUM(tipps!$A$34:BI$34)+tipps!$A38,0))</f>
        <v/>
      </c>
      <c r="BK38" t="str">
        <f ca="1">IF($A38&gt;BK$34,"",OFFSET(Tippabgabe!$EF$177,SUM(tipps!$A$34:BJ$34)+tipps!$A38,0))</f>
        <v/>
      </c>
      <c r="BL38" t="str">
        <f ca="1">IF($A38&gt;BL$34,"",OFFSET(Tippabgabe!$EF$177,SUM(tipps!$A$34:BK$34)+tipps!$A38,0))</f>
        <v/>
      </c>
      <c r="BM38" t="str">
        <f ca="1">IF($A38&gt;BM$34,"",OFFSET(Tippabgabe!$EF$177,SUM(tipps!$A$34:BL$34)+tipps!$A38,0))</f>
        <v/>
      </c>
      <c r="BN38" t="str">
        <f ca="1">IF($A38&gt;BN$34,"",OFFSET(Tippabgabe!$EF$177,SUM(tipps!$A$34:BM$34)+tipps!$A38,0))</f>
        <v/>
      </c>
      <c r="BO38" t="str">
        <f ca="1">IF($A38&gt;BO$34,"",OFFSET(Tippabgabe!$EF$177,SUM(tipps!$A$34:BN$34)+tipps!$A38,0))</f>
        <v/>
      </c>
      <c r="BP38" t="str">
        <f ca="1">IF($A38&gt;BP$34,"",OFFSET(Tippabgabe!$EF$177,SUM(tipps!$A$34:BO$34)+tipps!$A38,0))</f>
        <v/>
      </c>
      <c r="BQ38" t="str">
        <f ca="1">IF($A38&gt;BQ$34,"",OFFSET(Tippabgabe!$EF$177,SUM(tipps!$A$34:BP$34)+tipps!$A38,0))</f>
        <v/>
      </c>
      <c r="BR38" t="str">
        <f ca="1">IF($A38&gt;BR$34,"",OFFSET(Tippabgabe!$EF$177,SUM(tipps!$A$34:BQ$34)+tipps!$A38,0))</f>
        <v/>
      </c>
      <c r="BS38" t="str">
        <f ca="1">IF($A38&gt;BS$34,"",OFFSET(Tippabgabe!$EF$177,SUM(tipps!$A$34:BR$34)+tipps!$A38,0))</f>
        <v/>
      </c>
      <c r="BT38" t="str">
        <f ca="1">IF($A38&gt;BT$34,"",OFFSET(Tippabgabe!$EF$177,SUM(tipps!$A$34:BS$34)+tipps!$A38,0))</f>
        <v/>
      </c>
      <c r="BU38" t="str">
        <f ca="1">IF($A38&gt;BU$34,"",OFFSET(Tippabgabe!$EF$177,SUM(tipps!$A$34:BT$34)+tipps!$A38,0))</f>
        <v/>
      </c>
      <c r="BV38" t="str">
        <f ca="1">IF($A38&gt;BV$34,"",OFFSET(Tippabgabe!$EF$177,SUM(tipps!$A$34:BU$34)+tipps!$A38,0))</f>
        <v/>
      </c>
      <c r="BW38" t="str">
        <f ca="1">IF($A38&gt;BW$34,"",OFFSET(Tippabgabe!$EF$177,SUM(tipps!$A$34:BV$34)+tipps!$A38,0))</f>
        <v/>
      </c>
    </row>
    <row r="39" spans="1:77" x14ac:dyDescent="0.2">
      <c r="A39">
        <v>4</v>
      </c>
      <c r="B39" t="str">
        <f ca="1">IF($A39&gt;B$34,"",OFFSET(Tippabgabe!$EF$177,SUM(tipps!$A$34:A$34)+tipps!$A39,0))</f>
        <v/>
      </c>
      <c r="C39" t="str">
        <f ca="1">IF($A39&gt;C$34,"",OFFSET(Tippabgabe!$EF$177,SUM(tipps!$A$34:B$34)+tipps!$A39,0))</f>
        <v/>
      </c>
      <c r="D39" t="str">
        <f ca="1">IF($A39&gt;D$34,"",OFFSET(Tippabgabe!$EF$177,SUM(tipps!$A$34:C$34)+tipps!$A39,0))</f>
        <v/>
      </c>
      <c r="E39" t="str">
        <f ca="1">IF($A39&gt;E$34,"",OFFSET(Tippabgabe!$EF$177,SUM(tipps!$A$34:D$34)+tipps!$A39,0))</f>
        <v/>
      </c>
      <c r="F39" t="str">
        <f ca="1">IF($A39&gt;F$34,"",OFFSET(Tippabgabe!$EF$177,SUM(tipps!$A$34:E$34)+tipps!$A39,0))</f>
        <v/>
      </c>
      <c r="G39" t="str">
        <f ca="1">IF($A39&gt;G$34,"",OFFSET(Tippabgabe!$EF$177,SUM(tipps!$A$34:F$34)+tipps!$A39,0))</f>
        <v/>
      </c>
      <c r="H39" t="str">
        <f ca="1">IF($A39&gt;H$34,"",OFFSET(Tippabgabe!$EF$177,SUM(tipps!$A$34:G$34)+tipps!$A39,0))</f>
        <v/>
      </c>
      <c r="I39" t="str">
        <f ca="1">IF($A39&gt;I$34,"",OFFSET(Tippabgabe!$EF$177,SUM(tipps!$A$34:H$34)+tipps!$A39,0))</f>
        <v/>
      </c>
      <c r="J39" t="str">
        <f ca="1">IF($A39&gt;J$34,"",OFFSET(Tippabgabe!$EF$177,SUM(tipps!$A$34:I$34)+tipps!$A39,0))</f>
        <v/>
      </c>
      <c r="K39" t="str">
        <f ca="1">IF($A39&gt;K$34,"",OFFSET(Tippabgabe!$EF$177,SUM(tipps!$A$34:J$34)+tipps!$A39,0))</f>
        <v/>
      </c>
      <c r="L39" t="str">
        <f ca="1">IF($A39&gt;L$34,"",OFFSET(Tippabgabe!$EF$177,SUM(tipps!$A$34:K$34)+tipps!$A39,0))</f>
        <v/>
      </c>
      <c r="M39" t="str">
        <f ca="1">IF($A39&gt;M$34,"",OFFSET(Tippabgabe!$EF$177,SUM(tipps!$A$34:L$34)+tipps!$A39,0))</f>
        <v/>
      </c>
      <c r="N39" t="str">
        <f ca="1">IF($A39&gt;N$34,"",OFFSET(Tippabgabe!$EF$177,SUM(tipps!$A$34:M$34)+tipps!$A39,0))</f>
        <v/>
      </c>
      <c r="O39" t="str">
        <f ca="1">IF($A39&gt;O$34,"",OFFSET(Tippabgabe!$EF$177,SUM(tipps!$A$34:N$34)+tipps!$A39,0))</f>
        <v/>
      </c>
      <c r="P39" t="str">
        <f ca="1">IF($A39&gt;P$34,"",OFFSET(Tippabgabe!$EF$177,SUM(tipps!$A$34:O$34)+tipps!$A39,0))</f>
        <v/>
      </c>
      <c r="Q39" t="str">
        <f ca="1">IF($A39&gt;Q$34,"",OFFSET(Tippabgabe!$EF$177,SUM(tipps!$A$34:P$34)+tipps!$A39,0))</f>
        <v/>
      </c>
      <c r="R39" t="str">
        <f ca="1">IF($A39&gt;R$34,"",OFFSET(Tippabgabe!$EF$177,SUM(tipps!$A$34:Q$34)+tipps!$A39,0))</f>
        <v/>
      </c>
      <c r="S39" t="str">
        <f ca="1">IF($A39&gt;S$34,"",OFFSET(Tippabgabe!$EF$177,SUM(tipps!$A$34:R$34)+tipps!$A39,0))</f>
        <v/>
      </c>
      <c r="T39" t="str">
        <f ca="1">IF($A39&gt;T$34,"",OFFSET(Tippabgabe!$EF$177,SUM(tipps!$A$34:S$34)+tipps!$A39,0))</f>
        <v/>
      </c>
      <c r="U39" t="str">
        <f ca="1">IF($A39&gt;U$34,"",OFFSET(Tippabgabe!$EF$177,SUM(tipps!$A$34:T$34)+tipps!$A39,0))</f>
        <v/>
      </c>
      <c r="V39" t="str">
        <f ca="1">IF($A39&gt;V$34,"",OFFSET(Tippabgabe!$EF$177,SUM(tipps!$A$34:U$34)+tipps!$A39,0))</f>
        <v/>
      </c>
      <c r="W39" t="str">
        <f ca="1">IF($A39&gt;W$34,"",OFFSET(Tippabgabe!$EF$177,SUM(tipps!$A$34:V$34)+tipps!$A39,0))</f>
        <v/>
      </c>
      <c r="X39" t="str">
        <f ca="1">IF($A39&gt;X$34,"",OFFSET(Tippabgabe!$EF$177,SUM(tipps!$A$34:W$34)+tipps!$A39,0))</f>
        <v/>
      </c>
      <c r="Y39" t="str">
        <f ca="1">IF($A39&gt;Y$34,"",OFFSET(Tippabgabe!$EF$177,SUM(tipps!$A$34:X$34)+tipps!$A39,0))</f>
        <v/>
      </c>
      <c r="Z39" t="str">
        <f ca="1">IF($A39&gt;Z$34,"",OFFSET(Tippabgabe!$EF$177,SUM(tipps!$A$34:Y$34)+tipps!$A39,0))</f>
        <v/>
      </c>
      <c r="AA39" t="str">
        <f ca="1">IF($A39&gt;AA$34,"",OFFSET(Tippabgabe!$EF$177,SUM(tipps!$A$34:Z$34)+tipps!$A39,0))</f>
        <v/>
      </c>
      <c r="AB39" t="str">
        <f ca="1">IF($A39&gt;AB$34,"",OFFSET(Tippabgabe!$EF$177,SUM(tipps!$A$34:AA$34)+tipps!$A39,0))</f>
        <v/>
      </c>
      <c r="AC39" t="str">
        <f ca="1">IF($A39&gt;AC$34,"",OFFSET(Tippabgabe!$EF$177,SUM(tipps!$A$34:AB$34)+tipps!$A39,0))</f>
        <v/>
      </c>
      <c r="AD39" t="str">
        <f ca="1">IF($A39&gt;AD$34,"",OFFSET(Tippabgabe!$EF$177,SUM(tipps!$A$34:AC$34)+tipps!$A39,0))</f>
        <v/>
      </c>
      <c r="AE39" t="str">
        <f ca="1">IF($A39&gt;AE$34,"",OFFSET(Tippabgabe!$EF$177,SUM(tipps!$A$34:AD$34)+tipps!$A39,0))</f>
        <v/>
      </c>
      <c r="AF39" t="str">
        <f ca="1">IF($A39&gt;AF$34,"",OFFSET(Tippabgabe!$EF$177,SUM(tipps!$A$34:AE$34)+tipps!$A39,0))</f>
        <v/>
      </c>
      <c r="AG39" t="str">
        <f ca="1">IF($A39&gt;AG$34,"",OFFSET(Tippabgabe!$EF$177,SUM(tipps!$A$34:AF$34)+tipps!$A39,0))</f>
        <v/>
      </c>
      <c r="AH39" t="str">
        <f ca="1">IF($A39&gt;AH$34,"",OFFSET(Tippabgabe!$EF$177,SUM(tipps!$A$34:AG$34)+tipps!$A39,0))</f>
        <v/>
      </c>
      <c r="AI39" t="str">
        <f ca="1">IF($A39&gt;AI$34,"",OFFSET(Tippabgabe!$EF$177,SUM(tipps!$A$34:AH$34)+tipps!$A39,0))</f>
        <v/>
      </c>
      <c r="AJ39" t="str">
        <f ca="1">IF($A39&gt;AJ$34,"",OFFSET(Tippabgabe!$EF$177,SUM(tipps!$A$34:AI$34)+tipps!$A39,0))</f>
        <v/>
      </c>
      <c r="AK39" t="str">
        <f ca="1">IF($A39&gt;AK$34,"",OFFSET(Tippabgabe!$EF$177,SUM(tipps!$A$34:AJ$34)+tipps!$A39,0))</f>
        <v/>
      </c>
      <c r="AL39" t="str">
        <f ca="1">IF($A39&gt;AL$34,"",OFFSET(Tippabgabe!$EF$177,SUM(tipps!$A$34:AK$34)+tipps!$A39,0))</f>
        <v/>
      </c>
      <c r="AM39" t="str">
        <f ca="1">IF($A39&gt;AM$34,"",OFFSET(Tippabgabe!$EF$177,SUM(tipps!$A$34:AL$34)+tipps!$A39,0))</f>
        <v/>
      </c>
      <c r="AN39" t="str">
        <f ca="1">IF($A39&gt;AN$34,"",OFFSET(Tippabgabe!$EF$177,SUM(tipps!$A$34:AM$34)+tipps!$A39,0))</f>
        <v/>
      </c>
      <c r="AO39" t="str">
        <f ca="1">IF($A39&gt;AO$34,"",OFFSET(Tippabgabe!$EF$177,SUM(tipps!$A$34:AN$34)+tipps!$A39,0))</f>
        <v/>
      </c>
      <c r="AP39" t="str">
        <f ca="1">IF($A39&gt;AP$34,"",OFFSET(Tippabgabe!$EF$177,SUM(tipps!$A$34:AO$34)+tipps!$A39,0))</f>
        <v/>
      </c>
      <c r="AQ39" t="str">
        <f ca="1">IF($A39&gt;AQ$34,"",OFFSET(Tippabgabe!$EF$177,SUM(tipps!$A$34:AP$34)+tipps!$A39,0))</f>
        <v/>
      </c>
      <c r="AR39" t="str">
        <f ca="1">IF($A39&gt;AR$34,"",OFFSET(Tippabgabe!$EF$177,SUM(tipps!$A$34:AQ$34)+tipps!$A39,0))</f>
        <v/>
      </c>
      <c r="AS39" t="str">
        <f ca="1">IF($A39&gt;AS$34,"",OFFSET(Tippabgabe!$EF$177,SUM(tipps!$A$34:AR$34)+tipps!$A39,0))</f>
        <v/>
      </c>
      <c r="AT39" t="str">
        <f ca="1">IF($A39&gt;AT$34,"",OFFSET(Tippabgabe!$EF$177,SUM(tipps!$A$34:AS$34)+tipps!$A39,0))</f>
        <v/>
      </c>
      <c r="AU39" t="str">
        <f ca="1">IF($A39&gt;AU$34,"",OFFSET(Tippabgabe!$EF$177,SUM(tipps!$A$34:AT$34)+tipps!$A39,0))</f>
        <v/>
      </c>
      <c r="AV39" t="str">
        <f ca="1">IF($A39&gt;AV$34,"",OFFSET(Tippabgabe!$EF$177,SUM(tipps!$A$34:AU$34)+tipps!$A39,0))</f>
        <v/>
      </c>
      <c r="AW39" t="str">
        <f ca="1">IF($A39&gt;AW$34,"",OFFSET(Tippabgabe!$EF$177,SUM(tipps!$A$34:AV$34)+tipps!$A39,0))</f>
        <v/>
      </c>
      <c r="AX39" t="str">
        <f ca="1">IF($A39&gt;AX$34,"",OFFSET(Tippabgabe!$EF$177,SUM(tipps!$A$34:AW$34)+tipps!$A39,0))</f>
        <v/>
      </c>
      <c r="AY39" t="str">
        <f ca="1">IF($A39&gt;AY$34,"",OFFSET(Tippabgabe!$EF$177,SUM(tipps!$A$34:AX$34)+tipps!$A39,0))</f>
        <v/>
      </c>
      <c r="AZ39" t="str">
        <f ca="1">IF($A39&gt;AZ$34,"",OFFSET(Tippabgabe!$EF$177,SUM(tipps!$A$34:AY$34)+tipps!$A39,0))</f>
        <v/>
      </c>
      <c r="BA39" t="str">
        <f ca="1">IF($A39&gt;BA$34,"",OFFSET(Tippabgabe!$EF$177,SUM(tipps!$A$34:AZ$34)+tipps!$A39,0))</f>
        <v/>
      </c>
      <c r="BB39" t="str">
        <f ca="1">IF($A39&gt;BB$34,"",OFFSET(Tippabgabe!$EF$177,SUM(tipps!$A$34:BA$34)+tipps!$A39,0))</f>
        <v/>
      </c>
      <c r="BC39" t="str">
        <f ca="1">IF($A39&gt;BC$34,"",OFFSET(Tippabgabe!$EF$177,SUM(tipps!$A$34:BB$34)+tipps!$A39,0))</f>
        <v/>
      </c>
      <c r="BD39" t="str">
        <f ca="1">IF($A39&gt;BD$34,"",OFFSET(Tippabgabe!$EF$177,SUM(tipps!$A$34:BC$34)+tipps!$A39,0))</f>
        <v/>
      </c>
      <c r="BE39" t="str">
        <f ca="1">IF($A39&gt;BE$34,"",OFFSET(Tippabgabe!$EF$177,SUM(tipps!$A$34:BD$34)+tipps!$A39,0))</f>
        <v/>
      </c>
      <c r="BF39" t="str">
        <f ca="1">IF($A39&gt;BF$34,"",OFFSET(Tippabgabe!$EF$177,SUM(tipps!$A$34:BE$34)+tipps!$A39,0))</f>
        <v/>
      </c>
      <c r="BG39" t="str">
        <f ca="1">IF($A39&gt;BG$34,"",OFFSET(Tippabgabe!$EF$177,SUM(tipps!$A$34:BF$34)+tipps!$A39,0))</f>
        <v/>
      </c>
      <c r="BH39" t="str">
        <f ca="1">IF($A39&gt;BH$34,"",OFFSET(Tippabgabe!$EF$177,SUM(tipps!$A$34:BG$34)+tipps!$A39,0))</f>
        <v/>
      </c>
      <c r="BI39" t="str">
        <f ca="1">IF($A39&gt;BI$34,"",OFFSET(Tippabgabe!$EF$177,SUM(tipps!$A$34:BH$34)+tipps!$A39,0))</f>
        <v/>
      </c>
      <c r="BJ39" t="str">
        <f ca="1">IF($A39&gt;BJ$34,"",OFFSET(Tippabgabe!$EF$177,SUM(tipps!$A$34:BI$34)+tipps!$A39,0))</f>
        <v/>
      </c>
      <c r="BK39" t="str">
        <f ca="1">IF($A39&gt;BK$34,"",OFFSET(Tippabgabe!$EF$177,SUM(tipps!$A$34:BJ$34)+tipps!$A39,0))</f>
        <v/>
      </c>
      <c r="BL39" t="str">
        <f ca="1">IF($A39&gt;BL$34,"",OFFSET(Tippabgabe!$EF$177,SUM(tipps!$A$34:BK$34)+tipps!$A39,0))</f>
        <v/>
      </c>
      <c r="BM39" t="str">
        <f ca="1">IF($A39&gt;BM$34,"",OFFSET(Tippabgabe!$EF$177,SUM(tipps!$A$34:BL$34)+tipps!$A39,0))</f>
        <v/>
      </c>
      <c r="BN39" t="str">
        <f ca="1">IF($A39&gt;BN$34,"",OFFSET(Tippabgabe!$EF$177,SUM(tipps!$A$34:BM$34)+tipps!$A39,0))</f>
        <v/>
      </c>
      <c r="BO39" t="str">
        <f ca="1">IF($A39&gt;BO$34,"",OFFSET(Tippabgabe!$EF$177,SUM(tipps!$A$34:BN$34)+tipps!$A39,0))</f>
        <v/>
      </c>
      <c r="BP39" t="str">
        <f ca="1">IF($A39&gt;BP$34,"",OFFSET(Tippabgabe!$EF$177,SUM(tipps!$A$34:BO$34)+tipps!$A39,0))</f>
        <v/>
      </c>
      <c r="BQ39" t="str">
        <f ca="1">IF($A39&gt;BQ$34,"",OFFSET(Tippabgabe!$EF$177,SUM(tipps!$A$34:BP$34)+tipps!$A39,0))</f>
        <v/>
      </c>
      <c r="BR39" t="str">
        <f ca="1">IF($A39&gt;BR$34,"",OFFSET(Tippabgabe!$EF$177,SUM(tipps!$A$34:BQ$34)+tipps!$A39,0))</f>
        <v/>
      </c>
      <c r="BS39" t="str">
        <f ca="1">IF($A39&gt;BS$34,"",OFFSET(Tippabgabe!$EF$177,SUM(tipps!$A$34:BR$34)+tipps!$A39,0))</f>
        <v/>
      </c>
      <c r="BT39" t="str">
        <f ca="1">IF($A39&gt;BT$34,"",OFFSET(Tippabgabe!$EF$177,SUM(tipps!$A$34:BS$34)+tipps!$A39,0))</f>
        <v/>
      </c>
      <c r="BU39" t="str">
        <f ca="1">IF($A39&gt;BU$34,"",OFFSET(Tippabgabe!$EF$177,SUM(tipps!$A$34:BT$34)+tipps!$A39,0))</f>
        <v/>
      </c>
      <c r="BV39" t="str">
        <f ca="1">IF($A39&gt;BV$34,"",OFFSET(Tippabgabe!$EF$177,SUM(tipps!$A$34:BU$34)+tipps!$A39,0))</f>
        <v/>
      </c>
      <c r="BW39" t="str">
        <f ca="1">IF($A39&gt;BW$34,"",OFFSET(Tippabgabe!$EF$177,SUM(tipps!$A$34:BV$34)+tipps!$A39,0))</f>
        <v/>
      </c>
    </row>
    <row r="40" spans="1:77" x14ac:dyDescent="0.2">
      <c r="A40">
        <v>5</v>
      </c>
      <c r="B40" t="str">
        <f ca="1">IF($A40&gt;B$34,"",OFFSET(Tippabgabe!$EF$177,SUM(tipps!$A$34:A$34)+tipps!$A40,0))</f>
        <v/>
      </c>
      <c r="C40" t="str">
        <f ca="1">IF($A40&gt;C$34,"",OFFSET(Tippabgabe!$EF$177,SUM(tipps!$A$34:B$34)+tipps!$A40,0))</f>
        <v/>
      </c>
      <c r="D40" t="str">
        <f ca="1">IF($A40&gt;D$34,"",OFFSET(Tippabgabe!$EF$177,SUM(tipps!$A$34:C$34)+tipps!$A40,0))</f>
        <v/>
      </c>
      <c r="E40" t="str">
        <f ca="1">IF($A40&gt;E$34,"",OFFSET(Tippabgabe!$EF$177,SUM(tipps!$A$34:D$34)+tipps!$A40,0))</f>
        <v/>
      </c>
      <c r="F40" t="str">
        <f ca="1">IF($A40&gt;F$34,"",OFFSET(Tippabgabe!$EF$177,SUM(tipps!$A$34:E$34)+tipps!$A40,0))</f>
        <v/>
      </c>
      <c r="G40" t="str">
        <f ca="1">IF($A40&gt;G$34,"",OFFSET(Tippabgabe!$EF$177,SUM(tipps!$A$34:F$34)+tipps!$A40,0))</f>
        <v/>
      </c>
      <c r="H40" t="str">
        <f ca="1">IF($A40&gt;H$34,"",OFFSET(Tippabgabe!$EF$177,SUM(tipps!$A$34:G$34)+tipps!$A40,0))</f>
        <v/>
      </c>
      <c r="I40" t="str">
        <f ca="1">IF($A40&gt;I$34,"",OFFSET(Tippabgabe!$EF$177,SUM(tipps!$A$34:H$34)+tipps!$A40,0))</f>
        <v/>
      </c>
      <c r="J40" t="str">
        <f ca="1">IF($A40&gt;J$34,"",OFFSET(Tippabgabe!$EF$177,SUM(tipps!$A$34:I$34)+tipps!$A40,0))</f>
        <v/>
      </c>
      <c r="K40" t="str">
        <f ca="1">IF($A40&gt;K$34,"",OFFSET(Tippabgabe!$EF$177,SUM(tipps!$A$34:J$34)+tipps!$A40,0))</f>
        <v/>
      </c>
      <c r="L40" t="str">
        <f ca="1">IF($A40&gt;L$34,"",OFFSET(Tippabgabe!$EF$177,SUM(tipps!$A$34:K$34)+tipps!$A40,0))</f>
        <v/>
      </c>
      <c r="M40" t="str">
        <f ca="1">IF($A40&gt;M$34,"",OFFSET(Tippabgabe!$EF$177,SUM(tipps!$A$34:L$34)+tipps!$A40,0))</f>
        <v/>
      </c>
      <c r="N40" t="str">
        <f ca="1">IF($A40&gt;N$34,"",OFFSET(Tippabgabe!$EF$177,SUM(tipps!$A$34:M$34)+tipps!$A40,0))</f>
        <v/>
      </c>
      <c r="O40" t="str">
        <f ca="1">IF($A40&gt;O$34,"",OFFSET(Tippabgabe!$EF$177,SUM(tipps!$A$34:N$34)+tipps!$A40,0))</f>
        <v/>
      </c>
      <c r="P40" t="str">
        <f ca="1">IF($A40&gt;P$34,"",OFFSET(Tippabgabe!$EF$177,SUM(tipps!$A$34:O$34)+tipps!$A40,0))</f>
        <v/>
      </c>
      <c r="Q40" t="str">
        <f ca="1">IF($A40&gt;Q$34,"",OFFSET(Tippabgabe!$EF$177,SUM(tipps!$A$34:P$34)+tipps!$A40,0))</f>
        <v/>
      </c>
      <c r="R40" t="str">
        <f ca="1">IF($A40&gt;R$34,"",OFFSET(Tippabgabe!$EF$177,SUM(tipps!$A$34:Q$34)+tipps!$A40,0))</f>
        <v/>
      </c>
      <c r="S40" t="str">
        <f ca="1">IF($A40&gt;S$34,"",OFFSET(Tippabgabe!$EF$177,SUM(tipps!$A$34:R$34)+tipps!$A40,0))</f>
        <v/>
      </c>
      <c r="T40" t="str">
        <f ca="1">IF($A40&gt;T$34,"",OFFSET(Tippabgabe!$EF$177,SUM(tipps!$A$34:S$34)+tipps!$A40,0))</f>
        <v/>
      </c>
      <c r="U40" t="str">
        <f ca="1">IF($A40&gt;U$34,"",OFFSET(Tippabgabe!$EF$177,SUM(tipps!$A$34:T$34)+tipps!$A40,0))</f>
        <v/>
      </c>
      <c r="V40" t="str">
        <f ca="1">IF($A40&gt;V$34,"",OFFSET(Tippabgabe!$EF$177,SUM(tipps!$A$34:U$34)+tipps!$A40,0))</f>
        <v/>
      </c>
      <c r="W40" t="str">
        <f ca="1">IF($A40&gt;W$34,"",OFFSET(Tippabgabe!$EF$177,SUM(tipps!$A$34:V$34)+tipps!$A40,0))</f>
        <v/>
      </c>
      <c r="X40" t="str">
        <f ca="1">IF($A40&gt;X$34,"",OFFSET(Tippabgabe!$EF$177,SUM(tipps!$A$34:W$34)+tipps!$A40,0))</f>
        <v/>
      </c>
      <c r="Y40" t="str">
        <f ca="1">IF($A40&gt;Y$34,"",OFFSET(Tippabgabe!$EF$177,SUM(tipps!$A$34:X$34)+tipps!$A40,0))</f>
        <v/>
      </c>
      <c r="Z40" t="str">
        <f ca="1">IF($A40&gt;Z$34,"",OFFSET(Tippabgabe!$EF$177,SUM(tipps!$A$34:Y$34)+tipps!$A40,0))</f>
        <v/>
      </c>
      <c r="AA40" t="str">
        <f ca="1">IF($A40&gt;AA$34,"",OFFSET(Tippabgabe!$EF$177,SUM(tipps!$A$34:Z$34)+tipps!$A40,0))</f>
        <v/>
      </c>
      <c r="AB40" t="str">
        <f ca="1">IF($A40&gt;AB$34,"",OFFSET(Tippabgabe!$EF$177,SUM(tipps!$A$34:AA$34)+tipps!$A40,0))</f>
        <v/>
      </c>
      <c r="AC40" t="str">
        <f ca="1">IF($A40&gt;AC$34,"",OFFSET(Tippabgabe!$EF$177,SUM(tipps!$A$34:AB$34)+tipps!$A40,0))</f>
        <v/>
      </c>
      <c r="AD40" t="str">
        <f ca="1">IF($A40&gt;AD$34,"",OFFSET(Tippabgabe!$EF$177,SUM(tipps!$A$34:AC$34)+tipps!$A40,0))</f>
        <v/>
      </c>
      <c r="AE40" t="str">
        <f ca="1">IF($A40&gt;AE$34,"",OFFSET(Tippabgabe!$EF$177,SUM(tipps!$A$34:AD$34)+tipps!$A40,0))</f>
        <v/>
      </c>
      <c r="AF40" t="str">
        <f ca="1">IF($A40&gt;AF$34,"",OFFSET(Tippabgabe!$EF$177,SUM(tipps!$A$34:AE$34)+tipps!$A40,0))</f>
        <v/>
      </c>
      <c r="AG40" t="str">
        <f ca="1">IF($A40&gt;AG$34,"",OFFSET(Tippabgabe!$EF$177,SUM(tipps!$A$34:AF$34)+tipps!$A40,0))</f>
        <v/>
      </c>
      <c r="AH40" t="str">
        <f ca="1">IF($A40&gt;AH$34,"",OFFSET(Tippabgabe!$EF$177,SUM(tipps!$A$34:AG$34)+tipps!$A40,0))</f>
        <v/>
      </c>
      <c r="AI40" t="str">
        <f ca="1">IF($A40&gt;AI$34,"",OFFSET(Tippabgabe!$EF$177,SUM(tipps!$A$34:AH$34)+tipps!$A40,0))</f>
        <v/>
      </c>
      <c r="AJ40" t="str">
        <f ca="1">IF($A40&gt;AJ$34,"",OFFSET(Tippabgabe!$EF$177,SUM(tipps!$A$34:AI$34)+tipps!$A40,0))</f>
        <v/>
      </c>
      <c r="AK40" t="str">
        <f ca="1">IF($A40&gt;AK$34,"",OFFSET(Tippabgabe!$EF$177,SUM(tipps!$A$34:AJ$34)+tipps!$A40,0))</f>
        <v/>
      </c>
      <c r="AL40" t="str">
        <f ca="1">IF($A40&gt;AL$34,"",OFFSET(Tippabgabe!$EF$177,SUM(tipps!$A$34:AK$34)+tipps!$A40,0))</f>
        <v/>
      </c>
      <c r="AM40" t="str">
        <f ca="1">IF($A40&gt;AM$34,"",OFFSET(Tippabgabe!$EF$177,SUM(tipps!$A$34:AL$34)+tipps!$A40,0))</f>
        <v/>
      </c>
      <c r="AN40" t="str">
        <f ca="1">IF($A40&gt;AN$34,"",OFFSET(Tippabgabe!$EF$177,SUM(tipps!$A$34:AM$34)+tipps!$A40,0))</f>
        <v/>
      </c>
      <c r="AO40" t="str">
        <f ca="1">IF($A40&gt;AO$34,"",OFFSET(Tippabgabe!$EF$177,SUM(tipps!$A$34:AN$34)+tipps!$A40,0))</f>
        <v/>
      </c>
      <c r="AP40" t="str">
        <f ca="1">IF($A40&gt;AP$34,"",OFFSET(Tippabgabe!$EF$177,SUM(tipps!$A$34:AO$34)+tipps!$A40,0))</f>
        <v/>
      </c>
      <c r="AQ40" t="str">
        <f ca="1">IF($A40&gt;AQ$34,"",OFFSET(Tippabgabe!$EF$177,SUM(tipps!$A$34:AP$34)+tipps!$A40,0))</f>
        <v/>
      </c>
      <c r="AR40" t="str">
        <f ca="1">IF($A40&gt;AR$34,"",OFFSET(Tippabgabe!$EF$177,SUM(tipps!$A$34:AQ$34)+tipps!$A40,0))</f>
        <v/>
      </c>
      <c r="AS40" t="str">
        <f ca="1">IF($A40&gt;AS$34,"",OFFSET(Tippabgabe!$EF$177,SUM(tipps!$A$34:AR$34)+tipps!$A40,0))</f>
        <v/>
      </c>
      <c r="AT40" t="str">
        <f ca="1">IF($A40&gt;AT$34,"",OFFSET(Tippabgabe!$EF$177,SUM(tipps!$A$34:AS$34)+tipps!$A40,0))</f>
        <v/>
      </c>
      <c r="AU40" t="str">
        <f ca="1">IF($A40&gt;AU$34,"",OFFSET(Tippabgabe!$EF$177,SUM(tipps!$A$34:AT$34)+tipps!$A40,0))</f>
        <v/>
      </c>
      <c r="AV40" t="str">
        <f ca="1">IF($A40&gt;AV$34,"",OFFSET(Tippabgabe!$EF$177,SUM(tipps!$A$34:AU$34)+tipps!$A40,0))</f>
        <v/>
      </c>
      <c r="AW40" t="str">
        <f ca="1">IF($A40&gt;AW$34,"",OFFSET(Tippabgabe!$EF$177,SUM(tipps!$A$34:AV$34)+tipps!$A40,0))</f>
        <v/>
      </c>
      <c r="AX40" t="str">
        <f ca="1">IF($A40&gt;AX$34,"",OFFSET(Tippabgabe!$EF$177,SUM(tipps!$A$34:AW$34)+tipps!$A40,0))</f>
        <v/>
      </c>
      <c r="AY40" t="str">
        <f ca="1">IF($A40&gt;AY$34,"",OFFSET(Tippabgabe!$EF$177,SUM(tipps!$A$34:AX$34)+tipps!$A40,0))</f>
        <v/>
      </c>
      <c r="AZ40" t="str">
        <f ca="1">IF($A40&gt;AZ$34,"",OFFSET(Tippabgabe!$EF$177,SUM(tipps!$A$34:AY$34)+tipps!$A40,0))</f>
        <v/>
      </c>
      <c r="BA40" t="str">
        <f ca="1">IF($A40&gt;BA$34,"",OFFSET(Tippabgabe!$EF$177,SUM(tipps!$A$34:AZ$34)+tipps!$A40,0))</f>
        <v/>
      </c>
      <c r="BB40" t="str">
        <f ca="1">IF($A40&gt;BB$34,"",OFFSET(Tippabgabe!$EF$177,SUM(tipps!$A$34:BA$34)+tipps!$A40,0))</f>
        <v/>
      </c>
      <c r="BC40" t="str">
        <f ca="1">IF($A40&gt;BC$34,"",OFFSET(Tippabgabe!$EF$177,SUM(tipps!$A$34:BB$34)+tipps!$A40,0))</f>
        <v/>
      </c>
      <c r="BD40" t="str">
        <f ca="1">IF($A40&gt;BD$34,"",OFFSET(Tippabgabe!$EF$177,SUM(tipps!$A$34:BC$34)+tipps!$A40,0))</f>
        <v/>
      </c>
      <c r="BE40" t="str">
        <f ca="1">IF($A40&gt;BE$34,"",OFFSET(Tippabgabe!$EF$177,SUM(tipps!$A$34:BD$34)+tipps!$A40,0))</f>
        <v/>
      </c>
      <c r="BF40" t="str">
        <f ca="1">IF($A40&gt;BF$34,"",OFFSET(Tippabgabe!$EF$177,SUM(tipps!$A$34:BE$34)+tipps!$A40,0))</f>
        <v/>
      </c>
      <c r="BG40" t="str">
        <f ca="1">IF($A40&gt;BG$34,"",OFFSET(Tippabgabe!$EF$177,SUM(tipps!$A$34:BF$34)+tipps!$A40,0))</f>
        <v/>
      </c>
      <c r="BH40" t="str">
        <f ca="1">IF($A40&gt;BH$34,"",OFFSET(Tippabgabe!$EF$177,SUM(tipps!$A$34:BG$34)+tipps!$A40,0))</f>
        <v/>
      </c>
      <c r="BI40" t="str">
        <f ca="1">IF($A40&gt;BI$34,"",OFFSET(Tippabgabe!$EF$177,SUM(tipps!$A$34:BH$34)+tipps!$A40,0))</f>
        <v/>
      </c>
      <c r="BJ40" t="str">
        <f ca="1">IF($A40&gt;BJ$34,"",OFFSET(Tippabgabe!$EF$177,SUM(tipps!$A$34:BI$34)+tipps!$A40,0))</f>
        <v/>
      </c>
      <c r="BK40" t="str">
        <f ca="1">IF($A40&gt;BK$34,"",OFFSET(Tippabgabe!$EF$177,SUM(tipps!$A$34:BJ$34)+tipps!$A40,0))</f>
        <v/>
      </c>
      <c r="BL40" t="str">
        <f ca="1">IF($A40&gt;BL$34,"",OFFSET(Tippabgabe!$EF$177,SUM(tipps!$A$34:BK$34)+tipps!$A40,0))</f>
        <v/>
      </c>
      <c r="BM40" t="str">
        <f ca="1">IF($A40&gt;BM$34,"",OFFSET(Tippabgabe!$EF$177,SUM(tipps!$A$34:BL$34)+tipps!$A40,0))</f>
        <v/>
      </c>
      <c r="BN40" t="str">
        <f ca="1">IF($A40&gt;BN$34,"",OFFSET(Tippabgabe!$EF$177,SUM(tipps!$A$34:BM$34)+tipps!$A40,0))</f>
        <v/>
      </c>
      <c r="BO40" t="str">
        <f ca="1">IF($A40&gt;BO$34,"",OFFSET(Tippabgabe!$EF$177,SUM(tipps!$A$34:BN$34)+tipps!$A40,0))</f>
        <v/>
      </c>
      <c r="BP40" t="str">
        <f ca="1">IF($A40&gt;BP$34,"",OFFSET(Tippabgabe!$EF$177,SUM(tipps!$A$34:BO$34)+tipps!$A40,0))</f>
        <v/>
      </c>
      <c r="BQ40" t="str">
        <f ca="1">IF($A40&gt;BQ$34,"",OFFSET(Tippabgabe!$EF$177,SUM(tipps!$A$34:BP$34)+tipps!$A40,0))</f>
        <v/>
      </c>
      <c r="BR40" t="str">
        <f ca="1">IF($A40&gt;BR$34,"",OFFSET(Tippabgabe!$EF$177,SUM(tipps!$A$34:BQ$34)+tipps!$A40,0))</f>
        <v/>
      </c>
      <c r="BS40" t="str">
        <f ca="1">IF($A40&gt;BS$34,"",OFFSET(Tippabgabe!$EF$177,SUM(tipps!$A$34:BR$34)+tipps!$A40,0))</f>
        <v/>
      </c>
      <c r="BT40" t="str">
        <f ca="1">IF($A40&gt;BT$34,"",OFFSET(Tippabgabe!$EF$177,SUM(tipps!$A$34:BS$34)+tipps!$A40,0))</f>
        <v/>
      </c>
      <c r="BU40" t="str">
        <f ca="1">IF($A40&gt;BU$34,"",OFFSET(Tippabgabe!$EF$177,SUM(tipps!$A$34:BT$34)+tipps!$A40,0))</f>
        <v/>
      </c>
      <c r="BV40" t="str">
        <f ca="1">IF($A40&gt;BV$34,"",OFFSET(Tippabgabe!$EF$177,SUM(tipps!$A$34:BU$34)+tipps!$A40,0))</f>
        <v/>
      </c>
      <c r="BW40" t="str">
        <f ca="1">IF($A40&gt;BW$34,"",OFFSET(Tippabgabe!$EF$177,SUM(tipps!$A$34:BV$34)+tipps!$A40,0))</f>
        <v/>
      </c>
    </row>
    <row r="41" spans="1:77" x14ac:dyDescent="0.2">
      <c r="A41">
        <v>6</v>
      </c>
      <c r="B41" t="str">
        <f ca="1">IF($A41&gt;B$34,"",OFFSET(Tippabgabe!$EF$177,SUM(tipps!$A$34:A$34)+tipps!$A41,0))</f>
        <v/>
      </c>
      <c r="C41" t="str">
        <f ca="1">IF($A41&gt;C$34,"",OFFSET(Tippabgabe!$EF$177,SUM(tipps!$A$34:B$34)+tipps!$A41,0))</f>
        <v/>
      </c>
      <c r="D41" t="str">
        <f ca="1">IF($A41&gt;D$34,"",OFFSET(Tippabgabe!$EF$177,SUM(tipps!$A$34:C$34)+tipps!$A41,0))</f>
        <v/>
      </c>
      <c r="E41" t="str">
        <f ca="1">IF($A41&gt;E$34,"",OFFSET(Tippabgabe!$EF$177,SUM(tipps!$A$34:D$34)+tipps!$A41,0))</f>
        <v/>
      </c>
      <c r="F41" t="str">
        <f ca="1">IF($A41&gt;F$34,"",OFFSET(Tippabgabe!$EF$177,SUM(tipps!$A$34:E$34)+tipps!$A41,0))</f>
        <v/>
      </c>
      <c r="G41" t="str">
        <f ca="1">IF($A41&gt;G$34,"",OFFSET(Tippabgabe!$EF$177,SUM(tipps!$A$34:F$34)+tipps!$A41,0))</f>
        <v/>
      </c>
      <c r="H41" t="str">
        <f ca="1">IF($A41&gt;H$34,"",OFFSET(Tippabgabe!$EF$177,SUM(tipps!$A$34:G$34)+tipps!$A41,0))</f>
        <v/>
      </c>
      <c r="I41" t="str">
        <f ca="1">IF($A41&gt;I$34,"",OFFSET(Tippabgabe!$EF$177,SUM(tipps!$A$34:H$34)+tipps!$A41,0))</f>
        <v/>
      </c>
      <c r="J41" t="str">
        <f ca="1">IF($A41&gt;J$34,"",OFFSET(Tippabgabe!$EF$177,SUM(tipps!$A$34:I$34)+tipps!$A41,0))</f>
        <v/>
      </c>
      <c r="K41" t="str">
        <f ca="1">IF($A41&gt;K$34,"",OFFSET(Tippabgabe!$EF$177,SUM(tipps!$A$34:J$34)+tipps!$A41,0))</f>
        <v/>
      </c>
      <c r="L41" t="str">
        <f ca="1">IF($A41&gt;L$34,"",OFFSET(Tippabgabe!$EF$177,SUM(tipps!$A$34:K$34)+tipps!$A41,0))</f>
        <v/>
      </c>
      <c r="M41" t="str">
        <f ca="1">IF($A41&gt;M$34,"",OFFSET(Tippabgabe!$EF$177,SUM(tipps!$A$34:L$34)+tipps!$A41,0))</f>
        <v/>
      </c>
      <c r="N41" t="str">
        <f ca="1">IF($A41&gt;N$34,"",OFFSET(Tippabgabe!$EF$177,SUM(tipps!$A$34:M$34)+tipps!$A41,0))</f>
        <v/>
      </c>
      <c r="O41" t="str">
        <f ca="1">IF($A41&gt;O$34,"",OFFSET(Tippabgabe!$EF$177,SUM(tipps!$A$34:N$34)+tipps!$A41,0))</f>
        <v/>
      </c>
      <c r="P41" t="str">
        <f ca="1">IF($A41&gt;P$34,"",OFFSET(Tippabgabe!$EF$177,SUM(tipps!$A$34:O$34)+tipps!$A41,0))</f>
        <v/>
      </c>
      <c r="Q41" t="str">
        <f ca="1">IF($A41&gt;Q$34,"",OFFSET(Tippabgabe!$EF$177,SUM(tipps!$A$34:P$34)+tipps!$A41,0))</f>
        <v/>
      </c>
      <c r="R41" t="str">
        <f ca="1">IF($A41&gt;R$34,"",OFFSET(Tippabgabe!$EF$177,SUM(tipps!$A$34:Q$34)+tipps!$A41,0))</f>
        <v/>
      </c>
      <c r="S41" t="str">
        <f ca="1">IF($A41&gt;S$34,"",OFFSET(Tippabgabe!$EF$177,SUM(tipps!$A$34:R$34)+tipps!$A41,0))</f>
        <v/>
      </c>
      <c r="T41" t="str">
        <f ca="1">IF($A41&gt;T$34,"",OFFSET(Tippabgabe!$EF$177,SUM(tipps!$A$34:S$34)+tipps!$A41,0))</f>
        <v/>
      </c>
      <c r="U41" t="str">
        <f ca="1">IF($A41&gt;U$34,"",OFFSET(Tippabgabe!$EF$177,SUM(tipps!$A$34:T$34)+tipps!$A41,0))</f>
        <v/>
      </c>
      <c r="V41" t="str">
        <f ca="1">IF($A41&gt;V$34,"",OFFSET(Tippabgabe!$EF$177,SUM(tipps!$A$34:U$34)+tipps!$A41,0))</f>
        <v/>
      </c>
      <c r="W41" t="str">
        <f ca="1">IF($A41&gt;W$34,"",OFFSET(Tippabgabe!$EF$177,SUM(tipps!$A$34:V$34)+tipps!$A41,0))</f>
        <v/>
      </c>
      <c r="X41" t="str">
        <f ca="1">IF($A41&gt;X$34,"",OFFSET(Tippabgabe!$EF$177,SUM(tipps!$A$34:W$34)+tipps!$A41,0))</f>
        <v/>
      </c>
      <c r="Y41" t="str">
        <f ca="1">IF($A41&gt;Y$34,"",OFFSET(Tippabgabe!$EF$177,SUM(tipps!$A$34:X$34)+tipps!$A41,0))</f>
        <v/>
      </c>
      <c r="Z41" t="str">
        <f ca="1">IF($A41&gt;Z$34,"",OFFSET(Tippabgabe!$EF$177,SUM(tipps!$A$34:Y$34)+tipps!$A41,0))</f>
        <v/>
      </c>
      <c r="AA41" t="str">
        <f ca="1">IF($A41&gt;AA$34,"",OFFSET(Tippabgabe!$EF$177,SUM(tipps!$A$34:Z$34)+tipps!$A41,0))</f>
        <v/>
      </c>
      <c r="AB41" t="str">
        <f ca="1">IF($A41&gt;AB$34,"",OFFSET(Tippabgabe!$EF$177,SUM(tipps!$A$34:AA$34)+tipps!$A41,0))</f>
        <v/>
      </c>
      <c r="AC41" t="str">
        <f ca="1">IF($A41&gt;AC$34,"",OFFSET(Tippabgabe!$EF$177,SUM(tipps!$A$34:AB$34)+tipps!$A41,0))</f>
        <v/>
      </c>
      <c r="AD41" t="str">
        <f ca="1">IF($A41&gt;AD$34,"",OFFSET(Tippabgabe!$EF$177,SUM(tipps!$A$34:AC$34)+tipps!$A41,0))</f>
        <v/>
      </c>
      <c r="AE41" t="str">
        <f ca="1">IF($A41&gt;AE$34,"",OFFSET(Tippabgabe!$EF$177,SUM(tipps!$A$34:AD$34)+tipps!$A41,0))</f>
        <v/>
      </c>
      <c r="AF41" t="str">
        <f ca="1">IF($A41&gt;AF$34,"",OFFSET(Tippabgabe!$EF$177,SUM(tipps!$A$34:AE$34)+tipps!$A41,0))</f>
        <v/>
      </c>
      <c r="AG41" t="str">
        <f ca="1">IF($A41&gt;AG$34,"",OFFSET(Tippabgabe!$EF$177,SUM(tipps!$A$34:AF$34)+tipps!$A41,0))</f>
        <v/>
      </c>
      <c r="AH41" t="str">
        <f ca="1">IF($A41&gt;AH$34,"",OFFSET(Tippabgabe!$EF$177,SUM(tipps!$A$34:AG$34)+tipps!$A41,0))</f>
        <v/>
      </c>
      <c r="AI41" t="str">
        <f ca="1">IF($A41&gt;AI$34,"",OFFSET(Tippabgabe!$EF$177,SUM(tipps!$A$34:AH$34)+tipps!$A41,0))</f>
        <v/>
      </c>
      <c r="AJ41" t="str">
        <f ca="1">IF($A41&gt;AJ$34,"",OFFSET(Tippabgabe!$EF$177,SUM(tipps!$A$34:AI$34)+tipps!$A41,0))</f>
        <v/>
      </c>
      <c r="AK41" t="str">
        <f ca="1">IF($A41&gt;AK$34,"",OFFSET(Tippabgabe!$EF$177,SUM(tipps!$A$34:AJ$34)+tipps!$A41,0))</f>
        <v/>
      </c>
      <c r="AL41" t="str">
        <f ca="1">IF($A41&gt;AL$34,"",OFFSET(Tippabgabe!$EF$177,SUM(tipps!$A$34:AK$34)+tipps!$A41,0))</f>
        <v/>
      </c>
      <c r="AM41" t="str">
        <f ca="1">IF($A41&gt;AM$34,"",OFFSET(Tippabgabe!$EF$177,SUM(tipps!$A$34:AL$34)+tipps!$A41,0))</f>
        <v/>
      </c>
      <c r="AN41" t="str">
        <f ca="1">IF($A41&gt;AN$34,"",OFFSET(Tippabgabe!$EF$177,SUM(tipps!$A$34:AM$34)+tipps!$A41,0))</f>
        <v/>
      </c>
      <c r="AO41" t="str">
        <f ca="1">IF($A41&gt;AO$34,"",OFFSET(Tippabgabe!$EF$177,SUM(tipps!$A$34:AN$34)+tipps!$A41,0))</f>
        <v/>
      </c>
      <c r="AP41" t="str">
        <f ca="1">IF($A41&gt;AP$34,"",OFFSET(Tippabgabe!$EF$177,SUM(tipps!$A$34:AO$34)+tipps!$A41,0))</f>
        <v/>
      </c>
      <c r="AQ41" t="str">
        <f ca="1">IF($A41&gt;AQ$34,"",OFFSET(Tippabgabe!$EF$177,SUM(tipps!$A$34:AP$34)+tipps!$A41,0))</f>
        <v/>
      </c>
      <c r="AR41" t="str">
        <f ca="1">IF($A41&gt;AR$34,"",OFFSET(Tippabgabe!$EF$177,SUM(tipps!$A$34:AQ$34)+tipps!$A41,0))</f>
        <v/>
      </c>
      <c r="AS41" t="str">
        <f ca="1">IF($A41&gt;AS$34,"",OFFSET(Tippabgabe!$EF$177,SUM(tipps!$A$34:AR$34)+tipps!$A41,0))</f>
        <v/>
      </c>
      <c r="AT41" t="str">
        <f ca="1">IF($A41&gt;AT$34,"",OFFSET(Tippabgabe!$EF$177,SUM(tipps!$A$34:AS$34)+tipps!$A41,0))</f>
        <v/>
      </c>
      <c r="AU41" t="str">
        <f ca="1">IF($A41&gt;AU$34,"",OFFSET(Tippabgabe!$EF$177,SUM(tipps!$A$34:AT$34)+tipps!$A41,0))</f>
        <v/>
      </c>
      <c r="AV41" t="str">
        <f ca="1">IF($A41&gt;AV$34,"",OFFSET(Tippabgabe!$EF$177,SUM(tipps!$A$34:AU$34)+tipps!$A41,0))</f>
        <v/>
      </c>
      <c r="AW41" t="str">
        <f ca="1">IF($A41&gt;AW$34,"",OFFSET(Tippabgabe!$EF$177,SUM(tipps!$A$34:AV$34)+tipps!$A41,0))</f>
        <v/>
      </c>
      <c r="AX41" t="str">
        <f ca="1">IF($A41&gt;AX$34,"",OFFSET(Tippabgabe!$EF$177,SUM(tipps!$A$34:AW$34)+tipps!$A41,0))</f>
        <v/>
      </c>
      <c r="AY41" t="str">
        <f ca="1">IF($A41&gt;AY$34,"",OFFSET(Tippabgabe!$EF$177,SUM(tipps!$A$34:AX$34)+tipps!$A41,0))</f>
        <v/>
      </c>
      <c r="AZ41" t="str">
        <f ca="1">IF($A41&gt;AZ$34,"",OFFSET(Tippabgabe!$EF$177,SUM(tipps!$A$34:AY$34)+tipps!$A41,0))</f>
        <v/>
      </c>
      <c r="BA41" t="str">
        <f ca="1">IF($A41&gt;BA$34,"",OFFSET(Tippabgabe!$EF$177,SUM(tipps!$A$34:AZ$34)+tipps!$A41,0))</f>
        <v/>
      </c>
      <c r="BB41" t="str">
        <f ca="1">IF($A41&gt;BB$34,"",OFFSET(Tippabgabe!$EF$177,SUM(tipps!$A$34:BA$34)+tipps!$A41,0))</f>
        <v/>
      </c>
      <c r="BC41" t="str">
        <f ca="1">IF($A41&gt;BC$34,"",OFFSET(Tippabgabe!$EF$177,SUM(tipps!$A$34:BB$34)+tipps!$A41,0))</f>
        <v/>
      </c>
      <c r="BD41" t="str">
        <f ca="1">IF($A41&gt;BD$34,"",OFFSET(Tippabgabe!$EF$177,SUM(tipps!$A$34:BC$34)+tipps!$A41,0))</f>
        <v/>
      </c>
      <c r="BE41" t="str">
        <f ca="1">IF($A41&gt;BE$34,"",OFFSET(Tippabgabe!$EF$177,SUM(tipps!$A$34:BD$34)+tipps!$A41,0))</f>
        <v/>
      </c>
      <c r="BF41" t="str">
        <f ca="1">IF($A41&gt;BF$34,"",OFFSET(Tippabgabe!$EF$177,SUM(tipps!$A$34:BE$34)+tipps!$A41,0))</f>
        <v/>
      </c>
      <c r="BG41" t="str">
        <f ca="1">IF($A41&gt;BG$34,"",OFFSET(Tippabgabe!$EF$177,SUM(tipps!$A$34:BF$34)+tipps!$A41,0))</f>
        <v/>
      </c>
      <c r="BH41" t="str">
        <f ca="1">IF($A41&gt;BH$34,"",OFFSET(Tippabgabe!$EF$177,SUM(tipps!$A$34:BG$34)+tipps!$A41,0))</f>
        <v/>
      </c>
      <c r="BI41" t="str">
        <f ca="1">IF($A41&gt;BI$34,"",OFFSET(Tippabgabe!$EF$177,SUM(tipps!$A$34:BH$34)+tipps!$A41,0))</f>
        <v/>
      </c>
      <c r="BJ41" t="str">
        <f ca="1">IF($A41&gt;BJ$34,"",OFFSET(Tippabgabe!$EF$177,SUM(tipps!$A$34:BI$34)+tipps!$A41,0))</f>
        <v/>
      </c>
      <c r="BK41" t="str">
        <f ca="1">IF($A41&gt;BK$34,"",OFFSET(Tippabgabe!$EF$177,SUM(tipps!$A$34:BJ$34)+tipps!$A41,0))</f>
        <v/>
      </c>
      <c r="BL41" t="str">
        <f ca="1">IF($A41&gt;BL$34,"",OFFSET(Tippabgabe!$EF$177,SUM(tipps!$A$34:BK$34)+tipps!$A41,0))</f>
        <v/>
      </c>
      <c r="BM41" t="str">
        <f ca="1">IF($A41&gt;BM$34,"",OFFSET(Tippabgabe!$EF$177,SUM(tipps!$A$34:BL$34)+tipps!$A41,0))</f>
        <v/>
      </c>
      <c r="BN41" t="str">
        <f ca="1">IF($A41&gt;BN$34,"",OFFSET(Tippabgabe!$EF$177,SUM(tipps!$A$34:BM$34)+tipps!$A41,0))</f>
        <v/>
      </c>
      <c r="BO41" t="str">
        <f ca="1">IF($A41&gt;BO$34,"",OFFSET(Tippabgabe!$EF$177,SUM(tipps!$A$34:BN$34)+tipps!$A41,0))</f>
        <v/>
      </c>
      <c r="BP41" t="str">
        <f ca="1">IF($A41&gt;BP$34,"",OFFSET(Tippabgabe!$EF$177,SUM(tipps!$A$34:BO$34)+tipps!$A41,0))</f>
        <v/>
      </c>
      <c r="BQ41" t="str">
        <f ca="1">IF($A41&gt;BQ$34,"",OFFSET(Tippabgabe!$EF$177,SUM(tipps!$A$34:BP$34)+tipps!$A41,0))</f>
        <v/>
      </c>
      <c r="BR41" t="str">
        <f ca="1">IF($A41&gt;BR$34,"",OFFSET(Tippabgabe!$EF$177,SUM(tipps!$A$34:BQ$34)+tipps!$A41,0))</f>
        <v/>
      </c>
      <c r="BS41" t="str">
        <f ca="1">IF($A41&gt;BS$34,"",OFFSET(Tippabgabe!$EF$177,SUM(tipps!$A$34:BR$34)+tipps!$A41,0))</f>
        <v/>
      </c>
      <c r="BT41" t="str">
        <f ca="1">IF($A41&gt;BT$34,"",OFFSET(Tippabgabe!$EF$177,SUM(tipps!$A$34:BS$34)+tipps!$A41,0))</f>
        <v/>
      </c>
      <c r="BU41" t="str">
        <f ca="1">IF($A41&gt;BU$34,"",OFFSET(Tippabgabe!$EF$177,SUM(tipps!$A$34:BT$34)+tipps!$A41,0))</f>
        <v/>
      </c>
      <c r="BV41" t="str">
        <f ca="1">IF($A41&gt;BV$34,"",OFFSET(Tippabgabe!$EF$177,SUM(tipps!$A$34:BU$34)+tipps!$A41,0))</f>
        <v/>
      </c>
      <c r="BW41" t="str">
        <f ca="1">IF($A41&gt;BW$34,"",OFFSET(Tippabgabe!$EF$177,SUM(tipps!$A$34:BV$34)+tipps!$A41,0))</f>
        <v/>
      </c>
    </row>
    <row r="42" spans="1:77" x14ac:dyDescent="0.2">
      <c r="A42">
        <v>7</v>
      </c>
      <c r="B42" t="str">
        <f ca="1">IF($A42&gt;B$34,"",OFFSET(Tippabgabe!$EF$177,SUM(tipps!$A$34:A$34)+tipps!$A42,0))</f>
        <v/>
      </c>
      <c r="C42" t="str">
        <f ca="1">IF($A42&gt;C$34,"",OFFSET(Tippabgabe!$EF$177,SUM(tipps!$A$34:B$34)+tipps!$A42,0))</f>
        <v/>
      </c>
      <c r="D42" t="str">
        <f ca="1">IF($A42&gt;D$34,"",OFFSET(Tippabgabe!$EF$177,SUM(tipps!$A$34:C$34)+tipps!$A42,0))</f>
        <v/>
      </c>
      <c r="E42" t="str">
        <f ca="1">IF($A42&gt;E$34,"",OFFSET(Tippabgabe!$EF$177,SUM(tipps!$A$34:D$34)+tipps!$A42,0))</f>
        <v/>
      </c>
      <c r="F42" t="str">
        <f ca="1">IF($A42&gt;F$34,"",OFFSET(Tippabgabe!$EF$177,SUM(tipps!$A$34:E$34)+tipps!$A42,0))</f>
        <v/>
      </c>
      <c r="G42" t="str">
        <f ca="1">IF($A42&gt;G$34,"",OFFSET(Tippabgabe!$EF$177,SUM(tipps!$A$34:F$34)+tipps!$A42,0))</f>
        <v/>
      </c>
      <c r="H42" t="str">
        <f ca="1">IF($A42&gt;H$34,"",OFFSET(Tippabgabe!$EF$177,SUM(tipps!$A$34:G$34)+tipps!$A42,0))</f>
        <v/>
      </c>
      <c r="I42" t="str">
        <f ca="1">IF($A42&gt;I$34,"",OFFSET(Tippabgabe!$EF$177,SUM(tipps!$A$34:H$34)+tipps!$A42,0))</f>
        <v/>
      </c>
      <c r="J42" t="str">
        <f ca="1">IF($A42&gt;J$34,"",OFFSET(Tippabgabe!$EF$177,SUM(tipps!$A$34:I$34)+tipps!$A42,0))</f>
        <v/>
      </c>
      <c r="K42" t="str">
        <f ca="1">IF($A42&gt;K$34,"",OFFSET(Tippabgabe!$EF$177,SUM(tipps!$A$34:J$34)+tipps!$A42,0))</f>
        <v/>
      </c>
      <c r="L42" t="str">
        <f ca="1">IF($A42&gt;L$34,"",OFFSET(Tippabgabe!$EF$177,SUM(tipps!$A$34:K$34)+tipps!$A42,0))</f>
        <v/>
      </c>
      <c r="M42" t="str">
        <f ca="1">IF($A42&gt;M$34,"",OFFSET(Tippabgabe!$EF$177,SUM(tipps!$A$34:L$34)+tipps!$A42,0))</f>
        <v/>
      </c>
      <c r="N42" t="str">
        <f ca="1">IF($A42&gt;N$34,"",OFFSET(Tippabgabe!$EF$177,SUM(tipps!$A$34:M$34)+tipps!$A42,0))</f>
        <v/>
      </c>
      <c r="O42" t="str">
        <f ca="1">IF($A42&gt;O$34,"",OFFSET(Tippabgabe!$EF$177,SUM(tipps!$A$34:N$34)+tipps!$A42,0))</f>
        <v/>
      </c>
      <c r="P42" t="str">
        <f ca="1">IF($A42&gt;P$34,"",OFFSET(Tippabgabe!$EF$177,SUM(tipps!$A$34:O$34)+tipps!$A42,0))</f>
        <v/>
      </c>
      <c r="Q42" t="str">
        <f ca="1">IF($A42&gt;Q$34,"",OFFSET(Tippabgabe!$EF$177,SUM(tipps!$A$34:P$34)+tipps!$A42,0))</f>
        <v/>
      </c>
      <c r="R42" t="str">
        <f ca="1">IF($A42&gt;R$34,"",OFFSET(Tippabgabe!$EF$177,SUM(tipps!$A$34:Q$34)+tipps!$A42,0))</f>
        <v/>
      </c>
      <c r="S42" t="str">
        <f ca="1">IF($A42&gt;S$34,"",OFFSET(Tippabgabe!$EF$177,SUM(tipps!$A$34:R$34)+tipps!$A42,0))</f>
        <v/>
      </c>
      <c r="T42" t="str">
        <f ca="1">IF($A42&gt;T$34,"",OFFSET(Tippabgabe!$EF$177,SUM(tipps!$A$34:S$34)+tipps!$A42,0))</f>
        <v/>
      </c>
      <c r="U42" t="str">
        <f ca="1">IF($A42&gt;U$34,"",OFFSET(Tippabgabe!$EF$177,SUM(tipps!$A$34:T$34)+tipps!$A42,0))</f>
        <v/>
      </c>
      <c r="V42" t="str">
        <f ca="1">IF($A42&gt;V$34,"",OFFSET(Tippabgabe!$EF$177,SUM(tipps!$A$34:U$34)+tipps!$A42,0))</f>
        <v/>
      </c>
      <c r="W42" t="str">
        <f ca="1">IF($A42&gt;W$34,"",OFFSET(Tippabgabe!$EF$177,SUM(tipps!$A$34:V$34)+tipps!$A42,0))</f>
        <v/>
      </c>
      <c r="X42" t="str">
        <f ca="1">IF($A42&gt;X$34,"",OFFSET(Tippabgabe!$EF$177,SUM(tipps!$A$34:W$34)+tipps!$A42,0))</f>
        <v/>
      </c>
      <c r="Y42" t="str">
        <f ca="1">IF($A42&gt;Y$34,"",OFFSET(Tippabgabe!$EF$177,SUM(tipps!$A$34:X$34)+tipps!$A42,0))</f>
        <v/>
      </c>
      <c r="Z42" t="str">
        <f ca="1">IF($A42&gt;Z$34,"",OFFSET(Tippabgabe!$EF$177,SUM(tipps!$A$34:Y$34)+tipps!$A42,0))</f>
        <v/>
      </c>
      <c r="AA42" t="str">
        <f ca="1">IF($A42&gt;AA$34,"",OFFSET(Tippabgabe!$EF$177,SUM(tipps!$A$34:Z$34)+tipps!$A42,0))</f>
        <v/>
      </c>
      <c r="AB42" t="str">
        <f ca="1">IF($A42&gt;AB$34,"",OFFSET(Tippabgabe!$EF$177,SUM(tipps!$A$34:AA$34)+tipps!$A42,0))</f>
        <v/>
      </c>
      <c r="AC42" t="str">
        <f ca="1">IF($A42&gt;AC$34,"",OFFSET(Tippabgabe!$EF$177,SUM(tipps!$A$34:AB$34)+tipps!$A42,0))</f>
        <v/>
      </c>
      <c r="AD42" t="str">
        <f ca="1">IF($A42&gt;AD$34,"",OFFSET(Tippabgabe!$EF$177,SUM(tipps!$A$34:AC$34)+tipps!$A42,0))</f>
        <v/>
      </c>
      <c r="AE42" t="str">
        <f ca="1">IF($A42&gt;AE$34,"",OFFSET(Tippabgabe!$EF$177,SUM(tipps!$A$34:AD$34)+tipps!$A42,0))</f>
        <v/>
      </c>
      <c r="AF42" t="str">
        <f ca="1">IF($A42&gt;AF$34,"",OFFSET(Tippabgabe!$EF$177,SUM(tipps!$A$34:AE$34)+tipps!$A42,0))</f>
        <v/>
      </c>
      <c r="AG42" t="str">
        <f ca="1">IF($A42&gt;AG$34,"",OFFSET(Tippabgabe!$EF$177,SUM(tipps!$A$34:AF$34)+tipps!$A42,0))</f>
        <v/>
      </c>
      <c r="AH42" t="str">
        <f ca="1">IF($A42&gt;AH$34,"",OFFSET(Tippabgabe!$EF$177,SUM(tipps!$A$34:AG$34)+tipps!$A42,0))</f>
        <v/>
      </c>
      <c r="AI42" t="str">
        <f ca="1">IF($A42&gt;AI$34,"",OFFSET(Tippabgabe!$EF$177,SUM(tipps!$A$34:AH$34)+tipps!$A42,0))</f>
        <v/>
      </c>
      <c r="AJ42" t="str">
        <f ca="1">IF($A42&gt;AJ$34,"",OFFSET(Tippabgabe!$EF$177,SUM(tipps!$A$34:AI$34)+tipps!$A42,0))</f>
        <v/>
      </c>
      <c r="AK42" t="str">
        <f ca="1">IF($A42&gt;AK$34,"",OFFSET(Tippabgabe!$EF$177,SUM(tipps!$A$34:AJ$34)+tipps!$A42,0))</f>
        <v/>
      </c>
      <c r="AL42" t="str">
        <f ca="1">IF($A42&gt;AL$34,"",OFFSET(Tippabgabe!$EF$177,SUM(tipps!$A$34:AK$34)+tipps!$A42,0))</f>
        <v/>
      </c>
      <c r="AM42" t="str">
        <f ca="1">IF($A42&gt;AM$34,"",OFFSET(Tippabgabe!$EF$177,SUM(tipps!$A$34:AL$34)+tipps!$A42,0))</f>
        <v/>
      </c>
      <c r="AN42" t="str">
        <f ca="1">IF($A42&gt;AN$34,"",OFFSET(Tippabgabe!$EF$177,SUM(tipps!$A$34:AM$34)+tipps!$A42,0))</f>
        <v/>
      </c>
      <c r="AO42" t="str">
        <f ca="1">IF($A42&gt;AO$34,"",OFFSET(Tippabgabe!$EF$177,SUM(tipps!$A$34:AN$34)+tipps!$A42,0))</f>
        <v/>
      </c>
      <c r="AP42" t="str">
        <f ca="1">IF($A42&gt;AP$34,"",OFFSET(Tippabgabe!$EF$177,SUM(tipps!$A$34:AO$34)+tipps!$A42,0))</f>
        <v/>
      </c>
      <c r="AQ42" t="str">
        <f ca="1">IF($A42&gt;AQ$34,"",OFFSET(Tippabgabe!$EF$177,SUM(tipps!$A$34:AP$34)+tipps!$A42,0))</f>
        <v/>
      </c>
      <c r="AR42" t="str">
        <f ca="1">IF($A42&gt;AR$34,"",OFFSET(Tippabgabe!$EF$177,SUM(tipps!$A$34:AQ$34)+tipps!$A42,0))</f>
        <v/>
      </c>
      <c r="AS42" t="str">
        <f ca="1">IF($A42&gt;AS$34,"",OFFSET(Tippabgabe!$EF$177,SUM(tipps!$A$34:AR$34)+tipps!$A42,0))</f>
        <v/>
      </c>
      <c r="AT42" t="str">
        <f ca="1">IF($A42&gt;AT$34,"",OFFSET(Tippabgabe!$EF$177,SUM(tipps!$A$34:AS$34)+tipps!$A42,0))</f>
        <v/>
      </c>
      <c r="AU42" t="str">
        <f ca="1">IF($A42&gt;AU$34,"",OFFSET(Tippabgabe!$EF$177,SUM(tipps!$A$34:AT$34)+tipps!$A42,0))</f>
        <v/>
      </c>
      <c r="AV42" t="str">
        <f ca="1">IF($A42&gt;AV$34,"",OFFSET(Tippabgabe!$EF$177,SUM(tipps!$A$34:AU$34)+tipps!$A42,0))</f>
        <v/>
      </c>
      <c r="AW42" t="str">
        <f ca="1">IF($A42&gt;AW$34,"",OFFSET(Tippabgabe!$EF$177,SUM(tipps!$A$34:AV$34)+tipps!$A42,0))</f>
        <v/>
      </c>
      <c r="AX42" t="str">
        <f ca="1">IF($A42&gt;AX$34,"",OFFSET(Tippabgabe!$EF$177,SUM(tipps!$A$34:AW$34)+tipps!$A42,0))</f>
        <v/>
      </c>
      <c r="AY42" t="str">
        <f ca="1">IF($A42&gt;AY$34,"",OFFSET(Tippabgabe!$EF$177,SUM(tipps!$A$34:AX$34)+tipps!$A42,0))</f>
        <v/>
      </c>
      <c r="AZ42" t="str">
        <f ca="1">IF($A42&gt;AZ$34,"",OFFSET(Tippabgabe!$EF$177,SUM(tipps!$A$34:AY$34)+tipps!$A42,0))</f>
        <v/>
      </c>
      <c r="BA42" t="str">
        <f ca="1">IF($A42&gt;BA$34,"",OFFSET(Tippabgabe!$EF$177,SUM(tipps!$A$34:AZ$34)+tipps!$A42,0))</f>
        <v/>
      </c>
      <c r="BB42" t="str">
        <f ca="1">IF($A42&gt;BB$34,"",OFFSET(Tippabgabe!$EF$177,SUM(tipps!$A$34:BA$34)+tipps!$A42,0))</f>
        <v/>
      </c>
      <c r="BC42" t="str">
        <f ca="1">IF($A42&gt;BC$34,"",OFFSET(Tippabgabe!$EF$177,SUM(tipps!$A$34:BB$34)+tipps!$A42,0))</f>
        <v/>
      </c>
      <c r="BD42" t="str">
        <f ca="1">IF($A42&gt;BD$34,"",OFFSET(Tippabgabe!$EF$177,SUM(tipps!$A$34:BC$34)+tipps!$A42,0))</f>
        <v/>
      </c>
      <c r="BE42" t="str">
        <f ca="1">IF($A42&gt;BE$34,"",OFFSET(Tippabgabe!$EF$177,SUM(tipps!$A$34:BD$34)+tipps!$A42,0))</f>
        <v/>
      </c>
      <c r="BF42" t="str">
        <f ca="1">IF($A42&gt;BF$34,"",OFFSET(Tippabgabe!$EF$177,SUM(tipps!$A$34:BE$34)+tipps!$A42,0))</f>
        <v/>
      </c>
      <c r="BG42" t="str">
        <f ca="1">IF($A42&gt;BG$34,"",OFFSET(Tippabgabe!$EF$177,SUM(tipps!$A$34:BF$34)+tipps!$A42,0))</f>
        <v/>
      </c>
      <c r="BH42" t="str">
        <f ca="1">IF($A42&gt;BH$34,"",OFFSET(Tippabgabe!$EF$177,SUM(tipps!$A$34:BG$34)+tipps!$A42,0))</f>
        <v/>
      </c>
      <c r="BI42" t="str">
        <f ca="1">IF($A42&gt;BI$34,"",OFFSET(Tippabgabe!$EF$177,SUM(tipps!$A$34:BH$34)+tipps!$A42,0))</f>
        <v/>
      </c>
      <c r="BJ42" t="str">
        <f ca="1">IF($A42&gt;BJ$34,"",OFFSET(Tippabgabe!$EF$177,SUM(tipps!$A$34:BI$34)+tipps!$A42,0))</f>
        <v/>
      </c>
      <c r="BK42" t="str">
        <f ca="1">IF($A42&gt;BK$34,"",OFFSET(Tippabgabe!$EF$177,SUM(tipps!$A$34:BJ$34)+tipps!$A42,0))</f>
        <v/>
      </c>
      <c r="BL42" t="str">
        <f ca="1">IF($A42&gt;BL$34,"",OFFSET(Tippabgabe!$EF$177,SUM(tipps!$A$34:BK$34)+tipps!$A42,0))</f>
        <v/>
      </c>
      <c r="BM42" t="str">
        <f ca="1">IF($A42&gt;BM$34,"",OFFSET(Tippabgabe!$EF$177,SUM(tipps!$A$34:BL$34)+tipps!$A42,0))</f>
        <v/>
      </c>
      <c r="BN42" t="str">
        <f ca="1">IF($A42&gt;BN$34,"",OFFSET(Tippabgabe!$EF$177,SUM(tipps!$A$34:BM$34)+tipps!$A42,0))</f>
        <v/>
      </c>
      <c r="BO42" t="str">
        <f ca="1">IF($A42&gt;BO$34,"",OFFSET(Tippabgabe!$EF$177,SUM(tipps!$A$34:BN$34)+tipps!$A42,0))</f>
        <v/>
      </c>
      <c r="BP42" t="str">
        <f ca="1">IF($A42&gt;BP$34,"",OFFSET(Tippabgabe!$EF$177,SUM(tipps!$A$34:BO$34)+tipps!$A42,0))</f>
        <v/>
      </c>
      <c r="BQ42" t="str">
        <f ca="1">IF($A42&gt;BQ$34,"",OFFSET(Tippabgabe!$EF$177,SUM(tipps!$A$34:BP$34)+tipps!$A42,0))</f>
        <v/>
      </c>
      <c r="BR42" t="str">
        <f ca="1">IF($A42&gt;BR$34,"",OFFSET(Tippabgabe!$EF$177,SUM(tipps!$A$34:BQ$34)+tipps!$A42,0))</f>
        <v/>
      </c>
      <c r="BS42" t="str">
        <f ca="1">IF($A42&gt;BS$34,"",OFFSET(Tippabgabe!$EF$177,SUM(tipps!$A$34:BR$34)+tipps!$A42,0))</f>
        <v/>
      </c>
      <c r="BT42" t="str">
        <f ca="1">IF($A42&gt;BT$34,"",OFFSET(Tippabgabe!$EF$177,SUM(tipps!$A$34:BS$34)+tipps!$A42,0))</f>
        <v/>
      </c>
      <c r="BU42" t="str">
        <f ca="1">IF($A42&gt;BU$34,"",OFFSET(Tippabgabe!$EF$177,SUM(tipps!$A$34:BT$34)+tipps!$A42,0))</f>
        <v/>
      </c>
      <c r="BV42" t="str">
        <f ca="1">IF($A42&gt;BV$34,"",OFFSET(Tippabgabe!$EF$177,SUM(tipps!$A$34:BU$34)+tipps!$A42,0))</f>
        <v/>
      </c>
      <c r="BW42" t="str">
        <f ca="1">IF($A42&gt;BW$34,"",OFFSET(Tippabgabe!$EF$177,SUM(tipps!$A$34:BV$34)+tipps!$A42,0))</f>
        <v/>
      </c>
    </row>
    <row r="43" spans="1:77" x14ac:dyDescent="0.2">
      <c r="A43">
        <v>8</v>
      </c>
      <c r="B43" t="str">
        <f ca="1">IF($A43&gt;B$34,"",OFFSET(Tippabgabe!$EF$177,SUM(tipps!$A$34:A$34)+tipps!$A43,0))</f>
        <v/>
      </c>
      <c r="C43" t="str">
        <f ca="1">IF($A43&gt;C$34,"",OFFSET(Tippabgabe!$EF$177,SUM(tipps!$A$34:B$34)+tipps!$A43,0))</f>
        <v/>
      </c>
      <c r="D43" t="str">
        <f ca="1">IF($A43&gt;D$34,"",OFFSET(Tippabgabe!$EF$177,SUM(tipps!$A$34:C$34)+tipps!$A43,0))</f>
        <v/>
      </c>
      <c r="E43" t="str">
        <f ca="1">IF($A43&gt;E$34,"",OFFSET(Tippabgabe!$EF$177,SUM(tipps!$A$34:D$34)+tipps!$A43,0))</f>
        <v/>
      </c>
      <c r="F43" t="str">
        <f ca="1">IF($A43&gt;F$34,"",OFFSET(Tippabgabe!$EF$177,SUM(tipps!$A$34:E$34)+tipps!$A43,0))</f>
        <v/>
      </c>
      <c r="G43" t="str">
        <f ca="1">IF($A43&gt;G$34,"",OFFSET(Tippabgabe!$EF$177,SUM(tipps!$A$34:F$34)+tipps!$A43,0))</f>
        <v/>
      </c>
      <c r="H43" t="str">
        <f ca="1">IF($A43&gt;H$34,"",OFFSET(Tippabgabe!$EF$177,SUM(tipps!$A$34:G$34)+tipps!$A43,0))</f>
        <v/>
      </c>
      <c r="I43" t="str">
        <f ca="1">IF($A43&gt;I$34,"",OFFSET(Tippabgabe!$EF$177,SUM(tipps!$A$34:H$34)+tipps!$A43,0))</f>
        <v/>
      </c>
      <c r="J43" t="str">
        <f ca="1">IF($A43&gt;J$34,"",OFFSET(Tippabgabe!$EF$177,SUM(tipps!$A$34:I$34)+tipps!$A43,0))</f>
        <v/>
      </c>
      <c r="K43" t="str">
        <f ca="1">IF($A43&gt;K$34,"",OFFSET(Tippabgabe!$EF$177,SUM(tipps!$A$34:J$34)+tipps!$A43,0))</f>
        <v/>
      </c>
      <c r="L43" t="str">
        <f ca="1">IF($A43&gt;L$34,"",OFFSET(Tippabgabe!$EF$177,SUM(tipps!$A$34:K$34)+tipps!$A43,0))</f>
        <v/>
      </c>
      <c r="M43" t="str">
        <f ca="1">IF($A43&gt;M$34,"",OFFSET(Tippabgabe!$EF$177,SUM(tipps!$A$34:L$34)+tipps!$A43,0))</f>
        <v/>
      </c>
      <c r="N43" t="str">
        <f ca="1">IF($A43&gt;N$34,"",OFFSET(Tippabgabe!$EF$177,SUM(tipps!$A$34:M$34)+tipps!$A43,0))</f>
        <v/>
      </c>
      <c r="O43" t="str">
        <f ca="1">IF($A43&gt;O$34,"",OFFSET(Tippabgabe!$EF$177,SUM(tipps!$A$34:N$34)+tipps!$A43,0))</f>
        <v/>
      </c>
      <c r="P43" t="str">
        <f ca="1">IF($A43&gt;P$34,"",OFFSET(Tippabgabe!$EF$177,SUM(tipps!$A$34:O$34)+tipps!$A43,0))</f>
        <v/>
      </c>
      <c r="Q43" t="str">
        <f ca="1">IF($A43&gt;Q$34,"",OFFSET(Tippabgabe!$EF$177,SUM(tipps!$A$34:P$34)+tipps!$A43,0))</f>
        <v/>
      </c>
      <c r="R43" t="str">
        <f ca="1">IF($A43&gt;R$34,"",OFFSET(Tippabgabe!$EF$177,SUM(tipps!$A$34:Q$34)+tipps!$A43,0))</f>
        <v/>
      </c>
      <c r="S43" t="str">
        <f ca="1">IF($A43&gt;S$34,"",OFFSET(Tippabgabe!$EF$177,SUM(tipps!$A$34:R$34)+tipps!$A43,0))</f>
        <v/>
      </c>
      <c r="T43" t="str">
        <f ca="1">IF($A43&gt;T$34,"",OFFSET(Tippabgabe!$EF$177,SUM(tipps!$A$34:S$34)+tipps!$A43,0))</f>
        <v/>
      </c>
      <c r="U43" t="str">
        <f ca="1">IF($A43&gt;U$34,"",OFFSET(Tippabgabe!$EF$177,SUM(tipps!$A$34:T$34)+tipps!$A43,0))</f>
        <v/>
      </c>
      <c r="V43" t="str">
        <f ca="1">IF($A43&gt;V$34,"",OFFSET(Tippabgabe!$EF$177,SUM(tipps!$A$34:U$34)+tipps!$A43,0))</f>
        <v/>
      </c>
      <c r="W43" t="str">
        <f ca="1">IF($A43&gt;W$34,"",OFFSET(Tippabgabe!$EF$177,SUM(tipps!$A$34:V$34)+tipps!$A43,0))</f>
        <v/>
      </c>
      <c r="X43" t="str">
        <f ca="1">IF($A43&gt;X$34,"",OFFSET(Tippabgabe!$EF$177,SUM(tipps!$A$34:W$34)+tipps!$A43,0))</f>
        <v/>
      </c>
      <c r="Y43" t="str">
        <f ca="1">IF($A43&gt;Y$34,"",OFFSET(Tippabgabe!$EF$177,SUM(tipps!$A$34:X$34)+tipps!$A43,0))</f>
        <v/>
      </c>
      <c r="Z43" t="str">
        <f ca="1">IF($A43&gt;Z$34,"",OFFSET(Tippabgabe!$EF$177,SUM(tipps!$A$34:Y$34)+tipps!$A43,0))</f>
        <v/>
      </c>
      <c r="AA43" t="str">
        <f ca="1">IF($A43&gt;AA$34,"",OFFSET(Tippabgabe!$EF$177,SUM(tipps!$A$34:Z$34)+tipps!$A43,0))</f>
        <v/>
      </c>
      <c r="AB43" t="str">
        <f ca="1">IF($A43&gt;AB$34,"",OFFSET(Tippabgabe!$EF$177,SUM(tipps!$A$34:AA$34)+tipps!$A43,0))</f>
        <v/>
      </c>
      <c r="AC43" t="str">
        <f ca="1">IF($A43&gt;AC$34,"",OFFSET(Tippabgabe!$EF$177,SUM(tipps!$A$34:AB$34)+tipps!$A43,0))</f>
        <v/>
      </c>
      <c r="AD43" t="str">
        <f ca="1">IF($A43&gt;AD$34,"",OFFSET(Tippabgabe!$EF$177,SUM(tipps!$A$34:AC$34)+tipps!$A43,0))</f>
        <v/>
      </c>
      <c r="AE43" t="str">
        <f ca="1">IF($A43&gt;AE$34,"",OFFSET(Tippabgabe!$EF$177,SUM(tipps!$A$34:AD$34)+tipps!$A43,0))</f>
        <v/>
      </c>
      <c r="AF43" t="str">
        <f ca="1">IF($A43&gt;AF$34,"",OFFSET(Tippabgabe!$EF$177,SUM(tipps!$A$34:AE$34)+tipps!$A43,0))</f>
        <v/>
      </c>
      <c r="AG43" t="str">
        <f ca="1">IF($A43&gt;AG$34,"",OFFSET(Tippabgabe!$EF$177,SUM(tipps!$A$34:AF$34)+tipps!$A43,0))</f>
        <v/>
      </c>
      <c r="AH43" t="str">
        <f ca="1">IF($A43&gt;AH$34,"",OFFSET(Tippabgabe!$EF$177,SUM(tipps!$A$34:AG$34)+tipps!$A43,0))</f>
        <v/>
      </c>
      <c r="AI43" t="str">
        <f ca="1">IF($A43&gt;AI$34,"",OFFSET(Tippabgabe!$EF$177,SUM(tipps!$A$34:AH$34)+tipps!$A43,0))</f>
        <v/>
      </c>
      <c r="AJ43" t="str">
        <f ca="1">IF($A43&gt;AJ$34,"",OFFSET(Tippabgabe!$EF$177,SUM(tipps!$A$34:AI$34)+tipps!$A43,0))</f>
        <v/>
      </c>
      <c r="AK43" t="str">
        <f ca="1">IF($A43&gt;AK$34,"",OFFSET(Tippabgabe!$EF$177,SUM(tipps!$A$34:AJ$34)+tipps!$A43,0))</f>
        <v/>
      </c>
      <c r="AL43" t="str">
        <f ca="1">IF($A43&gt;AL$34,"",OFFSET(Tippabgabe!$EF$177,SUM(tipps!$A$34:AK$34)+tipps!$A43,0))</f>
        <v/>
      </c>
      <c r="AM43" t="str">
        <f ca="1">IF($A43&gt;AM$34,"",OFFSET(Tippabgabe!$EF$177,SUM(tipps!$A$34:AL$34)+tipps!$A43,0))</f>
        <v/>
      </c>
      <c r="AN43" t="str">
        <f ca="1">IF($A43&gt;AN$34,"",OFFSET(Tippabgabe!$EF$177,SUM(tipps!$A$34:AM$34)+tipps!$A43,0))</f>
        <v/>
      </c>
      <c r="AO43" t="str">
        <f ca="1">IF($A43&gt;AO$34,"",OFFSET(Tippabgabe!$EF$177,SUM(tipps!$A$34:AN$34)+tipps!$A43,0))</f>
        <v/>
      </c>
      <c r="AP43" t="str">
        <f ca="1">IF($A43&gt;AP$34,"",OFFSET(Tippabgabe!$EF$177,SUM(tipps!$A$34:AO$34)+tipps!$A43,0))</f>
        <v/>
      </c>
      <c r="AQ43" t="str">
        <f ca="1">IF($A43&gt;AQ$34,"",OFFSET(Tippabgabe!$EF$177,SUM(tipps!$A$34:AP$34)+tipps!$A43,0))</f>
        <v/>
      </c>
      <c r="AR43" t="str">
        <f ca="1">IF($A43&gt;AR$34,"",OFFSET(Tippabgabe!$EF$177,SUM(tipps!$A$34:AQ$34)+tipps!$A43,0))</f>
        <v/>
      </c>
      <c r="AS43" t="str">
        <f ca="1">IF($A43&gt;AS$34,"",OFFSET(Tippabgabe!$EF$177,SUM(tipps!$A$34:AR$34)+tipps!$A43,0))</f>
        <v/>
      </c>
      <c r="AT43" t="str">
        <f ca="1">IF($A43&gt;AT$34,"",OFFSET(Tippabgabe!$EF$177,SUM(tipps!$A$34:AS$34)+tipps!$A43,0))</f>
        <v/>
      </c>
      <c r="AU43" t="str">
        <f ca="1">IF($A43&gt;AU$34,"",OFFSET(Tippabgabe!$EF$177,SUM(tipps!$A$34:AT$34)+tipps!$A43,0))</f>
        <v/>
      </c>
      <c r="AV43" t="str">
        <f ca="1">IF($A43&gt;AV$34,"",OFFSET(Tippabgabe!$EF$177,SUM(tipps!$A$34:AU$34)+tipps!$A43,0))</f>
        <v/>
      </c>
      <c r="AW43" t="str">
        <f ca="1">IF($A43&gt;AW$34,"",OFFSET(Tippabgabe!$EF$177,SUM(tipps!$A$34:AV$34)+tipps!$A43,0))</f>
        <v/>
      </c>
      <c r="AX43" t="str">
        <f ca="1">IF($A43&gt;AX$34,"",OFFSET(Tippabgabe!$EF$177,SUM(tipps!$A$34:AW$34)+tipps!$A43,0))</f>
        <v/>
      </c>
      <c r="AY43" t="str">
        <f ca="1">IF($A43&gt;AY$34,"",OFFSET(Tippabgabe!$EF$177,SUM(tipps!$A$34:AX$34)+tipps!$A43,0))</f>
        <v/>
      </c>
      <c r="AZ43" t="str">
        <f ca="1">IF($A43&gt;AZ$34,"",OFFSET(Tippabgabe!$EF$177,SUM(tipps!$A$34:AY$34)+tipps!$A43,0))</f>
        <v/>
      </c>
      <c r="BA43" t="str">
        <f ca="1">IF($A43&gt;BA$34,"",OFFSET(Tippabgabe!$EF$177,SUM(tipps!$A$34:AZ$34)+tipps!$A43,0))</f>
        <v/>
      </c>
      <c r="BB43" t="str">
        <f ca="1">IF($A43&gt;BB$34,"",OFFSET(Tippabgabe!$EF$177,SUM(tipps!$A$34:BA$34)+tipps!$A43,0))</f>
        <v/>
      </c>
      <c r="BC43" t="str">
        <f ca="1">IF($A43&gt;BC$34,"",OFFSET(Tippabgabe!$EF$177,SUM(tipps!$A$34:BB$34)+tipps!$A43,0))</f>
        <v/>
      </c>
      <c r="BD43" t="str">
        <f ca="1">IF($A43&gt;BD$34,"",OFFSET(Tippabgabe!$EF$177,SUM(tipps!$A$34:BC$34)+tipps!$A43,0))</f>
        <v/>
      </c>
      <c r="BE43" t="str">
        <f ca="1">IF($A43&gt;BE$34,"",OFFSET(Tippabgabe!$EF$177,SUM(tipps!$A$34:BD$34)+tipps!$A43,0))</f>
        <v/>
      </c>
      <c r="BF43" t="str">
        <f ca="1">IF($A43&gt;BF$34,"",OFFSET(Tippabgabe!$EF$177,SUM(tipps!$A$34:BE$34)+tipps!$A43,0))</f>
        <v/>
      </c>
      <c r="BG43" t="str">
        <f ca="1">IF($A43&gt;BG$34,"",OFFSET(Tippabgabe!$EF$177,SUM(tipps!$A$34:BF$34)+tipps!$A43,0))</f>
        <v/>
      </c>
      <c r="BH43" t="str">
        <f ca="1">IF($A43&gt;BH$34,"",OFFSET(Tippabgabe!$EF$177,SUM(tipps!$A$34:BG$34)+tipps!$A43,0))</f>
        <v/>
      </c>
      <c r="BI43" t="str">
        <f ca="1">IF($A43&gt;BI$34,"",OFFSET(Tippabgabe!$EF$177,SUM(tipps!$A$34:BH$34)+tipps!$A43,0))</f>
        <v/>
      </c>
      <c r="BJ43" t="str">
        <f ca="1">IF($A43&gt;BJ$34,"",OFFSET(Tippabgabe!$EF$177,SUM(tipps!$A$34:BI$34)+tipps!$A43,0))</f>
        <v/>
      </c>
      <c r="BK43" t="str">
        <f ca="1">IF($A43&gt;BK$34,"",OFFSET(Tippabgabe!$EF$177,SUM(tipps!$A$34:BJ$34)+tipps!$A43,0))</f>
        <v/>
      </c>
      <c r="BL43" t="str">
        <f ca="1">IF($A43&gt;BL$34,"",OFFSET(Tippabgabe!$EF$177,SUM(tipps!$A$34:BK$34)+tipps!$A43,0))</f>
        <v/>
      </c>
      <c r="BM43" t="str">
        <f ca="1">IF($A43&gt;BM$34,"",OFFSET(Tippabgabe!$EF$177,SUM(tipps!$A$34:BL$34)+tipps!$A43,0))</f>
        <v/>
      </c>
      <c r="BN43" t="str">
        <f ca="1">IF($A43&gt;BN$34,"",OFFSET(Tippabgabe!$EF$177,SUM(tipps!$A$34:BM$34)+tipps!$A43,0))</f>
        <v/>
      </c>
      <c r="BO43" t="str">
        <f ca="1">IF($A43&gt;BO$34,"",OFFSET(Tippabgabe!$EF$177,SUM(tipps!$A$34:BN$34)+tipps!$A43,0))</f>
        <v/>
      </c>
      <c r="BP43" t="str">
        <f ca="1">IF($A43&gt;BP$34,"",OFFSET(Tippabgabe!$EF$177,SUM(tipps!$A$34:BO$34)+tipps!$A43,0))</f>
        <v/>
      </c>
      <c r="BQ43" t="str">
        <f ca="1">IF($A43&gt;BQ$34,"",OFFSET(Tippabgabe!$EF$177,SUM(tipps!$A$34:BP$34)+tipps!$A43,0))</f>
        <v/>
      </c>
      <c r="BR43" t="str">
        <f ca="1">IF($A43&gt;BR$34,"",OFFSET(Tippabgabe!$EF$177,SUM(tipps!$A$34:BQ$34)+tipps!$A43,0))</f>
        <v/>
      </c>
      <c r="BS43" t="str">
        <f ca="1">IF($A43&gt;BS$34,"",OFFSET(Tippabgabe!$EF$177,SUM(tipps!$A$34:BR$34)+tipps!$A43,0))</f>
        <v/>
      </c>
      <c r="BT43" t="str">
        <f ca="1">IF($A43&gt;BT$34,"",OFFSET(Tippabgabe!$EF$177,SUM(tipps!$A$34:BS$34)+tipps!$A43,0))</f>
        <v/>
      </c>
      <c r="BU43" t="str">
        <f ca="1">IF($A43&gt;BU$34,"",OFFSET(Tippabgabe!$EF$177,SUM(tipps!$A$34:BT$34)+tipps!$A43,0))</f>
        <v/>
      </c>
      <c r="BV43" t="str">
        <f ca="1">IF($A43&gt;BV$34,"",OFFSET(Tippabgabe!$EF$177,SUM(tipps!$A$34:BU$34)+tipps!$A43,0))</f>
        <v/>
      </c>
      <c r="BW43" t="str">
        <f ca="1">IF($A43&gt;BW$34,"",OFFSET(Tippabgabe!$EF$177,SUM(tipps!$A$34:BV$34)+tipps!$A43,0))</f>
        <v/>
      </c>
    </row>
    <row r="44" spans="1:77" x14ac:dyDescent="0.2">
      <c r="A44">
        <v>9</v>
      </c>
      <c r="B44" t="str">
        <f ca="1">IF($A44&gt;B$34,"",OFFSET(Tippabgabe!$EF$177,SUM(tipps!$A$34:A$34)+tipps!$A44,0))</f>
        <v/>
      </c>
      <c r="C44" t="str">
        <f ca="1">IF($A44&gt;C$34,"",OFFSET(Tippabgabe!$EF$177,SUM(tipps!$A$34:B$34)+tipps!$A44,0))</f>
        <v/>
      </c>
      <c r="D44" t="str">
        <f ca="1">IF($A44&gt;D$34,"",OFFSET(Tippabgabe!$EF$177,SUM(tipps!$A$34:C$34)+tipps!$A44,0))</f>
        <v/>
      </c>
      <c r="E44" t="str">
        <f ca="1">IF($A44&gt;E$34,"",OFFSET(Tippabgabe!$EF$177,SUM(tipps!$A$34:D$34)+tipps!$A44,0))</f>
        <v/>
      </c>
      <c r="F44" t="str">
        <f ca="1">IF($A44&gt;F$34,"",OFFSET(Tippabgabe!$EF$177,SUM(tipps!$A$34:E$34)+tipps!$A44,0))</f>
        <v/>
      </c>
      <c r="G44" t="str">
        <f ca="1">IF($A44&gt;G$34,"",OFFSET(Tippabgabe!$EF$177,SUM(tipps!$A$34:F$34)+tipps!$A44,0))</f>
        <v/>
      </c>
      <c r="H44" t="str">
        <f ca="1">IF($A44&gt;H$34,"",OFFSET(Tippabgabe!$EF$177,SUM(tipps!$A$34:G$34)+tipps!$A44,0))</f>
        <v/>
      </c>
      <c r="I44" t="str">
        <f ca="1">IF($A44&gt;I$34,"",OFFSET(Tippabgabe!$EF$177,SUM(tipps!$A$34:H$34)+tipps!$A44,0))</f>
        <v/>
      </c>
      <c r="J44" t="str">
        <f ca="1">IF($A44&gt;J$34,"",OFFSET(Tippabgabe!$EF$177,SUM(tipps!$A$34:I$34)+tipps!$A44,0))</f>
        <v/>
      </c>
      <c r="K44" t="str">
        <f ca="1">IF($A44&gt;K$34,"",OFFSET(Tippabgabe!$EF$177,SUM(tipps!$A$34:J$34)+tipps!$A44,0))</f>
        <v/>
      </c>
      <c r="L44" t="str">
        <f ca="1">IF($A44&gt;L$34,"",OFFSET(Tippabgabe!$EF$177,SUM(tipps!$A$34:K$34)+tipps!$A44,0))</f>
        <v/>
      </c>
      <c r="M44" t="str">
        <f ca="1">IF($A44&gt;M$34,"",OFFSET(Tippabgabe!$EF$177,SUM(tipps!$A$34:L$34)+tipps!$A44,0))</f>
        <v/>
      </c>
      <c r="N44" t="str">
        <f ca="1">IF($A44&gt;N$34,"",OFFSET(Tippabgabe!$EF$177,SUM(tipps!$A$34:M$34)+tipps!$A44,0))</f>
        <v/>
      </c>
      <c r="O44" t="str">
        <f ca="1">IF($A44&gt;O$34,"",OFFSET(Tippabgabe!$EF$177,SUM(tipps!$A$34:N$34)+tipps!$A44,0))</f>
        <v/>
      </c>
      <c r="P44" t="str">
        <f ca="1">IF($A44&gt;P$34,"",OFFSET(Tippabgabe!$EF$177,SUM(tipps!$A$34:O$34)+tipps!$A44,0))</f>
        <v/>
      </c>
      <c r="Q44" t="str">
        <f ca="1">IF($A44&gt;Q$34,"",OFFSET(Tippabgabe!$EF$177,SUM(tipps!$A$34:P$34)+tipps!$A44,0))</f>
        <v/>
      </c>
      <c r="R44" t="str">
        <f ca="1">IF($A44&gt;R$34,"",OFFSET(Tippabgabe!$EF$177,SUM(tipps!$A$34:Q$34)+tipps!$A44,0))</f>
        <v/>
      </c>
      <c r="S44" t="str">
        <f ca="1">IF($A44&gt;S$34,"",OFFSET(Tippabgabe!$EF$177,SUM(tipps!$A$34:R$34)+tipps!$A44,0))</f>
        <v/>
      </c>
      <c r="T44" t="str">
        <f ca="1">IF($A44&gt;T$34,"",OFFSET(Tippabgabe!$EF$177,SUM(tipps!$A$34:S$34)+tipps!$A44,0))</f>
        <v/>
      </c>
      <c r="U44" t="str">
        <f ca="1">IF($A44&gt;U$34,"",OFFSET(Tippabgabe!$EF$177,SUM(tipps!$A$34:T$34)+tipps!$A44,0))</f>
        <v/>
      </c>
      <c r="V44" t="str">
        <f ca="1">IF($A44&gt;V$34,"",OFFSET(Tippabgabe!$EF$177,SUM(tipps!$A$34:U$34)+tipps!$A44,0))</f>
        <v/>
      </c>
      <c r="W44" t="str">
        <f ca="1">IF($A44&gt;W$34,"",OFFSET(Tippabgabe!$EF$177,SUM(tipps!$A$34:V$34)+tipps!$A44,0))</f>
        <v/>
      </c>
      <c r="X44" t="str">
        <f ca="1">IF($A44&gt;X$34,"",OFFSET(Tippabgabe!$EF$177,SUM(tipps!$A$34:W$34)+tipps!$A44,0))</f>
        <v/>
      </c>
      <c r="Y44" t="str">
        <f ca="1">IF($A44&gt;Y$34,"",OFFSET(Tippabgabe!$EF$177,SUM(tipps!$A$34:X$34)+tipps!$A44,0))</f>
        <v/>
      </c>
      <c r="Z44" t="str">
        <f ca="1">IF($A44&gt;Z$34,"",OFFSET(Tippabgabe!$EF$177,SUM(tipps!$A$34:Y$34)+tipps!$A44,0))</f>
        <v/>
      </c>
      <c r="AA44" t="str">
        <f ca="1">IF($A44&gt;AA$34,"",OFFSET(Tippabgabe!$EF$177,SUM(tipps!$A$34:Z$34)+tipps!$A44,0))</f>
        <v/>
      </c>
      <c r="AB44" t="str">
        <f ca="1">IF($A44&gt;AB$34,"",OFFSET(Tippabgabe!$EF$177,SUM(tipps!$A$34:AA$34)+tipps!$A44,0))</f>
        <v/>
      </c>
      <c r="AC44" t="str">
        <f ca="1">IF($A44&gt;AC$34,"",OFFSET(Tippabgabe!$EF$177,SUM(tipps!$A$34:AB$34)+tipps!$A44,0))</f>
        <v/>
      </c>
      <c r="AD44" t="str">
        <f ca="1">IF($A44&gt;AD$34,"",OFFSET(Tippabgabe!$EF$177,SUM(tipps!$A$34:AC$34)+tipps!$A44,0))</f>
        <v/>
      </c>
      <c r="AE44" t="str">
        <f ca="1">IF($A44&gt;AE$34,"",OFFSET(Tippabgabe!$EF$177,SUM(tipps!$A$34:AD$34)+tipps!$A44,0))</f>
        <v/>
      </c>
      <c r="AF44" t="str">
        <f ca="1">IF($A44&gt;AF$34,"",OFFSET(Tippabgabe!$EF$177,SUM(tipps!$A$34:AE$34)+tipps!$A44,0))</f>
        <v/>
      </c>
      <c r="AG44" t="str">
        <f ca="1">IF($A44&gt;AG$34,"",OFFSET(Tippabgabe!$EF$177,SUM(tipps!$A$34:AF$34)+tipps!$A44,0))</f>
        <v/>
      </c>
      <c r="AH44" t="str">
        <f ca="1">IF($A44&gt;AH$34,"",OFFSET(Tippabgabe!$EF$177,SUM(tipps!$A$34:AG$34)+tipps!$A44,0))</f>
        <v/>
      </c>
      <c r="AI44" t="str">
        <f ca="1">IF($A44&gt;AI$34,"",OFFSET(Tippabgabe!$EF$177,SUM(tipps!$A$34:AH$34)+tipps!$A44,0))</f>
        <v/>
      </c>
      <c r="AJ44" t="str">
        <f ca="1">IF($A44&gt;AJ$34,"",OFFSET(Tippabgabe!$EF$177,SUM(tipps!$A$34:AI$34)+tipps!$A44,0))</f>
        <v/>
      </c>
      <c r="AK44" t="str">
        <f ca="1">IF($A44&gt;AK$34,"",OFFSET(Tippabgabe!$EF$177,SUM(tipps!$A$34:AJ$34)+tipps!$A44,0))</f>
        <v/>
      </c>
      <c r="AL44" t="str">
        <f ca="1">IF($A44&gt;AL$34,"",OFFSET(Tippabgabe!$EF$177,SUM(tipps!$A$34:AK$34)+tipps!$A44,0))</f>
        <v/>
      </c>
      <c r="AM44" t="str">
        <f ca="1">IF($A44&gt;AM$34,"",OFFSET(Tippabgabe!$EF$177,SUM(tipps!$A$34:AL$34)+tipps!$A44,0))</f>
        <v/>
      </c>
      <c r="AN44" t="str">
        <f ca="1">IF($A44&gt;AN$34,"",OFFSET(Tippabgabe!$EF$177,SUM(tipps!$A$34:AM$34)+tipps!$A44,0))</f>
        <v/>
      </c>
      <c r="AO44" t="str">
        <f ca="1">IF($A44&gt;AO$34,"",OFFSET(Tippabgabe!$EF$177,SUM(tipps!$A$34:AN$34)+tipps!$A44,0))</f>
        <v/>
      </c>
      <c r="AP44" t="str">
        <f ca="1">IF($A44&gt;AP$34,"",OFFSET(Tippabgabe!$EF$177,SUM(tipps!$A$34:AO$34)+tipps!$A44,0))</f>
        <v/>
      </c>
      <c r="AQ44" t="str">
        <f ca="1">IF($A44&gt;AQ$34,"",OFFSET(Tippabgabe!$EF$177,SUM(tipps!$A$34:AP$34)+tipps!$A44,0))</f>
        <v/>
      </c>
      <c r="AR44" t="str">
        <f ca="1">IF($A44&gt;AR$34,"",OFFSET(Tippabgabe!$EF$177,SUM(tipps!$A$34:AQ$34)+tipps!$A44,0))</f>
        <v/>
      </c>
      <c r="AS44" t="str">
        <f ca="1">IF($A44&gt;AS$34,"",OFFSET(Tippabgabe!$EF$177,SUM(tipps!$A$34:AR$34)+tipps!$A44,0))</f>
        <v/>
      </c>
      <c r="AT44" t="str">
        <f ca="1">IF($A44&gt;AT$34,"",OFFSET(Tippabgabe!$EF$177,SUM(tipps!$A$34:AS$34)+tipps!$A44,0))</f>
        <v/>
      </c>
      <c r="AU44" t="str">
        <f ca="1">IF($A44&gt;AU$34,"",OFFSET(Tippabgabe!$EF$177,SUM(tipps!$A$34:AT$34)+tipps!$A44,0))</f>
        <v/>
      </c>
      <c r="AV44" t="str">
        <f ca="1">IF($A44&gt;AV$34,"",OFFSET(Tippabgabe!$EF$177,SUM(tipps!$A$34:AU$34)+tipps!$A44,0))</f>
        <v/>
      </c>
      <c r="AW44" t="str">
        <f ca="1">IF($A44&gt;AW$34,"",OFFSET(Tippabgabe!$EF$177,SUM(tipps!$A$34:AV$34)+tipps!$A44,0))</f>
        <v/>
      </c>
      <c r="AX44" t="str">
        <f ca="1">IF($A44&gt;AX$34,"",OFFSET(Tippabgabe!$EF$177,SUM(tipps!$A$34:AW$34)+tipps!$A44,0))</f>
        <v/>
      </c>
      <c r="AY44" t="str">
        <f ca="1">IF($A44&gt;AY$34,"",OFFSET(Tippabgabe!$EF$177,SUM(tipps!$A$34:AX$34)+tipps!$A44,0))</f>
        <v/>
      </c>
      <c r="AZ44" t="str">
        <f ca="1">IF($A44&gt;AZ$34,"",OFFSET(Tippabgabe!$EF$177,SUM(tipps!$A$34:AY$34)+tipps!$A44,0))</f>
        <v/>
      </c>
      <c r="BA44" t="str">
        <f ca="1">IF($A44&gt;BA$34,"",OFFSET(Tippabgabe!$EF$177,SUM(tipps!$A$34:AZ$34)+tipps!$A44,0))</f>
        <v/>
      </c>
      <c r="BB44" t="str">
        <f ca="1">IF($A44&gt;BB$34,"",OFFSET(Tippabgabe!$EF$177,SUM(tipps!$A$34:BA$34)+tipps!$A44,0))</f>
        <v/>
      </c>
      <c r="BC44" t="str">
        <f ca="1">IF($A44&gt;BC$34,"",OFFSET(Tippabgabe!$EF$177,SUM(tipps!$A$34:BB$34)+tipps!$A44,0))</f>
        <v/>
      </c>
      <c r="BD44" t="str">
        <f ca="1">IF($A44&gt;BD$34,"",OFFSET(Tippabgabe!$EF$177,SUM(tipps!$A$34:BC$34)+tipps!$A44,0))</f>
        <v/>
      </c>
      <c r="BE44" t="str">
        <f ca="1">IF($A44&gt;BE$34,"",OFFSET(Tippabgabe!$EF$177,SUM(tipps!$A$34:BD$34)+tipps!$A44,0))</f>
        <v/>
      </c>
      <c r="BF44" t="str">
        <f ca="1">IF($A44&gt;BF$34,"",OFFSET(Tippabgabe!$EF$177,SUM(tipps!$A$34:BE$34)+tipps!$A44,0))</f>
        <v/>
      </c>
      <c r="BG44" t="str">
        <f ca="1">IF($A44&gt;BG$34,"",OFFSET(Tippabgabe!$EF$177,SUM(tipps!$A$34:BF$34)+tipps!$A44,0))</f>
        <v/>
      </c>
      <c r="BH44" t="str">
        <f ca="1">IF($A44&gt;BH$34,"",OFFSET(Tippabgabe!$EF$177,SUM(tipps!$A$34:BG$34)+tipps!$A44,0))</f>
        <v/>
      </c>
      <c r="BI44" t="str">
        <f ca="1">IF($A44&gt;BI$34,"",OFFSET(Tippabgabe!$EF$177,SUM(tipps!$A$34:BH$34)+tipps!$A44,0))</f>
        <v/>
      </c>
      <c r="BJ44" t="str">
        <f ca="1">IF($A44&gt;BJ$34,"",OFFSET(Tippabgabe!$EF$177,SUM(tipps!$A$34:BI$34)+tipps!$A44,0))</f>
        <v/>
      </c>
      <c r="BK44" t="str">
        <f ca="1">IF($A44&gt;BK$34,"",OFFSET(Tippabgabe!$EF$177,SUM(tipps!$A$34:BJ$34)+tipps!$A44,0))</f>
        <v/>
      </c>
      <c r="BL44" t="str">
        <f ca="1">IF($A44&gt;BL$34,"",OFFSET(Tippabgabe!$EF$177,SUM(tipps!$A$34:BK$34)+tipps!$A44,0))</f>
        <v/>
      </c>
      <c r="BM44" t="str">
        <f ca="1">IF($A44&gt;BM$34,"",OFFSET(Tippabgabe!$EF$177,SUM(tipps!$A$34:BL$34)+tipps!$A44,0))</f>
        <v/>
      </c>
      <c r="BN44" t="str">
        <f ca="1">IF($A44&gt;BN$34,"",OFFSET(Tippabgabe!$EF$177,SUM(tipps!$A$34:BM$34)+tipps!$A44,0))</f>
        <v/>
      </c>
      <c r="BO44" t="str">
        <f ca="1">IF($A44&gt;BO$34,"",OFFSET(Tippabgabe!$EF$177,SUM(tipps!$A$34:BN$34)+tipps!$A44,0))</f>
        <v/>
      </c>
      <c r="BP44" t="str">
        <f ca="1">IF($A44&gt;BP$34,"",OFFSET(Tippabgabe!$EF$177,SUM(tipps!$A$34:BO$34)+tipps!$A44,0))</f>
        <v/>
      </c>
      <c r="BQ44" t="str">
        <f ca="1">IF($A44&gt;BQ$34,"",OFFSET(Tippabgabe!$EF$177,SUM(tipps!$A$34:BP$34)+tipps!$A44,0))</f>
        <v/>
      </c>
      <c r="BR44" t="str">
        <f ca="1">IF($A44&gt;BR$34,"",OFFSET(Tippabgabe!$EF$177,SUM(tipps!$A$34:BQ$34)+tipps!$A44,0))</f>
        <v/>
      </c>
      <c r="BS44" t="str">
        <f ca="1">IF($A44&gt;BS$34,"",OFFSET(Tippabgabe!$EF$177,SUM(tipps!$A$34:BR$34)+tipps!$A44,0))</f>
        <v/>
      </c>
      <c r="BT44" t="str">
        <f ca="1">IF($A44&gt;BT$34,"",OFFSET(Tippabgabe!$EF$177,SUM(tipps!$A$34:BS$34)+tipps!$A44,0))</f>
        <v/>
      </c>
      <c r="BU44" t="str">
        <f ca="1">IF($A44&gt;BU$34,"",OFFSET(Tippabgabe!$EF$177,SUM(tipps!$A$34:BT$34)+tipps!$A44,0))</f>
        <v/>
      </c>
      <c r="BV44" t="str">
        <f ca="1">IF($A44&gt;BV$34,"",OFFSET(Tippabgabe!$EF$177,SUM(tipps!$A$34:BU$34)+tipps!$A44,0))</f>
        <v/>
      </c>
      <c r="BW44" t="str">
        <f ca="1">IF($A44&gt;BW$34,"",OFFSET(Tippabgabe!$EF$177,SUM(tipps!$A$34:BV$34)+tipps!$A44,0))</f>
        <v/>
      </c>
    </row>
    <row r="45" spans="1:77" x14ac:dyDescent="0.2">
      <c r="A45">
        <v>10</v>
      </c>
      <c r="B45" t="str">
        <f ca="1">IF($A45&gt;B$34,"",OFFSET(Tippabgabe!$EF$177,SUM(tipps!$A$34:A$34)+tipps!$A45,0))</f>
        <v/>
      </c>
      <c r="C45" t="str">
        <f ca="1">IF($A45&gt;C$34,"",OFFSET(Tippabgabe!$EF$177,SUM(tipps!$A$34:B$34)+tipps!$A45,0))</f>
        <v/>
      </c>
      <c r="D45" t="str">
        <f ca="1">IF($A45&gt;D$34,"",OFFSET(Tippabgabe!$EF$177,SUM(tipps!$A$34:C$34)+tipps!$A45,0))</f>
        <v/>
      </c>
      <c r="E45" t="str">
        <f ca="1">IF($A45&gt;E$34,"",OFFSET(Tippabgabe!$EF$177,SUM(tipps!$A$34:D$34)+tipps!$A45,0))</f>
        <v/>
      </c>
      <c r="F45" t="str">
        <f ca="1">IF($A45&gt;F$34,"",OFFSET(Tippabgabe!$EF$177,SUM(tipps!$A$34:E$34)+tipps!$A45,0))</f>
        <v/>
      </c>
      <c r="G45" t="str">
        <f ca="1">IF($A45&gt;G$34,"",OFFSET(Tippabgabe!$EF$177,SUM(tipps!$A$34:F$34)+tipps!$A45,0))</f>
        <v/>
      </c>
      <c r="H45" t="str">
        <f ca="1">IF($A45&gt;H$34,"",OFFSET(Tippabgabe!$EF$177,SUM(tipps!$A$34:G$34)+tipps!$A45,0))</f>
        <v/>
      </c>
      <c r="I45" t="str">
        <f ca="1">IF($A45&gt;I$34,"",OFFSET(Tippabgabe!$EF$177,SUM(tipps!$A$34:H$34)+tipps!$A45,0))</f>
        <v/>
      </c>
      <c r="J45" t="str">
        <f ca="1">IF($A45&gt;J$34,"",OFFSET(Tippabgabe!$EF$177,SUM(tipps!$A$34:I$34)+tipps!$A45,0))</f>
        <v/>
      </c>
      <c r="K45" t="str">
        <f ca="1">IF($A45&gt;K$34,"",OFFSET(Tippabgabe!$EF$177,SUM(tipps!$A$34:J$34)+tipps!$A45,0))</f>
        <v/>
      </c>
      <c r="L45" t="str">
        <f ca="1">IF($A45&gt;L$34,"",OFFSET(Tippabgabe!$EF$177,SUM(tipps!$A$34:K$34)+tipps!$A45,0))</f>
        <v/>
      </c>
      <c r="M45" t="str">
        <f ca="1">IF($A45&gt;M$34,"",OFFSET(Tippabgabe!$EF$177,SUM(tipps!$A$34:L$34)+tipps!$A45,0))</f>
        <v/>
      </c>
      <c r="N45" t="str">
        <f ca="1">IF($A45&gt;N$34,"",OFFSET(Tippabgabe!$EF$177,SUM(tipps!$A$34:M$34)+tipps!$A45,0))</f>
        <v/>
      </c>
      <c r="O45" t="str">
        <f ca="1">IF($A45&gt;O$34,"",OFFSET(Tippabgabe!$EF$177,SUM(tipps!$A$34:N$34)+tipps!$A45,0))</f>
        <v/>
      </c>
      <c r="P45" t="str">
        <f ca="1">IF($A45&gt;P$34,"",OFFSET(Tippabgabe!$EF$177,SUM(tipps!$A$34:O$34)+tipps!$A45,0))</f>
        <v/>
      </c>
      <c r="Q45" t="str">
        <f ca="1">IF($A45&gt;Q$34,"",OFFSET(Tippabgabe!$EF$177,SUM(tipps!$A$34:P$34)+tipps!$A45,0))</f>
        <v/>
      </c>
      <c r="R45" t="str">
        <f ca="1">IF($A45&gt;R$34,"",OFFSET(Tippabgabe!$EF$177,SUM(tipps!$A$34:Q$34)+tipps!$A45,0))</f>
        <v/>
      </c>
      <c r="S45" t="str">
        <f ca="1">IF($A45&gt;S$34,"",OFFSET(Tippabgabe!$EF$177,SUM(tipps!$A$34:R$34)+tipps!$A45,0))</f>
        <v/>
      </c>
      <c r="T45" t="str">
        <f ca="1">IF($A45&gt;T$34,"",OFFSET(Tippabgabe!$EF$177,SUM(tipps!$A$34:S$34)+tipps!$A45,0))</f>
        <v/>
      </c>
      <c r="U45" t="str">
        <f ca="1">IF($A45&gt;U$34,"",OFFSET(Tippabgabe!$EF$177,SUM(tipps!$A$34:T$34)+tipps!$A45,0))</f>
        <v/>
      </c>
      <c r="V45" t="str">
        <f ca="1">IF($A45&gt;V$34,"",OFFSET(Tippabgabe!$EF$177,SUM(tipps!$A$34:U$34)+tipps!$A45,0))</f>
        <v/>
      </c>
      <c r="W45" t="str">
        <f ca="1">IF($A45&gt;W$34,"",OFFSET(Tippabgabe!$EF$177,SUM(tipps!$A$34:V$34)+tipps!$A45,0))</f>
        <v/>
      </c>
      <c r="X45" t="str">
        <f ca="1">IF($A45&gt;X$34,"",OFFSET(Tippabgabe!$EF$177,SUM(tipps!$A$34:W$34)+tipps!$A45,0))</f>
        <v/>
      </c>
      <c r="Y45" t="str">
        <f ca="1">IF($A45&gt;Y$34,"",OFFSET(Tippabgabe!$EF$177,SUM(tipps!$A$34:X$34)+tipps!$A45,0))</f>
        <v/>
      </c>
      <c r="Z45" t="str">
        <f ca="1">IF($A45&gt;Z$34,"",OFFSET(Tippabgabe!$EF$177,SUM(tipps!$A$34:Y$34)+tipps!$A45,0))</f>
        <v/>
      </c>
      <c r="AA45" t="str">
        <f ca="1">IF($A45&gt;AA$34,"",OFFSET(Tippabgabe!$EF$177,SUM(tipps!$A$34:Z$34)+tipps!$A45,0))</f>
        <v/>
      </c>
      <c r="AB45" t="str">
        <f ca="1">IF($A45&gt;AB$34,"",OFFSET(Tippabgabe!$EF$177,SUM(tipps!$A$34:AA$34)+tipps!$A45,0))</f>
        <v/>
      </c>
      <c r="AC45" t="str">
        <f ca="1">IF($A45&gt;AC$34,"",OFFSET(Tippabgabe!$EF$177,SUM(tipps!$A$34:AB$34)+tipps!$A45,0))</f>
        <v/>
      </c>
      <c r="AD45" t="str">
        <f ca="1">IF($A45&gt;AD$34,"",OFFSET(Tippabgabe!$EF$177,SUM(tipps!$A$34:AC$34)+tipps!$A45,0))</f>
        <v/>
      </c>
      <c r="AE45" t="str">
        <f ca="1">IF($A45&gt;AE$34,"",OFFSET(Tippabgabe!$EF$177,SUM(tipps!$A$34:AD$34)+tipps!$A45,0))</f>
        <v/>
      </c>
      <c r="AF45" t="str">
        <f ca="1">IF($A45&gt;AF$34,"",OFFSET(Tippabgabe!$EF$177,SUM(tipps!$A$34:AE$34)+tipps!$A45,0))</f>
        <v/>
      </c>
      <c r="AG45" t="str">
        <f ca="1">IF($A45&gt;AG$34,"",OFFSET(Tippabgabe!$EF$177,SUM(tipps!$A$34:AF$34)+tipps!$A45,0))</f>
        <v/>
      </c>
      <c r="AH45" t="str">
        <f ca="1">IF($A45&gt;AH$34,"",OFFSET(Tippabgabe!$EF$177,SUM(tipps!$A$34:AG$34)+tipps!$A45,0))</f>
        <v/>
      </c>
      <c r="AI45" t="str">
        <f ca="1">IF($A45&gt;AI$34,"",OFFSET(Tippabgabe!$EF$177,SUM(tipps!$A$34:AH$34)+tipps!$A45,0))</f>
        <v/>
      </c>
      <c r="AJ45" t="str">
        <f ca="1">IF($A45&gt;AJ$34,"",OFFSET(Tippabgabe!$EF$177,SUM(tipps!$A$34:AI$34)+tipps!$A45,0))</f>
        <v/>
      </c>
      <c r="AK45" t="str">
        <f ca="1">IF($A45&gt;AK$34,"",OFFSET(Tippabgabe!$EF$177,SUM(tipps!$A$34:AJ$34)+tipps!$A45,0))</f>
        <v/>
      </c>
      <c r="AL45" t="str">
        <f ca="1">IF($A45&gt;AL$34,"",OFFSET(Tippabgabe!$EF$177,SUM(tipps!$A$34:AK$34)+tipps!$A45,0))</f>
        <v/>
      </c>
      <c r="AM45" t="str">
        <f ca="1">IF($A45&gt;AM$34,"",OFFSET(Tippabgabe!$EF$177,SUM(tipps!$A$34:AL$34)+tipps!$A45,0))</f>
        <v/>
      </c>
      <c r="AN45" t="str">
        <f ca="1">IF($A45&gt;AN$34,"",OFFSET(Tippabgabe!$EF$177,SUM(tipps!$A$34:AM$34)+tipps!$A45,0))</f>
        <v/>
      </c>
      <c r="AO45" t="str">
        <f ca="1">IF($A45&gt;AO$34,"",OFFSET(Tippabgabe!$EF$177,SUM(tipps!$A$34:AN$34)+tipps!$A45,0))</f>
        <v/>
      </c>
      <c r="AP45" t="str">
        <f ca="1">IF($A45&gt;AP$34,"",OFFSET(Tippabgabe!$EF$177,SUM(tipps!$A$34:AO$34)+tipps!$A45,0))</f>
        <v/>
      </c>
      <c r="AQ45" t="str">
        <f ca="1">IF($A45&gt;AQ$34,"",OFFSET(Tippabgabe!$EF$177,SUM(tipps!$A$34:AP$34)+tipps!$A45,0))</f>
        <v/>
      </c>
      <c r="AR45" t="str">
        <f ca="1">IF($A45&gt;AR$34,"",OFFSET(Tippabgabe!$EF$177,SUM(tipps!$A$34:AQ$34)+tipps!$A45,0))</f>
        <v/>
      </c>
      <c r="AS45" t="str">
        <f ca="1">IF($A45&gt;AS$34,"",OFFSET(Tippabgabe!$EF$177,SUM(tipps!$A$34:AR$34)+tipps!$A45,0))</f>
        <v/>
      </c>
      <c r="AT45" t="str">
        <f ca="1">IF($A45&gt;AT$34,"",OFFSET(Tippabgabe!$EF$177,SUM(tipps!$A$34:AS$34)+tipps!$A45,0))</f>
        <v/>
      </c>
      <c r="AU45" t="str">
        <f ca="1">IF($A45&gt;AU$34,"",OFFSET(Tippabgabe!$EF$177,SUM(tipps!$A$34:AT$34)+tipps!$A45,0))</f>
        <v/>
      </c>
      <c r="AV45" t="str">
        <f ca="1">IF($A45&gt;AV$34,"",OFFSET(Tippabgabe!$EF$177,SUM(tipps!$A$34:AU$34)+tipps!$A45,0))</f>
        <v/>
      </c>
      <c r="AW45" t="str">
        <f ca="1">IF($A45&gt;AW$34,"",OFFSET(Tippabgabe!$EF$177,SUM(tipps!$A$34:AV$34)+tipps!$A45,0))</f>
        <v/>
      </c>
      <c r="AX45" t="str">
        <f ca="1">IF($A45&gt;AX$34,"",OFFSET(Tippabgabe!$EF$177,SUM(tipps!$A$34:AW$34)+tipps!$A45,0))</f>
        <v/>
      </c>
      <c r="AY45" t="str">
        <f ca="1">IF($A45&gt;AY$34,"",OFFSET(Tippabgabe!$EF$177,SUM(tipps!$A$34:AX$34)+tipps!$A45,0))</f>
        <v/>
      </c>
      <c r="AZ45" t="str">
        <f ca="1">IF($A45&gt;AZ$34,"",OFFSET(Tippabgabe!$EF$177,SUM(tipps!$A$34:AY$34)+tipps!$A45,0))</f>
        <v/>
      </c>
      <c r="BA45" t="str">
        <f ca="1">IF($A45&gt;BA$34,"",OFFSET(Tippabgabe!$EF$177,SUM(tipps!$A$34:AZ$34)+tipps!$A45,0))</f>
        <v/>
      </c>
      <c r="BB45" t="str">
        <f ca="1">IF($A45&gt;BB$34,"",OFFSET(Tippabgabe!$EF$177,SUM(tipps!$A$34:BA$34)+tipps!$A45,0))</f>
        <v/>
      </c>
      <c r="BC45" t="str">
        <f ca="1">IF($A45&gt;BC$34,"",OFFSET(Tippabgabe!$EF$177,SUM(tipps!$A$34:BB$34)+tipps!$A45,0))</f>
        <v/>
      </c>
      <c r="BD45" t="str">
        <f ca="1">IF($A45&gt;BD$34,"",OFFSET(Tippabgabe!$EF$177,SUM(tipps!$A$34:BC$34)+tipps!$A45,0))</f>
        <v/>
      </c>
      <c r="BE45" t="str">
        <f ca="1">IF($A45&gt;BE$34,"",OFFSET(Tippabgabe!$EF$177,SUM(tipps!$A$34:BD$34)+tipps!$A45,0))</f>
        <v/>
      </c>
      <c r="BF45" t="str">
        <f ca="1">IF($A45&gt;BF$34,"",OFFSET(Tippabgabe!$EF$177,SUM(tipps!$A$34:BE$34)+tipps!$A45,0))</f>
        <v/>
      </c>
      <c r="BG45" t="str">
        <f ca="1">IF($A45&gt;BG$34,"",OFFSET(Tippabgabe!$EF$177,SUM(tipps!$A$34:BF$34)+tipps!$A45,0))</f>
        <v/>
      </c>
      <c r="BH45" t="str">
        <f ca="1">IF($A45&gt;BH$34,"",OFFSET(Tippabgabe!$EF$177,SUM(tipps!$A$34:BG$34)+tipps!$A45,0))</f>
        <v/>
      </c>
      <c r="BI45" t="str">
        <f ca="1">IF($A45&gt;BI$34,"",OFFSET(Tippabgabe!$EF$177,SUM(tipps!$A$34:BH$34)+tipps!$A45,0))</f>
        <v/>
      </c>
      <c r="BJ45" t="str">
        <f ca="1">IF($A45&gt;BJ$34,"",OFFSET(Tippabgabe!$EF$177,SUM(tipps!$A$34:BI$34)+tipps!$A45,0))</f>
        <v/>
      </c>
      <c r="BK45" t="str">
        <f ca="1">IF($A45&gt;BK$34,"",OFFSET(Tippabgabe!$EF$177,SUM(tipps!$A$34:BJ$34)+tipps!$A45,0))</f>
        <v/>
      </c>
      <c r="BL45" t="str">
        <f ca="1">IF($A45&gt;BL$34,"",OFFSET(Tippabgabe!$EF$177,SUM(tipps!$A$34:BK$34)+tipps!$A45,0))</f>
        <v/>
      </c>
      <c r="BM45" t="str">
        <f ca="1">IF($A45&gt;BM$34,"",OFFSET(Tippabgabe!$EF$177,SUM(tipps!$A$34:BL$34)+tipps!$A45,0))</f>
        <v/>
      </c>
      <c r="BN45" t="str">
        <f ca="1">IF($A45&gt;BN$34,"",OFFSET(Tippabgabe!$EF$177,SUM(tipps!$A$34:BM$34)+tipps!$A45,0))</f>
        <v/>
      </c>
      <c r="BO45" t="str">
        <f ca="1">IF($A45&gt;BO$34,"",OFFSET(Tippabgabe!$EF$177,SUM(tipps!$A$34:BN$34)+tipps!$A45,0))</f>
        <v/>
      </c>
      <c r="BP45" t="str">
        <f ca="1">IF($A45&gt;BP$34,"",OFFSET(Tippabgabe!$EF$177,SUM(tipps!$A$34:BO$34)+tipps!$A45,0))</f>
        <v/>
      </c>
      <c r="BQ45" t="str">
        <f ca="1">IF($A45&gt;BQ$34,"",OFFSET(Tippabgabe!$EF$177,SUM(tipps!$A$34:BP$34)+tipps!$A45,0))</f>
        <v/>
      </c>
      <c r="BR45" t="str">
        <f ca="1">IF($A45&gt;BR$34,"",OFFSET(Tippabgabe!$EF$177,SUM(tipps!$A$34:BQ$34)+tipps!$A45,0))</f>
        <v/>
      </c>
      <c r="BS45" t="str">
        <f ca="1">IF($A45&gt;BS$34,"",OFFSET(Tippabgabe!$EF$177,SUM(tipps!$A$34:BR$34)+tipps!$A45,0))</f>
        <v/>
      </c>
      <c r="BT45" t="str">
        <f ca="1">IF($A45&gt;BT$34,"",OFFSET(Tippabgabe!$EF$177,SUM(tipps!$A$34:BS$34)+tipps!$A45,0))</f>
        <v/>
      </c>
      <c r="BU45" t="str">
        <f ca="1">IF($A45&gt;BU$34,"",OFFSET(Tippabgabe!$EF$177,SUM(tipps!$A$34:BT$34)+tipps!$A45,0))</f>
        <v/>
      </c>
      <c r="BV45" t="str">
        <f ca="1">IF($A45&gt;BV$34,"",OFFSET(Tippabgabe!$EF$177,SUM(tipps!$A$34:BU$34)+tipps!$A45,0))</f>
        <v/>
      </c>
      <c r="BW45" t="str">
        <f ca="1">IF($A45&gt;BW$34,"",OFFSET(Tippabgabe!$EF$177,SUM(tipps!$A$34:BV$34)+tipps!$A45,0))</f>
        <v/>
      </c>
    </row>
    <row r="46" spans="1:77" x14ac:dyDescent="0.2">
      <c r="A46">
        <v>11</v>
      </c>
      <c r="B46" t="str">
        <f ca="1">IF($A46&gt;B$34,"",OFFSET(Tippabgabe!$EF$177,SUM(tipps!$A$34:A$34)+tipps!$A46,0))</f>
        <v/>
      </c>
      <c r="C46" t="str">
        <f ca="1">IF($A46&gt;C$34,"",OFFSET(Tippabgabe!$EF$177,SUM(tipps!$A$34:B$34)+tipps!$A46,0))</f>
        <v/>
      </c>
      <c r="D46" t="str">
        <f ca="1">IF($A46&gt;D$34,"",OFFSET(Tippabgabe!$EF$177,SUM(tipps!$A$34:C$34)+tipps!$A46,0))</f>
        <v/>
      </c>
      <c r="E46" t="str">
        <f ca="1">IF($A46&gt;E$34,"",OFFSET(Tippabgabe!$EF$177,SUM(tipps!$A$34:D$34)+tipps!$A46,0))</f>
        <v/>
      </c>
      <c r="F46" t="str">
        <f ca="1">IF($A46&gt;F$34,"",OFFSET(Tippabgabe!$EF$177,SUM(tipps!$A$34:E$34)+tipps!$A46,0))</f>
        <v/>
      </c>
      <c r="G46" t="str">
        <f ca="1">IF($A46&gt;G$34,"",OFFSET(Tippabgabe!$EF$177,SUM(tipps!$A$34:F$34)+tipps!$A46,0))</f>
        <v/>
      </c>
      <c r="H46" t="str">
        <f ca="1">IF($A46&gt;H$34,"",OFFSET(Tippabgabe!$EF$177,SUM(tipps!$A$34:G$34)+tipps!$A46,0))</f>
        <v/>
      </c>
      <c r="I46" t="str">
        <f ca="1">IF($A46&gt;I$34,"",OFFSET(Tippabgabe!$EF$177,SUM(tipps!$A$34:H$34)+tipps!$A46,0))</f>
        <v/>
      </c>
      <c r="J46" t="str">
        <f ca="1">IF($A46&gt;J$34,"",OFFSET(Tippabgabe!$EF$177,SUM(tipps!$A$34:I$34)+tipps!$A46,0))</f>
        <v/>
      </c>
      <c r="K46" t="str">
        <f ca="1">IF($A46&gt;K$34,"",OFFSET(Tippabgabe!$EF$177,SUM(tipps!$A$34:J$34)+tipps!$A46,0))</f>
        <v/>
      </c>
      <c r="L46" t="str">
        <f ca="1">IF($A46&gt;L$34,"",OFFSET(Tippabgabe!$EF$177,SUM(tipps!$A$34:K$34)+tipps!$A46,0))</f>
        <v/>
      </c>
      <c r="M46" t="str">
        <f ca="1">IF($A46&gt;M$34,"",OFFSET(Tippabgabe!$EF$177,SUM(tipps!$A$34:L$34)+tipps!$A46,0))</f>
        <v/>
      </c>
      <c r="N46" t="str">
        <f ca="1">IF($A46&gt;N$34,"",OFFSET(Tippabgabe!$EF$177,SUM(tipps!$A$34:M$34)+tipps!$A46,0))</f>
        <v/>
      </c>
      <c r="O46" t="str">
        <f ca="1">IF($A46&gt;O$34,"",OFFSET(Tippabgabe!$EF$177,SUM(tipps!$A$34:N$34)+tipps!$A46,0))</f>
        <v/>
      </c>
      <c r="P46" t="str">
        <f ca="1">IF($A46&gt;P$34,"",OFFSET(Tippabgabe!$EF$177,SUM(tipps!$A$34:O$34)+tipps!$A46,0))</f>
        <v/>
      </c>
      <c r="Q46" t="str">
        <f ca="1">IF($A46&gt;Q$34,"",OFFSET(Tippabgabe!$EF$177,SUM(tipps!$A$34:P$34)+tipps!$A46,0))</f>
        <v/>
      </c>
      <c r="R46" t="str">
        <f ca="1">IF($A46&gt;R$34,"",OFFSET(Tippabgabe!$EF$177,SUM(tipps!$A$34:Q$34)+tipps!$A46,0))</f>
        <v/>
      </c>
      <c r="S46" t="str">
        <f ca="1">IF($A46&gt;S$34,"",OFFSET(Tippabgabe!$EF$177,SUM(tipps!$A$34:R$34)+tipps!$A46,0))</f>
        <v/>
      </c>
      <c r="T46" t="str">
        <f ca="1">IF($A46&gt;T$34,"",OFFSET(Tippabgabe!$EF$177,SUM(tipps!$A$34:S$34)+tipps!$A46,0))</f>
        <v/>
      </c>
      <c r="U46" t="str">
        <f ca="1">IF($A46&gt;U$34,"",OFFSET(Tippabgabe!$EF$177,SUM(tipps!$A$34:T$34)+tipps!$A46,0))</f>
        <v/>
      </c>
      <c r="V46" t="str">
        <f ca="1">IF($A46&gt;V$34,"",OFFSET(Tippabgabe!$EF$177,SUM(tipps!$A$34:U$34)+tipps!$A46,0))</f>
        <v/>
      </c>
      <c r="W46" t="str">
        <f ca="1">IF($A46&gt;W$34,"",OFFSET(Tippabgabe!$EF$177,SUM(tipps!$A$34:V$34)+tipps!$A46,0))</f>
        <v/>
      </c>
      <c r="X46" t="str">
        <f ca="1">IF($A46&gt;X$34,"",OFFSET(Tippabgabe!$EF$177,SUM(tipps!$A$34:W$34)+tipps!$A46,0))</f>
        <v/>
      </c>
      <c r="Y46" t="str">
        <f ca="1">IF($A46&gt;Y$34,"",OFFSET(Tippabgabe!$EF$177,SUM(tipps!$A$34:X$34)+tipps!$A46,0))</f>
        <v/>
      </c>
      <c r="Z46" t="str">
        <f ca="1">IF($A46&gt;Z$34,"",OFFSET(Tippabgabe!$EF$177,SUM(tipps!$A$34:Y$34)+tipps!$A46,0))</f>
        <v/>
      </c>
      <c r="AA46" t="str">
        <f ca="1">IF($A46&gt;AA$34,"",OFFSET(Tippabgabe!$EF$177,SUM(tipps!$A$34:Z$34)+tipps!$A46,0))</f>
        <v/>
      </c>
      <c r="AB46" t="str">
        <f ca="1">IF($A46&gt;AB$34,"",OFFSET(Tippabgabe!$EF$177,SUM(tipps!$A$34:AA$34)+tipps!$A46,0))</f>
        <v/>
      </c>
      <c r="AC46" t="str">
        <f ca="1">IF($A46&gt;AC$34,"",OFFSET(Tippabgabe!$EF$177,SUM(tipps!$A$34:AB$34)+tipps!$A46,0))</f>
        <v/>
      </c>
      <c r="AD46" t="str">
        <f ca="1">IF($A46&gt;AD$34,"",OFFSET(Tippabgabe!$EF$177,SUM(tipps!$A$34:AC$34)+tipps!$A46,0))</f>
        <v/>
      </c>
      <c r="AE46" t="str">
        <f ca="1">IF($A46&gt;AE$34,"",OFFSET(Tippabgabe!$EF$177,SUM(tipps!$A$34:AD$34)+tipps!$A46,0))</f>
        <v/>
      </c>
      <c r="AF46" t="str">
        <f ca="1">IF($A46&gt;AF$34,"",OFFSET(Tippabgabe!$EF$177,SUM(tipps!$A$34:AE$34)+tipps!$A46,0))</f>
        <v/>
      </c>
      <c r="AG46" t="str">
        <f ca="1">IF($A46&gt;AG$34,"",OFFSET(Tippabgabe!$EF$177,SUM(tipps!$A$34:AF$34)+tipps!$A46,0))</f>
        <v/>
      </c>
      <c r="AH46" t="str">
        <f ca="1">IF($A46&gt;AH$34,"",OFFSET(Tippabgabe!$EF$177,SUM(tipps!$A$34:AG$34)+tipps!$A46,0))</f>
        <v/>
      </c>
      <c r="AI46" t="str">
        <f ca="1">IF($A46&gt;AI$34,"",OFFSET(Tippabgabe!$EF$177,SUM(tipps!$A$34:AH$34)+tipps!$A46,0))</f>
        <v/>
      </c>
      <c r="AJ46" t="str">
        <f ca="1">IF($A46&gt;AJ$34,"",OFFSET(Tippabgabe!$EF$177,SUM(tipps!$A$34:AI$34)+tipps!$A46,0))</f>
        <v/>
      </c>
      <c r="AK46" t="str">
        <f ca="1">IF($A46&gt;AK$34,"",OFFSET(Tippabgabe!$EF$177,SUM(tipps!$A$34:AJ$34)+tipps!$A46,0))</f>
        <v/>
      </c>
      <c r="AL46" t="str">
        <f ca="1">IF($A46&gt;AL$34,"",OFFSET(Tippabgabe!$EF$177,SUM(tipps!$A$34:AK$34)+tipps!$A46,0))</f>
        <v/>
      </c>
      <c r="AM46" t="str">
        <f ca="1">IF($A46&gt;AM$34,"",OFFSET(Tippabgabe!$EF$177,SUM(tipps!$A$34:AL$34)+tipps!$A46,0))</f>
        <v/>
      </c>
      <c r="AN46" t="str">
        <f ca="1">IF($A46&gt;AN$34,"",OFFSET(Tippabgabe!$EF$177,SUM(tipps!$A$34:AM$34)+tipps!$A46,0))</f>
        <v/>
      </c>
      <c r="AO46" t="str">
        <f ca="1">IF($A46&gt;AO$34,"",OFFSET(Tippabgabe!$EF$177,SUM(tipps!$A$34:AN$34)+tipps!$A46,0))</f>
        <v/>
      </c>
      <c r="AP46" t="str">
        <f ca="1">IF($A46&gt;AP$34,"",OFFSET(Tippabgabe!$EF$177,SUM(tipps!$A$34:AO$34)+tipps!$A46,0))</f>
        <v/>
      </c>
      <c r="AQ46" t="str">
        <f ca="1">IF($A46&gt;AQ$34,"",OFFSET(Tippabgabe!$EF$177,SUM(tipps!$A$34:AP$34)+tipps!$A46,0))</f>
        <v/>
      </c>
      <c r="AR46" t="str">
        <f ca="1">IF($A46&gt;AR$34,"",OFFSET(Tippabgabe!$EF$177,SUM(tipps!$A$34:AQ$34)+tipps!$A46,0))</f>
        <v/>
      </c>
      <c r="AS46" t="str">
        <f ca="1">IF($A46&gt;AS$34,"",OFFSET(Tippabgabe!$EF$177,SUM(tipps!$A$34:AR$34)+tipps!$A46,0))</f>
        <v/>
      </c>
      <c r="AT46" t="str">
        <f ca="1">IF($A46&gt;AT$34,"",OFFSET(Tippabgabe!$EF$177,SUM(tipps!$A$34:AS$34)+tipps!$A46,0))</f>
        <v/>
      </c>
      <c r="AU46" t="str">
        <f ca="1">IF($A46&gt;AU$34,"",OFFSET(Tippabgabe!$EF$177,SUM(tipps!$A$34:AT$34)+tipps!$A46,0))</f>
        <v/>
      </c>
      <c r="AV46" t="str">
        <f ca="1">IF($A46&gt;AV$34,"",OFFSET(Tippabgabe!$EF$177,SUM(tipps!$A$34:AU$34)+tipps!$A46,0))</f>
        <v/>
      </c>
      <c r="AW46" t="str">
        <f ca="1">IF($A46&gt;AW$34,"",OFFSET(Tippabgabe!$EF$177,SUM(tipps!$A$34:AV$34)+tipps!$A46,0))</f>
        <v/>
      </c>
      <c r="AX46" t="str">
        <f ca="1">IF($A46&gt;AX$34,"",OFFSET(Tippabgabe!$EF$177,SUM(tipps!$A$34:AW$34)+tipps!$A46,0))</f>
        <v/>
      </c>
      <c r="AY46" t="str">
        <f ca="1">IF($A46&gt;AY$34,"",OFFSET(Tippabgabe!$EF$177,SUM(tipps!$A$34:AX$34)+tipps!$A46,0))</f>
        <v/>
      </c>
      <c r="AZ46" t="str">
        <f ca="1">IF($A46&gt;AZ$34,"",OFFSET(Tippabgabe!$EF$177,SUM(tipps!$A$34:AY$34)+tipps!$A46,0))</f>
        <v/>
      </c>
      <c r="BA46" t="str">
        <f ca="1">IF($A46&gt;BA$34,"",OFFSET(Tippabgabe!$EF$177,SUM(tipps!$A$34:AZ$34)+tipps!$A46,0))</f>
        <v/>
      </c>
      <c r="BB46" t="str">
        <f ca="1">IF($A46&gt;BB$34,"",OFFSET(Tippabgabe!$EF$177,SUM(tipps!$A$34:BA$34)+tipps!$A46,0))</f>
        <v/>
      </c>
      <c r="BC46" t="str">
        <f ca="1">IF($A46&gt;BC$34,"",OFFSET(Tippabgabe!$EF$177,SUM(tipps!$A$34:BB$34)+tipps!$A46,0))</f>
        <v/>
      </c>
      <c r="BD46" t="str">
        <f ca="1">IF($A46&gt;BD$34,"",OFFSET(Tippabgabe!$EF$177,SUM(tipps!$A$34:BC$34)+tipps!$A46,0))</f>
        <v/>
      </c>
      <c r="BE46" t="str">
        <f ca="1">IF($A46&gt;BE$34,"",OFFSET(Tippabgabe!$EF$177,SUM(tipps!$A$34:BD$34)+tipps!$A46,0))</f>
        <v/>
      </c>
      <c r="BF46" t="str">
        <f ca="1">IF($A46&gt;BF$34,"",OFFSET(Tippabgabe!$EF$177,SUM(tipps!$A$34:BE$34)+tipps!$A46,0))</f>
        <v/>
      </c>
      <c r="BG46" t="str">
        <f ca="1">IF($A46&gt;BG$34,"",OFFSET(Tippabgabe!$EF$177,SUM(tipps!$A$34:BF$34)+tipps!$A46,0))</f>
        <v/>
      </c>
      <c r="BH46" t="str">
        <f ca="1">IF($A46&gt;BH$34,"",OFFSET(Tippabgabe!$EF$177,SUM(tipps!$A$34:BG$34)+tipps!$A46,0))</f>
        <v/>
      </c>
      <c r="BI46" t="str">
        <f ca="1">IF($A46&gt;BI$34,"",OFFSET(Tippabgabe!$EF$177,SUM(tipps!$A$34:BH$34)+tipps!$A46,0))</f>
        <v/>
      </c>
      <c r="BJ46" t="str">
        <f ca="1">IF($A46&gt;BJ$34,"",OFFSET(Tippabgabe!$EF$177,SUM(tipps!$A$34:BI$34)+tipps!$A46,0))</f>
        <v/>
      </c>
      <c r="BK46" t="str">
        <f ca="1">IF($A46&gt;BK$34,"",OFFSET(Tippabgabe!$EF$177,SUM(tipps!$A$34:BJ$34)+tipps!$A46,0))</f>
        <v/>
      </c>
      <c r="BL46" t="str">
        <f ca="1">IF($A46&gt;BL$34,"",OFFSET(Tippabgabe!$EF$177,SUM(tipps!$A$34:BK$34)+tipps!$A46,0))</f>
        <v/>
      </c>
      <c r="BM46" t="str">
        <f ca="1">IF($A46&gt;BM$34,"",OFFSET(Tippabgabe!$EF$177,SUM(tipps!$A$34:BL$34)+tipps!$A46,0))</f>
        <v/>
      </c>
      <c r="BN46" t="str">
        <f ca="1">IF($A46&gt;BN$34,"",OFFSET(Tippabgabe!$EF$177,SUM(tipps!$A$34:BM$34)+tipps!$A46,0))</f>
        <v/>
      </c>
      <c r="BO46" t="str">
        <f ca="1">IF($A46&gt;BO$34,"",OFFSET(Tippabgabe!$EF$177,SUM(tipps!$A$34:BN$34)+tipps!$A46,0))</f>
        <v/>
      </c>
      <c r="BP46" t="str">
        <f ca="1">IF($A46&gt;BP$34,"",OFFSET(Tippabgabe!$EF$177,SUM(tipps!$A$34:BO$34)+tipps!$A46,0))</f>
        <v/>
      </c>
      <c r="BQ46" t="str">
        <f ca="1">IF($A46&gt;BQ$34,"",OFFSET(Tippabgabe!$EF$177,SUM(tipps!$A$34:BP$34)+tipps!$A46,0))</f>
        <v/>
      </c>
      <c r="BR46" t="str">
        <f ca="1">IF($A46&gt;BR$34,"",OFFSET(Tippabgabe!$EF$177,SUM(tipps!$A$34:BQ$34)+tipps!$A46,0))</f>
        <v/>
      </c>
      <c r="BS46" t="str">
        <f ca="1">IF($A46&gt;BS$34,"",OFFSET(Tippabgabe!$EF$177,SUM(tipps!$A$34:BR$34)+tipps!$A46,0))</f>
        <v/>
      </c>
      <c r="BT46" t="str">
        <f ca="1">IF($A46&gt;BT$34,"",OFFSET(Tippabgabe!$EF$177,SUM(tipps!$A$34:BS$34)+tipps!$A46,0))</f>
        <v/>
      </c>
      <c r="BU46" t="str">
        <f ca="1">IF($A46&gt;BU$34,"",OFFSET(Tippabgabe!$EF$177,SUM(tipps!$A$34:BT$34)+tipps!$A46,0))</f>
        <v/>
      </c>
      <c r="BV46" t="str">
        <f ca="1">IF($A46&gt;BV$34,"",OFFSET(Tippabgabe!$EF$177,SUM(tipps!$A$34:BU$34)+tipps!$A46,0))</f>
        <v/>
      </c>
      <c r="BW46" t="str">
        <f ca="1">IF($A46&gt;BW$34,"",OFFSET(Tippabgabe!$EF$177,SUM(tipps!$A$34:BV$34)+tipps!$A46,0))</f>
        <v/>
      </c>
    </row>
    <row r="47" spans="1:77" x14ac:dyDescent="0.2">
      <c r="A47">
        <v>12</v>
      </c>
      <c r="B47" t="str">
        <f ca="1">IF($A47&gt;B$34,"",OFFSET(Tippabgabe!$EF$177,SUM(tipps!$A$34:A$34)+tipps!$A47,0))</f>
        <v/>
      </c>
      <c r="C47" t="str">
        <f ca="1">IF($A47&gt;C$34,"",OFFSET(Tippabgabe!$EF$177,SUM(tipps!$A$34:B$34)+tipps!$A47,0))</f>
        <v/>
      </c>
      <c r="D47" t="str">
        <f ca="1">IF($A47&gt;D$34,"",OFFSET(Tippabgabe!$EF$177,SUM(tipps!$A$34:C$34)+tipps!$A47,0))</f>
        <v/>
      </c>
      <c r="E47" t="str">
        <f ca="1">IF($A47&gt;E$34,"",OFFSET(Tippabgabe!$EF$177,SUM(tipps!$A$34:D$34)+tipps!$A47,0))</f>
        <v/>
      </c>
      <c r="F47" t="str">
        <f ca="1">IF($A47&gt;F$34,"",OFFSET(Tippabgabe!$EF$177,SUM(tipps!$A$34:E$34)+tipps!$A47,0))</f>
        <v/>
      </c>
      <c r="G47" t="str">
        <f ca="1">IF($A47&gt;G$34,"",OFFSET(Tippabgabe!$EF$177,SUM(tipps!$A$34:F$34)+tipps!$A47,0))</f>
        <v/>
      </c>
      <c r="H47" t="str">
        <f ca="1">IF($A47&gt;H$34,"",OFFSET(Tippabgabe!$EF$177,SUM(tipps!$A$34:G$34)+tipps!$A47,0))</f>
        <v/>
      </c>
      <c r="I47" t="str">
        <f ca="1">IF($A47&gt;I$34,"",OFFSET(Tippabgabe!$EF$177,SUM(tipps!$A$34:H$34)+tipps!$A47,0))</f>
        <v/>
      </c>
      <c r="J47" t="str">
        <f ca="1">IF($A47&gt;J$34,"",OFFSET(Tippabgabe!$EF$177,SUM(tipps!$A$34:I$34)+tipps!$A47,0))</f>
        <v/>
      </c>
      <c r="K47" t="str">
        <f ca="1">IF($A47&gt;K$34,"",OFFSET(Tippabgabe!$EF$177,SUM(tipps!$A$34:J$34)+tipps!$A47,0))</f>
        <v/>
      </c>
      <c r="L47" t="str">
        <f ca="1">IF($A47&gt;L$34,"",OFFSET(Tippabgabe!$EF$177,SUM(tipps!$A$34:K$34)+tipps!$A47,0))</f>
        <v/>
      </c>
      <c r="M47" t="str">
        <f ca="1">IF($A47&gt;M$34,"",OFFSET(Tippabgabe!$EF$177,SUM(tipps!$A$34:L$34)+tipps!$A47,0))</f>
        <v/>
      </c>
      <c r="N47" t="str">
        <f ca="1">IF($A47&gt;N$34,"",OFFSET(Tippabgabe!$EF$177,SUM(tipps!$A$34:M$34)+tipps!$A47,0))</f>
        <v/>
      </c>
      <c r="O47" t="str">
        <f ca="1">IF($A47&gt;O$34,"",OFFSET(Tippabgabe!$EF$177,SUM(tipps!$A$34:N$34)+tipps!$A47,0))</f>
        <v/>
      </c>
      <c r="P47" t="str">
        <f ca="1">IF($A47&gt;P$34,"",OFFSET(Tippabgabe!$EF$177,SUM(tipps!$A$34:O$34)+tipps!$A47,0))</f>
        <v/>
      </c>
      <c r="Q47" t="str">
        <f ca="1">IF($A47&gt;Q$34,"",OFFSET(Tippabgabe!$EF$177,SUM(tipps!$A$34:P$34)+tipps!$A47,0))</f>
        <v/>
      </c>
      <c r="R47" t="str">
        <f ca="1">IF($A47&gt;R$34,"",OFFSET(Tippabgabe!$EF$177,SUM(tipps!$A$34:Q$34)+tipps!$A47,0))</f>
        <v/>
      </c>
      <c r="S47" t="str">
        <f ca="1">IF($A47&gt;S$34,"",OFFSET(Tippabgabe!$EF$177,SUM(tipps!$A$34:R$34)+tipps!$A47,0))</f>
        <v/>
      </c>
      <c r="T47" t="str">
        <f ca="1">IF($A47&gt;T$34,"",OFFSET(Tippabgabe!$EF$177,SUM(tipps!$A$34:S$34)+tipps!$A47,0))</f>
        <v/>
      </c>
      <c r="U47" t="str">
        <f ca="1">IF($A47&gt;U$34,"",OFFSET(Tippabgabe!$EF$177,SUM(tipps!$A$34:T$34)+tipps!$A47,0))</f>
        <v/>
      </c>
      <c r="V47" t="str">
        <f ca="1">IF($A47&gt;V$34,"",OFFSET(Tippabgabe!$EF$177,SUM(tipps!$A$34:U$34)+tipps!$A47,0))</f>
        <v/>
      </c>
      <c r="W47" t="str">
        <f ca="1">IF($A47&gt;W$34,"",OFFSET(Tippabgabe!$EF$177,SUM(tipps!$A$34:V$34)+tipps!$A47,0))</f>
        <v/>
      </c>
      <c r="X47" t="str">
        <f ca="1">IF($A47&gt;X$34,"",OFFSET(Tippabgabe!$EF$177,SUM(tipps!$A$34:W$34)+tipps!$A47,0))</f>
        <v/>
      </c>
      <c r="Y47" t="str">
        <f ca="1">IF($A47&gt;Y$34,"",OFFSET(Tippabgabe!$EF$177,SUM(tipps!$A$34:X$34)+tipps!$A47,0))</f>
        <v/>
      </c>
      <c r="Z47" t="str">
        <f ca="1">IF($A47&gt;Z$34,"",OFFSET(Tippabgabe!$EF$177,SUM(tipps!$A$34:Y$34)+tipps!$A47,0))</f>
        <v/>
      </c>
      <c r="AA47" t="str">
        <f ca="1">IF($A47&gt;AA$34,"",OFFSET(Tippabgabe!$EF$177,SUM(tipps!$A$34:Z$34)+tipps!$A47,0))</f>
        <v/>
      </c>
      <c r="AB47" t="str">
        <f ca="1">IF($A47&gt;AB$34,"",OFFSET(Tippabgabe!$EF$177,SUM(tipps!$A$34:AA$34)+tipps!$A47,0))</f>
        <v/>
      </c>
      <c r="AC47" t="str">
        <f ca="1">IF($A47&gt;AC$34,"",OFFSET(Tippabgabe!$EF$177,SUM(tipps!$A$34:AB$34)+tipps!$A47,0))</f>
        <v/>
      </c>
      <c r="AD47" t="str">
        <f ca="1">IF($A47&gt;AD$34,"",OFFSET(Tippabgabe!$EF$177,SUM(tipps!$A$34:AC$34)+tipps!$A47,0))</f>
        <v/>
      </c>
      <c r="AE47" t="str">
        <f ca="1">IF($A47&gt;AE$34,"",OFFSET(Tippabgabe!$EF$177,SUM(tipps!$A$34:AD$34)+tipps!$A47,0))</f>
        <v/>
      </c>
      <c r="AF47" t="str">
        <f ca="1">IF($A47&gt;AF$34,"",OFFSET(Tippabgabe!$EF$177,SUM(tipps!$A$34:AE$34)+tipps!$A47,0))</f>
        <v/>
      </c>
      <c r="AG47" t="str">
        <f ca="1">IF($A47&gt;AG$34,"",OFFSET(Tippabgabe!$EF$177,SUM(tipps!$A$34:AF$34)+tipps!$A47,0))</f>
        <v/>
      </c>
      <c r="AH47" t="str">
        <f ca="1">IF($A47&gt;AH$34,"",OFFSET(Tippabgabe!$EF$177,SUM(tipps!$A$34:AG$34)+tipps!$A47,0))</f>
        <v/>
      </c>
      <c r="AI47" t="str">
        <f ca="1">IF($A47&gt;AI$34,"",OFFSET(Tippabgabe!$EF$177,SUM(tipps!$A$34:AH$34)+tipps!$A47,0))</f>
        <v/>
      </c>
      <c r="AJ47" t="str">
        <f ca="1">IF($A47&gt;AJ$34,"",OFFSET(Tippabgabe!$EF$177,SUM(tipps!$A$34:AI$34)+tipps!$A47,0))</f>
        <v/>
      </c>
      <c r="AK47" t="str">
        <f ca="1">IF($A47&gt;AK$34,"",OFFSET(Tippabgabe!$EF$177,SUM(tipps!$A$34:AJ$34)+tipps!$A47,0))</f>
        <v/>
      </c>
      <c r="AL47" t="str">
        <f ca="1">IF($A47&gt;AL$34,"",OFFSET(Tippabgabe!$EF$177,SUM(tipps!$A$34:AK$34)+tipps!$A47,0))</f>
        <v/>
      </c>
      <c r="AM47" t="str">
        <f ca="1">IF($A47&gt;AM$34,"",OFFSET(Tippabgabe!$EF$177,SUM(tipps!$A$34:AL$34)+tipps!$A47,0))</f>
        <v/>
      </c>
      <c r="AN47" t="str">
        <f ca="1">IF($A47&gt;AN$34,"",OFFSET(Tippabgabe!$EF$177,SUM(tipps!$A$34:AM$34)+tipps!$A47,0))</f>
        <v/>
      </c>
      <c r="AO47" t="str">
        <f ca="1">IF($A47&gt;AO$34,"",OFFSET(Tippabgabe!$EF$177,SUM(tipps!$A$34:AN$34)+tipps!$A47,0))</f>
        <v/>
      </c>
      <c r="AP47" t="str">
        <f ca="1">IF($A47&gt;AP$34,"",OFFSET(Tippabgabe!$EF$177,SUM(tipps!$A$34:AO$34)+tipps!$A47,0))</f>
        <v/>
      </c>
      <c r="AQ47" t="str">
        <f ca="1">IF($A47&gt;AQ$34,"",OFFSET(Tippabgabe!$EF$177,SUM(tipps!$A$34:AP$34)+tipps!$A47,0))</f>
        <v/>
      </c>
      <c r="AR47" t="str">
        <f ca="1">IF($A47&gt;AR$34,"",OFFSET(Tippabgabe!$EF$177,SUM(tipps!$A$34:AQ$34)+tipps!$A47,0))</f>
        <v/>
      </c>
      <c r="AS47" t="str">
        <f ca="1">IF($A47&gt;AS$34,"",OFFSET(Tippabgabe!$EF$177,SUM(tipps!$A$34:AR$34)+tipps!$A47,0))</f>
        <v/>
      </c>
      <c r="AT47" t="str">
        <f ca="1">IF($A47&gt;AT$34,"",OFFSET(Tippabgabe!$EF$177,SUM(tipps!$A$34:AS$34)+tipps!$A47,0))</f>
        <v/>
      </c>
      <c r="AU47" t="str">
        <f ca="1">IF($A47&gt;AU$34,"",OFFSET(Tippabgabe!$EF$177,SUM(tipps!$A$34:AT$34)+tipps!$A47,0))</f>
        <v/>
      </c>
      <c r="AV47" t="str">
        <f ca="1">IF($A47&gt;AV$34,"",OFFSET(Tippabgabe!$EF$177,SUM(tipps!$A$34:AU$34)+tipps!$A47,0))</f>
        <v/>
      </c>
      <c r="AW47" t="str">
        <f ca="1">IF($A47&gt;AW$34,"",OFFSET(Tippabgabe!$EF$177,SUM(tipps!$A$34:AV$34)+tipps!$A47,0))</f>
        <v/>
      </c>
      <c r="AX47" t="str">
        <f ca="1">IF($A47&gt;AX$34,"",OFFSET(Tippabgabe!$EF$177,SUM(tipps!$A$34:AW$34)+tipps!$A47,0))</f>
        <v/>
      </c>
      <c r="AY47" t="str">
        <f ca="1">IF($A47&gt;AY$34,"",OFFSET(Tippabgabe!$EF$177,SUM(tipps!$A$34:AX$34)+tipps!$A47,0))</f>
        <v/>
      </c>
      <c r="AZ47" t="str">
        <f ca="1">IF($A47&gt;AZ$34,"",OFFSET(Tippabgabe!$EF$177,SUM(tipps!$A$34:AY$34)+tipps!$A47,0))</f>
        <v/>
      </c>
      <c r="BA47" t="str">
        <f ca="1">IF($A47&gt;BA$34,"",OFFSET(Tippabgabe!$EF$177,SUM(tipps!$A$34:AZ$34)+tipps!$A47,0))</f>
        <v/>
      </c>
      <c r="BB47" t="str">
        <f ca="1">IF($A47&gt;BB$34,"",OFFSET(Tippabgabe!$EF$177,SUM(tipps!$A$34:BA$34)+tipps!$A47,0))</f>
        <v/>
      </c>
      <c r="BC47" t="str">
        <f ca="1">IF($A47&gt;BC$34,"",OFFSET(Tippabgabe!$EF$177,SUM(tipps!$A$34:BB$34)+tipps!$A47,0))</f>
        <v/>
      </c>
      <c r="BD47" t="str">
        <f ca="1">IF($A47&gt;BD$34,"",OFFSET(Tippabgabe!$EF$177,SUM(tipps!$A$34:BC$34)+tipps!$A47,0))</f>
        <v/>
      </c>
      <c r="BE47" t="str">
        <f ca="1">IF($A47&gt;BE$34,"",OFFSET(Tippabgabe!$EF$177,SUM(tipps!$A$34:BD$34)+tipps!$A47,0))</f>
        <v/>
      </c>
      <c r="BF47" t="str">
        <f ca="1">IF($A47&gt;BF$34,"",OFFSET(Tippabgabe!$EF$177,SUM(tipps!$A$34:BE$34)+tipps!$A47,0))</f>
        <v/>
      </c>
      <c r="BG47" t="str">
        <f ca="1">IF($A47&gt;BG$34,"",OFFSET(Tippabgabe!$EF$177,SUM(tipps!$A$34:BF$34)+tipps!$A47,0))</f>
        <v/>
      </c>
      <c r="BH47" t="str">
        <f ca="1">IF($A47&gt;BH$34,"",OFFSET(Tippabgabe!$EF$177,SUM(tipps!$A$34:BG$34)+tipps!$A47,0))</f>
        <v/>
      </c>
      <c r="BI47" t="str">
        <f ca="1">IF($A47&gt;BI$34,"",OFFSET(Tippabgabe!$EF$177,SUM(tipps!$A$34:BH$34)+tipps!$A47,0))</f>
        <v/>
      </c>
      <c r="BJ47" t="str">
        <f ca="1">IF($A47&gt;BJ$34,"",OFFSET(Tippabgabe!$EF$177,SUM(tipps!$A$34:BI$34)+tipps!$A47,0))</f>
        <v/>
      </c>
      <c r="BK47" t="str">
        <f ca="1">IF($A47&gt;BK$34,"",OFFSET(Tippabgabe!$EF$177,SUM(tipps!$A$34:BJ$34)+tipps!$A47,0))</f>
        <v/>
      </c>
      <c r="BL47" t="str">
        <f ca="1">IF($A47&gt;BL$34,"",OFFSET(Tippabgabe!$EF$177,SUM(tipps!$A$34:BK$34)+tipps!$A47,0))</f>
        <v/>
      </c>
      <c r="BM47" t="str">
        <f ca="1">IF($A47&gt;BM$34,"",OFFSET(Tippabgabe!$EF$177,SUM(tipps!$A$34:BL$34)+tipps!$A47,0))</f>
        <v/>
      </c>
      <c r="BN47" t="str">
        <f ca="1">IF($A47&gt;BN$34,"",OFFSET(Tippabgabe!$EF$177,SUM(tipps!$A$34:BM$34)+tipps!$A47,0))</f>
        <v/>
      </c>
      <c r="BO47" t="str">
        <f ca="1">IF($A47&gt;BO$34,"",OFFSET(Tippabgabe!$EF$177,SUM(tipps!$A$34:BN$34)+tipps!$A47,0))</f>
        <v/>
      </c>
      <c r="BP47" t="str">
        <f ca="1">IF($A47&gt;BP$34,"",OFFSET(Tippabgabe!$EF$177,SUM(tipps!$A$34:BO$34)+tipps!$A47,0))</f>
        <v/>
      </c>
      <c r="BQ47" t="str">
        <f ca="1">IF($A47&gt;BQ$34,"",OFFSET(Tippabgabe!$EF$177,SUM(tipps!$A$34:BP$34)+tipps!$A47,0))</f>
        <v/>
      </c>
      <c r="BR47" t="str">
        <f ca="1">IF($A47&gt;BR$34,"",OFFSET(Tippabgabe!$EF$177,SUM(tipps!$A$34:BQ$34)+tipps!$A47,0))</f>
        <v/>
      </c>
      <c r="BS47" t="str">
        <f ca="1">IF($A47&gt;BS$34,"",OFFSET(Tippabgabe!$EF$177,SUM(tipps!$A$34:BR$34)+tipps!$A47,0))</f>
        <v/>
      </c>
      <c r="BT47" t="str">
        <f ca="1">IF($A47&gt;BT$34,"",OFFSET(Tippabgabe!$EF$177,SUM(tipps!$A$34:BS$34)+tipps!$A47,0))</f>
        <v/>
      </c>
      <c r="BU47" t="str">
        <f ca="1">IF($A47&gt;BU$34,"",OFFSET(Tippabgabe!$EF$177,SUM(tipps!$A$34:BT$34)+tipps!$A47,0))</f>
        <v/>
      </c>
      <c r="BV47" t="str">
        <f ca="1">IF($A47&gt;BV$34,"",OFFSET(Tippabgabe!$EF$177,SUM(tipps!$A$34:BU$34)+tipps!$A47,0))</f>
        <v/>
      </c>
      <c r="BW47" t="str">
        <f ca="1">IF($A47&gt;BW$34,"",OFFSET(Tippabgabe!$EF$177,SUM(tipps!$A$34:BV$34)+tipps!$A47,0))</f>
        <v/>
      </c>
    </row>
    <row r="48" spans="1:77" x14ac:dyDescent="0.2">
      <c r="A48">
        <v>13</v>
      </c>
      <c r="B48" t="str">
        <f ca="1">IF($A48&gt;B$34,"",OFFSET(Tippabgabe!$EF$177,SUM(tipps!$A$34:A$34)+tipps!$A48,0))</f>
        <v/>
      </c>
      <c r="C48" t="str">
        <f ca="1">IF($A48&gt;C$34,"",OFFSET(Tippabgabe!$EF$177,SUM(tipps!$A$34:B$34)+tipps!$A48,0))</f>
        <v/>
      </c>
      <c r="D48" t="str">
        <f ca="1">IF($A48&gt;D$34,"",OFFSET(Tippabgabe!$EF$177,SUM(tipps!$A$34:C$34)+tipps!$A48,0))</f>
        <v/>
      </c>
      <c r="E48" t="str">
        <f ca="1">IF($A48&gt;E$34,"",OFFSET(Tippabgabe!$EF$177,SUM(tipps!$A$34:D$34)+tipps!$A48,0))</f>
        <v/>
      </c>
      <c r="F48" t="str">
        <f ca="1">IF($A48&gt;F$34,"",OFFSET(Tippabgabe!$EF$177,SUM(tipps!$A$34:E$34)+tipps!$A48,0))</f>
        <v/>
      </c>
      <c r="G48" t="str">
        <f ca="1">IF($A48&gt;G$34,"",OFFSET(Tippabgabe!$EF$177,SUM(tipps!$A$34:F$34)+tipps!$A48,0))</f>
        <v/>
      </c>
      <c r="H48" t="str">
        <f ca="1">IF($A48&gt;H$34,"",OFFSET(Tippabgabe!$EF$177,SUM(tipps!$A$34:G$34)+tipps!$A48,0))</f>
        <v/>
      </c>
      <c r="I48" t="str">
        <f ca="1">IF($A48&gt;I$34,"",OFFSET(Tippabgabe!$EF$177,SUM(tipps!$A$34:H$34)+tipps!$A48,0))</f>
        <v/>
      </c>
      <c r="J48" t="str">
        <f ca="1">IF($A48&gt;J$34,"",OFFSET(Tippabgabe!$EF$177,SUM(tipps!$A$34:I$34)+tipps!$A48,0))</f>
        <v/>
      </c>
      <c r="K48" t="str">
        <f ca="1">IF($A48&gt;K$34,"",OFFSET(Tippabgabe!$EF$177,SUM(tipps!$A$34:J$34)+tipps!$A48,0))</f>
        <v/>
      </c>
      <c r="L48" t="str">
        <f ca="1">IF($A48&gt;L$34,"",OFFSET(Tippabgabe!$EF$177,SUM(tipps!$A$34:K$34)+tipps!$A48,0))</f>
        <v/>
      </c>
      <c r="M48" t="str">
        <f ca="1">IF($A48&gt;M$34,"",OFFSET(Tippabgabe!$EF$177,SUM(tipps!$A$34:L$34)+tipps!$A48,0))</f>
        <v/>
      </c>
      <c r="N48" t="str">
        <f ca="1">IF($A48&gt;N$34,"",OFFSET(Tippabgabe!$EF$177,SUM(tipps!$A$34:M$34)+tipps!$A48,0))</f>
        <v/>
      </c>
      <c r="O48" t="str">
        <f ca="1">IF($A48&gt;O$34,"",OFFSET(Tippabgabe!$EF$177,SUM(tipps!$A$34:N$34)+tipps!$A48,0))</f>
        <v/>
      </c>
      <c r="P48" t="str">
        <f ca="1">IF($A48&gt;P$34,"",OFFSET(Tippabgabe!$EF$177,SUM(tipps!$A$34:O$34)+tipps!$A48,0))</f>
        <v/>
      </c>
      <c r="Q48" t="str">
        <f ca="1">IF($A48&gt;Q$34,"",OFFSET(Tippabgabe!$EF$177,SUM(tipps!$A$34:P$34)+tipps!$A48,0))</f>
        <v/>
      </c>
      <c r="R48" t="str">
        <f ca="1">IF($A48&gt;R$34,"",OFFSET(Tippabgabe!$EF$177,SUM(tipps!$A$34:Q$34)+tipps!$A48,0))</f>
        <v/>
      </c>
      <c r="S48" t="str">
        <f ca="1">IF($A48&gt;S$34,"",OFFSET(Tippabgabe!$EF$177,SUM(tipps!$A$34:R$34)+tipps!$A48,0))</f>
        <v/>
      </c>
      <c r="T48" t="str">
        <f ca="1">IF($A48&gt;T$34,"",OFFSET(Tippabgabe!$EF$177,SUM(tipps!$A$34:S$34)+tipps!$A48,0))</f>
        <v/>
      </c>
      <c r="U48" t="str">
        <f ca="1">IF($A48&gt;U$34,"",OFFSET(Tippabgabe!$EF$177,SUM(tipps!$A$34:T$34)+tipps!$A48,0))</f>
        <v/>
      </c>
      <c r="V48" t="str">
        <f ca="1">IF($A48&gt;V$34,"",OFFSET(Tippabgabe!$EF$177,SUM(tipps!$A$34:U$34)+tipps!$A48,0))</f>
        <v/>
      </c>
      <c r="W48" t="str">
        <f ca="1">IF($A48&gt;W$34,"",OFFSET(Tippabgabe!$EF$177,SUM(tipps!$A$34:V$34)+tipps!$A48,0))</f>
        <v/>
      </c>
      <c r="X48" t="str">
        <f ca="1">IF($A48&gt;X$34,"",OFFSET(Tippabgabe!$EF$177,SUM(tipps!$A$34:W$34)+tipps!$A48,0))</f>
        <v/>
      </c>
      <c r="Y48" t="str">
        <f ca="1">IF($A48&gt;Y$34,"",OFFSET(Tippabgabe!$EF$177,SUM(tipps!$A$34:X$34)+tipps!$A48,0))</f>
        <v/>
      </c>
      <c r="Z48" t="str">
        <f ca="1">IF($A48&gt;Z$34,"",OFFSET(Tippabgabe!$EF$177,SUM(tipps!$A$34:Y$34)+tipps!$A48,0))</f>
        <v/>
      </c>
      <c r="AA48" t="str">
        <f ca="1">IF($A48&gt;AA$34,"",OFFSET(Tippabgabe!$EF$177,SUM(tipps!$A$34:Z$34)+tipps!$A48,0))</f>
        <v/>
      </c>
      <c r="AB48" t="str">
        <f ca="1">IF($A48&gt;AB$34,"",OFFSET(Tippabgabe!$EF$177,SUM(tipps!$A$34:AA$34)+tipps!$A48,0))</f>
        <v/>
      </c>
      <c r="AC48" t="str">
        <f ca="1">IF($A48&gt;AC$34,"",OFFSET(Tippabgabe!$EF$177,SUM(tipps!$A$34:AB$34)+tipps!$A48,0))</f>
        <v/>
      </c>
      <c r="AD48" t="str">
        <f ca="1">IF($A48&gt;AD$34,"",OFFSET(Tippabgabe!$EF$177,SUM(tipps!$A$34:AC$34)+tipps!$A48,0))</f>
        <v/>
      </c>
      <c r="AE48" t="str">
        <f ca="1">IF($A48&gt;AE$34,"",OFFSET(Tippabgabe!$EF$177,SUM(tipps!$A$34:AD$34)+tipps!$A48,0))</f>
        <v/>
      </c>
      <c r="AF48" t="str">
        <f ca="1">IF($A48&gt;AF$34,"",OFFSET(Tippabgabe!$EF$177,SUM(tipps!$A$34:AE$34)+tipps!$A48,0))</f>
        <v/>
      </c>
      <c r="AG48" t="str">
        <f ca="1">IF($A48&gt;AG$34,"",OFFSET(Tippabgabe!$EF$177,SUM(tipps!$A$34:AF$34)+tipps!$A48,0))</f>
        <v/>
      </c>
      <c r="AH48" t="str">
        <f ca="1">IF($A48&gt;AH$34,"",OFFSET(Tippabgabe!$EF$177,SUM(tipps!$A$34:AG$34)+tipps!$A48,0))</f>
        <v/>
      </c>
      <c r="AI48" t="str">
        <f ca="1">IF($A48&gt;AI$34,"",OFFSET(Tippabgabe!$EF$177,SUM(tipps!$A$34:AH$34)+tipps!$A48,0))</f>
        <v/>
      </c>
      <c r="AJ48" t="str">
        <f ca="1">IF($A48&gt;AJ$34,"",OFFSET(Tippabgabe!$EF$177,SUM(tipps!$A$34:AI$34)+tipps!$A48,0))</f>
        <v/>
      </c>
      <c r="AK48" t="str">
        <f ca="1">IF($A48&gt;AK$34,"",OFFSET(Tippabgabe!$EF$177,SUM(tipps!$A$34:AJ$34)+tipps!$A48,0))</f>
        <v/>
      </c>
      <c r="AL48" t="str">
        <f ca="1">IF($A48&gt;AL$34,"",OFFSET(Tippabgabe!$EF$177,SUM(tipps!$A$34:AK$34)+tipps!$A48,0))</f>
        <v/>
      </c>
      <c r="AM48" t="str">
        <f ca="1">IF($A48&gt;AM$34,"",OFFSET(Tippabgabe!$EF$177,SUM(tipps!$A$34:AL$34)+tipps!$A48,0))</f>
        <v/>
      </c>
      <c r="AN48" t="str">
        <f ca="1">IF($A48&gt;AN$34,"",OFFSET(Tippabgabe!$EF$177,SUM(tipps!$A$34:AM$34)+tipps!$A48,0))</f>
        <v/>
      </c>
      <c r="AO48" t="str">
        <f ca="1">IF($A48&gt;AO$34,"",OFFSET(Tippabgabe!$EF$177,SUM(tipps!$A$34:AN$34)+tipps!$A48,0))</f>
        <v/>
      </c>
      <c r="AP48" t="str">
        <f ca="1">IF($A48&gt;AP$34,"",OFFSET(Tippabgabe!$EF$177,SUM(tipps!$A$34:AO$34)+tipps!$A48,0))</f>
        <v/>
      </c>
      <c r="AQ48" t="str">
        <f ca="1">IF($A48&gt;AQ$34,"",OFFSET(Tippabgabe!$EF$177,SUM(tipps!$A$34:AP$34)+tipps!$A48,0))</f>
        <v/>
      </c>
      <c r="AR48" t="str">
        <f ca="1">IF($A48&gt;AR$34,"",OFFSET(Tippabgabe!$EF$177,SUM(tipps!$A$34:AQ$34)+tipps!$A48,0))</f>
        <v/>
      </c>
      <c r="AS48" t="str">
        <f ca="1">IF($A48&gt;AS$34,"",OFFSET(Tippabgabe!$EF$177,SUM(tipps!$A$34:AR$34)+tipps!$A48,0))</f>
        <v/>
      </c>
      <c r="AT48" t="str">
        <f ca="1">IF($A48&gt;AT$34,"",OFFSET(Tippabgabe!$EF$177,SUM(tipps!$A$34:AS$34)+tipps!$A48,0))</f>
        <v/>
      </c>
      <c r="AU48" t="str">
        <f ca="1">IF($A48&gt;AU$34,"",OFFSET(Tippabgabe!$EF$177,SUM(tipps!$A$34:AT$34)+tipps!$A48,0))</f>
        <v/>
      </c>
      <c r="AV48" t="str">
        <f ca="1">IF($A48&gt;AV$34,"",OFFSET(Tippabgabe!$EF$177,SUM(tipps!$A$34:AU$34)+tipps!$A48,0))</f>
        <v/>
      </c>
      <c r="AW48" t="str">
        <f ca="1">IF($A48&gt;AW$34,"",OFFSET(Tippabgabe!$EF$177,SUM(tipps!$A$34:AV$34)+tipps!$A48,0))</f>
        <v/>
      </c>
      <c r="AX48" t="str">
        <f ca="1">IF($A48&gt;AX$34,"",OFFSET(Tippabgabe!$EF$177,SUM(tipps!$A$34:AW$34)+tipps!$A48,0))</f>
        <v/>
      </c>
      <c r="AY48" t="str">
        <f ca="1">IF($A48&gt;AY$34,"",OFFSET(Tippabgabe!$EF$177,SUM(tipps!$A$34:AX$34)+tipps!$A48,0))</f>
        <v/>
      </c>
      <c r="AZ48" t="str">
        <f ca="1">IF($A48&gt;AZ$34,"",OFFSET(Tippabgabe!$EF$177,SUM(tipps!$A$34:AY$34)+tipps!$A48,0))</f>
        <v/>
      </c>
      <c r="BA48" t="str">
        <f ca="1">IF($A48&gt;BA$34,"",OFFSET(Tippabgabe!$EF$177,SUM(tipps!$A$34:AZ$34)+tipps!$A48,0))</f>
        <v/>
      </c>
      <c r="BB48" t="str">
        <f ca="1">IF($A48&gt;BB$34,"",OFFSET(Tippabgabe!$EF$177,SUM(tipps!$A$34:BA$34)+tipps!$A48,0))</f>
        <v/>
      </c>
      <c r="BC48" t="str">
        <f ca="1">IF($A48&gt;BC$34,"",OFFSET(Tippabgabe!$EF$177,SUM(tipps!$A$34:BB$34)+tipps!$A48,0))</f>
        <v/>
      </c>
      <c r="BD48" t="str">
        <f ca="1">IF($A48&gt;BD$34,"",OFFSET(Tippabgabe!$EF$177,SUM(tipps!$A$34:BC$34)+tipps!$A48,0))</f>
        <v/>
      </c>
      <c r="BE48" t="str">
        <f ca="1">IF($A48&gt;BE$34,"",OFFSET(Tippabgabe!$EF$177,SUM(tipps!$A$34:BD$34)+tipps!$A48,0))</f>
        <v/>
      </c>
      <c r="BF48" t="str">
        <f ca="1">IF($A48&gt;BF$34,"",OFFSET(Tippabgabe!$EF$177,SUM(tipps!$A$34:BE$34)+tipps!$A48,0))</f>
        <v/>
      </c>
      <c r="BG48" t="str">
        <f ca="1">IF($A48&gt;BG$34,"",OFFSET(Tippabgabe!$EF$177,SUM(tipps!$A$34:BF$34)+tipps!$A48,0))</f>
        <v/>
      </c>
      <c r="BH48" t="str">
        <f ca="1">IF($A48&gt;BH$34,"",OFFSET(Tippabgabe!$EF$177,SUM(tipps!$A$34:BG$34)+tipps!$A48,0))</f>
        <v/>
      </c>
      <c r="BI48" t="str">
        <f ca="1">IF($A48&gt;BI$34,"",OFFSET(Tippabgabe!$EF$177,SUM(tipps!$A$34:BH$34)+tipps!$A48,0))</f>
        <v/>
      </c>
      <c r="BJ48" t="str">
        <f ca="1">IF($A48&gt;BJ$34,"",OFFSET(Tippabgabe!$EF$177,SUM(tipps!$A$34:BI$34)+tipps!$A48,0))</f>
        <v/>
      </c>
      <c r="BK48" t="str">
        <f ca="1">IF($A48&gt;BK$34,"",OFFSET(Tippabgabe!$EF$177,SUM(tipps!$A$34:BJ$34)+tipps!$A48,0))</f>
        <v/>
      </c>
      <c r="BL48" t="str">
        <f ca="1">IF($A48&gt;BL$34,"",OFFSET(Tippabgabe!$EF$177,SUM(tipps!$A$34:BK$34)+tipps!$A48,0))</f>
        <v/>
      </c>
      <c r="BM48" t="str">
        <f ca="1">IF($A48&gt;BM$34,"",OFFSET(Tippabgabe!$EF$177,SUM(tipps!$A$34:BL$34)+tipps!$A48,0))</f>
        <v/>
      </c>
      <c r="BN48" t="str">
        <f ca="1">IF($A48&gt;BN$34,"",OFFSET(Tippabgabe!$EF$177,SUM(tipps!$A$34:BM$34)+tipps!$A48,0))</f>
        <v/>
      </c>
      <c r="BO48" t="str">
        <f ca="1">IF($A48&gt;BO$34,"",OFFSET(Tippabgabe!$EF$177,SUM(tipps!$A$34:BN$34)+tipps!$A48,0))</f>
        <v/>
      </c>
      <c r="BP48" t="str">
        <f ca="1">IF($A48&gt;BP$34,"",OFFSET(Tippabgabe!$EF$177,SUM(tipps!$A$34:BO$34)+tipps!$A48,0))</f>
        <v/>
      </c>
      <c r="BQ48" t="str">
        <f ca="1">IF($A48&gt;BQ$34,"",OFFSET(Tippabgabe!$EF$177,SUM(tipps!$A$34:BP$34)+tipps!$A48,0))</f>
        <v/>
      </c>
      <c r="BR48" t="str">
        <f ca="1">IF($A48&gt;BR$34,"",OFFSET(Tippabgabe!$EF$177,SUM(tipps!$A$34:BQ$34)+tipps!$A48,0))</f>
        <v/>
      </c>
      <c r="BS48" t="str">
        <f ca="1">IF($A48&gt;BS$34,"",OFFSET(Tippabgabe!$EF$177,SUM(tipps!$A$34:BR$34)+tipps!$A48,0))</f>
        <v/>
      </c>
      <c r="BT48" t="str">
        <f ca="1">IF($A48&gt;BT$34,"",OFFSET(Tippabgabe!$EF$177,SUM(tipps!$A$34:BS$34)+tipps!$A48,0))</f>
        <v/>
      </c>
      <c r="BU48" t="str">
        <f ca="1">IF($A48&gt;BU$34,"",OFFSET(Tippabgabe!$EF$177,SUM(tipps!$A$34:BT$34)+tipps!$A48,0))</f>
        <v/>
      </c>
      <c r="BV48" t="str">
        <f ca="1">IF($A48&gt;BV$34,"",OFFSET(Tippabgabe!$EF$177,SUM(tipps!$A$34:BU$34)+tipps!$A48,0))</f>
        <v/>
      </c>
      <c r="BW48" t="str">
        <f ca="1">IF($A48&gt;BW$34,"",OFFSET(Tippabgabe!$EF$177,SUM(tipps!$A$34:BV$34)+tipps!$A48,0))</f>
        <v/>
      </c>
    </row>
    <row r="49" spans="1:75" x14ac:dyDescent="0.2">
      <c r="A49">
        <v>14</v>
      </c>
      <c r="B49" t="str">
        <f ca="1">IF($A49&gt;B$34,"",OFFSET(Tippabgabe!$EF$177,SUM(tipps!$A$34:A$34)+tipps!$A49,0))</f>
        <v/>
      </c>
      <c r="C49" t="str">
        <f ca="1">IF($A49&gt;C$34,"",OFFSET(Tippabgabe!$EF$177,SUM(tipps!$A$34:B$34)+tipps!$A49,0))</f>
        <v/>
      </c>
      <c r="D49" t="str">
        <f ca="1">IF($A49&gt;D$34,"",OFFSET(Tippabgabe!$EF$177,SUM(tipps!$A$34:C$34)+tipps!$A49,0))</f>
        <v/>
      </c>
      <c r="E49" t="str">
        <f ca="1">IF($A49&gt;E$34,"",OFFSET(Tippabgabe!$EF$177,SUM(tipps!$A$34:D$34)+tipps!$A49,0))</f>
        <v/>
      </c>
      <c r="F49" t="str">
        <f ca="1">IF($A49&gt;F$34,"",OFFSET(Tippabgabe!$EF$177,SUM(tipps!$A$34:E$34)+tipps!$A49,0))</f>
        <v/>
      </c>
      <c r="G49" t="str">
        <f ca="1">IF($A49&gt;G$34,"",OFFSET(Tippabgabe!$EF$177,SUM(tipps!$A$34:F$34)+tipps!$A49,0))</f>
        <v/>
      </c>
      <c r="H49" t="str">
        <f ca="1">IF($A49&gt;H$34,"",OFFSET(Tippabgabe!$EF$177,SUM(tipps!$A$34:G$34)+tipps!$A49,0))</f>
        <v/>
      </c>
      <c r="I49" t="str">
        <f ca="1">IF($A49&gt;I$34,"",OFFSET(Tippabgabe!$EF$177,SUM(tipps!$A$34:H$34)+tipps!$A49,0))</f>
        <v/>
      </c>
      <c r="J49" t="str">
        <f ca="1">IF($A49&gt;J$34,"",OFFSET(Tippabgabe!$EF$177,SUM(tipps!$A$34:I$34)+tipps!$A49,0))</f>
        <v/>
      </c>
      <c r="K49" t="str">
        <f ca="1">IF($A49&gt;K$34,"",OFFSET(Tippabgabe!$EF$177,SUM(tipps!$A$34:J$34)+tipps!$A49,0))</f>
        <v/>
      </c>
      <c r="L49" t="str">
        <f ca="1">IF($A49&gt;L$34,"",OFFSET(Tippabgabe!$EF$177,SUM(tipps!$A$34:K$34)+tipps!$A49,0))</f>
        <v/>
      </c>
      <c r="M49" t="str">
        <f ca="1">IF($A49&gt;M$34,"",OFFSET(Tippabgabe!$EF$177,SUM(tipps!$A$34:L$34)+tipps!$A49,0))</f>
        <v/>
      </c>
      <c r="N49" t="str">
        <f ca="1">IF($A49&gt;N$34,"",OFFSET(Tippabgabe!$EF$177,SUM(tipps!$A$34:M$34)+tipps!$A49,0))</f>
        <v/>
      </c>
      <c r="O49" t="str">
        <f ca="1">IF($A49&gt;O$34,"",OFFSET(Tippabgabe!$EF$177,SUM(tipps!$A$34:N$34)+tipps!$A49,0))</f>
        <v/>
      </c>
      <c r="P49" t="str">
        <f ca="1">IF($A49&gt;P$34,"",OFFSET(Tippabgabe!$EF$177,SUM(tipps!$A$34:O$34)+tipps!$A49,0))</f>
        <v/>
      </c>
      <c r="Q49" t="str">
        <f ca="1">IF($A49&gt;Q$34,"",OFFSET(Tippabgabe!$EF$177,SUM(tipps!$A$34:P$34)+tipps!$A49,0))</f>
        <v/>
      </c>
      <c r="R49" t="str">
        <f ca="1">IF($A49&gt;R$34,"",OFFSET(Tippabgabe!$EF$177,SUM(tipps!$A$34:Q$34)+tipps!$A49,0))</f>
        <v/>
      </c>
      <c r="S49" t="str">
        <f ca="1">IF($A49&gt;S$34,"",OFFSET(Tippabgabe!$EF$177,SUM(tipps!$A$34:R$34)+tipps!$A49,0))</f>
        <v/>
      </c>
      <c r="T49" t="str">
        <f ca="1">IF($A49&gt;T$34,"",OFFSET(Tippabgabe!$EF$177,SUM(tipps!$A$34:S$34)+tipps!$A49,0))</f>
        <v/>
      </c>
      <c r="U49" t="str">
        <f ca="1">IF($A49&gt;U$34,"",OFFSET(Tippabgabe!$EF$177,SUM(tipps!$A$34:T$34)+tipps!$A49,0))</f>
        <v/>
      </c>
      <c r="V49" t="str">
        <f ca="1">IF($A49&gt;V$34,"",OFFSET(Tippabgabe!$EF$177,SUM(tipps!$A$34:U$34)+tipps!$A49,0))</f>
        <v/>
      </c>
      <c r="W49" t="str">
        <f ca="1">IF($A49&gt;W$34,"",OFFSET(Tippabgabe!$EF$177,SUM(tipps!$A$34:V$34)+tipps!$A49,0))</f>
        <v/>
      </c>
      <c r="X49" t="str">
        <f ca="1">IF($A49&gt;X$34,"",OFFSET(Tippabgabe!$EF$177,SUM(tipps!$A$34:W$34)+tipps!$A49,0))</f>
        <v/>
      </c>
      <c r="Y49" t="str">
        <f ca="1">IF($A49&gt;Y$34,"",OFFSET(Tippabgabe!$EF$177,SUM(tipps!$A$34:X$34)+tipps!$A49,0))</f>
        <v/>
      </c>
      <c r="Z49" t="str">
        <f ca="1">IF($A49&gt;Z$34,"",OFFSET(Tippabgabe!$EF$177,SUM(tipps!$A$34:Y$34)+tipps!$A49,0))</f>
        <v/>
      </c>
      <c r="AA49" t="str">
        <f ca="1">IF($A49&gt;AA$34,"",OFFSET(Tippabgabe!$EF$177,SUM(tipps!$A$34:Z$34)+tipps!$A49,0))</f>
        <v/>
      </c>
      <c r="AB49" t="str">
        <f ca="1">IF($A49&gt;AB$34,"",OFFSET(Tippabgabe!$EF$177,SUM(tipps!$A$34:AA$34)+tipps!$A49,0))</f>
        <v/>
      </c>
      <c r="AC49" t="str">
        <f ca="1">IF($A49&gt;AC$34,"",OFFSET(Tippabgabe!$EF$177,SUM(tipps!$A$34:AB$34)+tipps!$A49,0))</f>
        <v/>
      </c>
      <c r="AD49" t="str">
        <f ca="1">IF($A49&gt;AD$34,"",OFFSET(Tippabgabe!$EF$177,SUM(tipps!$A$34:AC$34)+tipps!$A49,0))</f>
        <v/>
      </c>
      <c r="AE49" t="str">
        <f ca="1">IF($A49&gt;AE$34,"",OFFSET(Tippabgabe!$EF$177,SUM(tipps!$A$34:AD$34)+tipps!$A49,0))</f>
        <v/>
      </c>
      <c r="AF49" t="str">
        <f ca="1">IF($A49&gt;AF$34,"",OFFSET(Tippabgabe!$EF$177,SUM(tipps!$A$34:AE$34)+tipps!$A49,0))</f>
        <v/>
      </c>
      <c r="AG49" t="str">
        <f ca="1">IF($A49&gt;AG$34,"",OFFSET(Tippabgabe!$EF$177,SUM(tipps!$A$34:AF$34)+tipps!$A49,0))</f>
        <v/>
      </c>
      <c r="AH49" t="str">
        <f ca="1">IF($A49&gt;AH$34,"",OFFSET(Tippabgabe!$EF$177,SUM(tipps!$A$34:AG$34)+tipps!$A49,0))</f>
        <v/>
      </c>
      <c r="AI49" t="str">
        <f ca="1">IF($A49&gt;AI$34,"",OFFSET(Tippabgabe!$EF$177,SUM(tipps!$A$34:AH$34)+tipps!$A49,0))</f>
        <v/>
      </c>
      <c r="AJ49" t="str">
        <f ca="1">IF($A49&gt;AJ$34,"",OFFSET(Tippabgabe!$EF$177,SUM(tipps!$A$34:AI$34)+tipps!$A49,0))</f>
        <v/>
      </c>
      <c r="AK49" t="str">
        <f ca="1">IF($A49&gt;AK$34,"",OFFSET(Tippabgabe!$EF$177,SUM(tipps!$A$34:AJ$34)+tipps!$A49,0))</f>
        <v/>
      </c>
      <c r="AL49" t="str">
        <f ca="1">IF($A49&gt;AL$34,"",OFFSET(Tippabgabe!$EF$177,SUM(tipps!$A$34:AK$34)+tipps!$A49,0))</f>
        <v/>
      </c>
      <c r="AM49" t="str">
        <f ca="1">IF($A49&gt;AM$34,"",OFFSET(Tippabgabe!$EF$177,SUM(tipps!$A$34:AL$34)+tipps!$A49,0))</f>
        <v/>
      </c>
      <c r="AN49" t="str">
        <f ca="1">IF($A49&gt;AN$34,"",OFFSET(Tippabgabe!$EF$177,SUM(tipps!$A$34:AM$34)+tipps!$A49,0))</f>
        <v/>
      </c>
      <c r="AO49" t="str">
        <f ca="1">IF($A49&gt;AO$34,"",OFFSET(Tippabgabe!$EF$177,SUM(tipps!$A$34:AN$34)+tipps!$A49,0))</f>
        <v/>
      </c>
      <c r="AP49" t="str">
        <f ca="1">IF($A49&gt;AP$34,"",OFFSET(Tippabgabe!$EF$177,SUM(tipps!$A$34:AO$34)+tipps!$A49,0))</f>
        <v/>
      </c>
      <c r="AQ49" t="str">
        <f ca="1">IF($A49&gt;AQ$34,"",OFFSET(Tippabgabe!$EF$177,SUM(tipps!$A$34:AP$34)+tipps!$A49,0))</f>
        <v/>
      </c>
      <c r="AR49" t="str">
        <f ca="1">IF($A49&gt;AR$34,"",OFFSET(Tippabgabe!$EF$177,SUM(tipps!$A$34:AQ$34)+tipps!$A49,0))</f>
        <v/>
      </c>
      <c r="AS49" t="str">
        <f ca="1">IF($A49&gt;AS$34,"",OFFSET(Tippabgabe!$EF$177,SUM(tipps!$A$34:AR$34)+tipps!$A49,0))</f>
        <v/>
      </c>
      <c r="AT49" t="str">
        <f ca="1">IF($A49&gt;AT$34,"",OFFSET(Tippabgabe!$EF$177,SUM(tipps!$A$34:AS$34)+tipps!$A49,0))</f>
        <v/>
      </c>
      <c r="AU49" t="str">
        <f ca="1">IF($A49&gt;AU$34,"",OFFSET(Tippabgabe!$EF$177,SUM(tipps!$A$34:AT$34)+tipps!$A49,0))</f>
        <v/>
      </c>
      <c r="AV49" t="str">
        <f ca="1">IF($A49&gt;AV$34,"",OFFSET(Tippabgabe!$EF$177,SUM(tipps!$A$34:AU$34)+tipps!$A49,0))</f>
        <v/>
      </c>
      <c r="AW49" t="str">
        <f ca="1">IF($A49&gt;AW$34,"",OFFSET(Tippabgabe!$EF$177,SUM(tipps!$A$34:AV$34)+tipps!$A49,0))</f>
        <v/>
      </c>
      <c r="AX49" t="str">
        <f ca="1">IF($A49&gt;AX$34,"",OFFSET(Tippabgabe!$EF$177,SUM(tipps!$A$34:AW$34)+tipps!$A49,0))</f>
        <v/>
      </c>
      <c r="AY49" t="str">
        <f ca="1">IF($A49&gt;AY$34,"",OFFSET(Tippabgabe!$EF$177,SUM(tipps!$A$34:AX$34)+tipps!$A49,0))</f>
        <v/>
      </c>
      <c r="AZ49" t="str">
        <f ca="1">IF($A49&gt;AZ$34,"",OFFSET(Tippabgabe!$EF$177,SUM(tipps!$A$34:AY$34)+tipps!$A49,0))</f>
        <v/>
      </c>
      <c r="BA49" t="str">
        <f ca="1">IF($A49&gt;BA$34,"",OFFSET(Tippabgabe!$EF$177,SUM(tipps!$A$34:AZ$34)+tipps!$A49,0))</f>
        <v/>
      </c>
      <c r="BB49" t="str">
        <f ca="1">IF($A49&gt;BB$34,"",OFFSET(Tippabgabe!$EF$177,SUM(tipps!$A$34:BA$34)+tipps!$A49,0))</f>
        <v/>
      </c>
      <c r="BC49" t="str">
        <f ca="1">IF($A49&gt;BC$34,"",OFFSET(Tippabgabe!$EF$177,SUM(tipps!$A$34:BB$34)+tipps!$A49,0))</f>
        <v/>
      </c>
      <c r="BD49" t="str">
        <f ca="1">IF($A49&gt;BD$34,"",OFFSET(Tippabgabe!$EF$177,SUM(tipps!$A$34:BC$34)+tipps!$A49,0))</f>
        <v/>
      </c>
      <c r="BE49" t="str">
        <f ca="1">IF($A49&gt;BE$34,"",OFFSET(Tippabgabe!$EF$177,SUM(tipps!$A$34:BD$34)+tipps!$A49,0))</f>
        <v/>
      </c>
      <c r="BF49" t="str">
        <f ca="1">IF($A49&gt;BF$34,"",OFFSET(Tippabgabe!$EF$177,SUM(tipps!$A$34:BE$34)+tipps!$A49,0))</f>
        <v/>
      </c>
      <c r="BG49" t="str">
        <f ca="1">IF($A49&gt;BG$34,"",OFFSET(Tippabgabe!$EF$177,SUM(tipps!$A$34:BF$34)+tipps!$A49,0))</f>
        <v/>
      </c>
      <c r="BH49" t="str">
        <f ca="1">IF($A49&gt;BH$34,"",OFFSET(Tippabgabe!$EF$177,SUM(tipps!$A$34:BG$34)+tipps!$A49,0))</f>
        <v/>
      </c>
      <c r="BI49" t="str">
        <f ca="1">IF($A49&gt;BI$34,"",OFFSET(Tippabgabe!$EF$177,SUM(tipps!$A$34:BH$34)+tipps!$A49,0))</f>
        <v/>
      </c>
      <c r="BJ49" t="str">
        <f ca="1">IF($A49&gt;BJ$34,"",OFFSET(Tippabgabe!$EF$177,SUM(tipps!$A$34:BI$34)+tipps!$A49,0))</f>
        <v/>
      </c>
      <c r="BK49" t="str">
        <f ca="1">IF($A49&gt;BK$34,"",OFFSET(Tippabgabe!$EF$177,SUM(tipps!$A$34:BJ$34)+tipps!$A49,0))</f>
        <v/>
      </c>
      <c r="BL49" t="str">
        <f ca="1">IF($A49&gt;BL$34,"",OFFSET(Tippabgabe!$EF$177,SUM(tipps!$A$34:BK$34)+tipps!$A49,0))</f>
        <v/>
      </c>
      <c r="BM49" t="str">
        <f ca="1">IF($A49&gt;BM$34,"",OFFSET(Tippabgabe!$EF$177,SUM(tipps!$A$34:BL$34)+tipps!$A49,0))</f>
        <v/>
      </c>
      <c r="BN49" t="str">
        <f ca="1">IF($A49&gt;BN$34,"",OFFSET(Tippabgabe!$EF$177,SUM(tipps!$A$34:BM$34)+tipps!$A49,0))</f>
        <v/>
      </c>
      <c r="BO49" t="str">
        <f ca="1">IF($A49&gt;BO$34,"",OFFSET(Tippabgabe!$EF$177,SUM(tipps!$A$34:BN$34)+tipps!$A49,0))</f>
        <v/>
      </c>
      <c r="BP49" t="str">
        <f ca="1">IF($A49&gt;BP$34,"",OFFSET(Tippabgabe!$EF$177,SUM(tipps!$A$34:BO$34)+tipps!$A49,0))</f>
        <v/>
      </c>
      <c r="BQ49" t="str">
        <f ca="1">IF($A49&gt;BQ$34,"",OFFSET(Tippabgabe!$EF$177,SUM(tipps!$A$34:BP$34)+tipps!$A49,0))</f>
        <v/>
      </c>
      <c r="BR49" t="str">
        <f ca="1">IF($A49&gt;BR$34,"",OFFSET(Tippabgabe!$EF$177,SUM(tipps!$A$34:BQ$34)+tipps!$A49,0))</f>
        <v/>
      </c>
      <c r="BS49" t="str">
        <f ca="1">IF($A49&gt;BS$34,"",OFFSET(Tippabgabe!$EF$177,SUM(tipps!$A$34:BR$34)+tipps!$A49,0))</f>
        <v/>
      </c>
      <c r="BT49" t="str">
        <f ca="1">IF($A49&gt;BT$34,"",OFFSET(Tippabgabe!$EF$177,SUM(tipps!$A$34:BS$34)+tipps!$A49,0))</f>
        <v/>
      </c>
      <c r="BU49" t="str">
        <f ca="1">IF($A49&gt;BU$34,"",OFFSET(Tippabgabe!$EF$177,SUM(tipps!$A$34:BT$34)+tipps!$A49,0))</f>
        <v/>
      </c>
      <c r="BV49" t="str">
        <f ca="1">IF($A49&gt;BV$34,"",OFFSET(Tippabgabe!$EF$177,SUM(tipps!$A$34:BU$34)+tipps!$A49,0))</f>
        <v/>
      </c>
      <c r="BW49" t="str">
        <f ca="1">IF($A49&gt;BW$34,"",OFFSET(Tippabgabe!$EF$177,SUM(tipps!$A$34:BV$34)+tipps!$A49,0))</f>
        <v/>
      </c>
    </row>
    <row r="50" spans="1:75" x14ac:dyDescent="0.2">
      <c r="A50">
        <v>15</v>
      </c>
      <c r="B50" t="str">
        <f ca="1">IF($A50&gt;B$34,"",OFFSET(Tippabgabe!$EF$177,SUM(tipps!$A$34:A$34)+tipps!$A50,0))</f>
        <v/>
      </c>
      <c r="C50" t="str">
        <f ca="1">IF($A50&gt;C$34,"",OFFSET(Tippabgabe!$EF$177,SUM(tipps!$A$34:B$34)+tipps!$A50,0))</f>
        <v/>
      </c>
      <c r="D50" t="str">
        <f ca="1">IF($A50&gt;D$34,"",OFFSET(Tippabgabe!$EF$177,SUM(tipps!$A$34:C$34)+tipps!$A50,0))</f>
        <v/>
      </c>
      <c r="E50" t="str">
        <f ca="1">IF($A50&gt;E$34,"",OFFSET(Tippabgabe!$EF$177,SUM(tipps!$A$34:D$34)+tipps!$A50,0))</f>
        <v/>
      </c>
      <c r="F50" t="str">
        <f ca="1">IF($A50&gt;F$34,"",OFFSET(Tippabgabe!$EF$177,SUM(tipps!$A$34:E$34)+tipps!$A50,0))</f>
        <v/>
      </c>
      <c r="G50" t="str">
        <f ca="1">IF($A50&gt;G$34,"",OFFSET(Tippabgabe!$EF$177,SUM(tipps!$A$34:F$34)+tipps!$A50,0))</f>
        <v/>
      </c>
      <c r="H50" t="str">
        <f ca="1">IF($A50&gt;H$34,"",OFFSET(Tippabgabe!$EF$177,SUM(tipps!$A$34:G$34)+tipps!$A50,0))</f>
        <v/>
      </c>
      <c r="I50" t="str">
        <f ca="1">IF($A50&gt;I$34,"",OFFSET(Tippabgabe!$EF$177,SUM(tipps!$A$34:H$34)+tipps!$A50,0))</f>
        <v/>
      </c>
      <c r="J50" t="str">
        <f ca="1">IF($A50&gt;J$34,"",OFFSET(Tippabgabe!$EF$177,SUM(tipps!$A$34:I$34)+tipps!$A50,0))</f>
        <v/>
      </c>
      <c r="K50" t="str">
        <f ca="1">IF($A50&gt;K$34,"",OFFSET(Tippabgabe!$EF$177,SUM(tipps!$A$34:J$34)+tipps!$A50,0))</f>
        <v/>
      </c>
      <c r="L50" t="str">
        <f ca="1">IF($A50&gt;L$34,"",OFFSET(Tippabgabe!$EF$177,SUM(tipps!$A$34:K$34)+tipps!$A50,0))</f>
        <v/>
      </c>
      <c r="M50" t="str">
        <f ca="1">IF($A50&gt;M$34,"",OFFSET(Tippabgabe!$EF$177,SUM(tipps!$A$34:L$34)+tipps!$A50,0))</f>
        <v/>
      </c>
      <c r="N50" t="str">
        <f ca="1">IF($A50&gt;N$34,"",OFFSET(Tippabgabe!$EF$177,SUM(tipps!$A$34:M$34)+tipps!$A50,0))</f>
        <v/>
      </c>
      <c r="O50" t="str">
        <f ca="1">IF($A50&gt;O$34,"",OFFSET(Tippabgabe!$EF$177,SUM(tipps!$A$34:N$34)+tipps!$A50,0))</f>
        <v/>
      </c>
      <c r="P50" t="str">
        <f ca="1">IF($A50&gt;P$34,"",OFFSET(Tippabgabe!$EF$177,SUM(tipps!$A$34:O$34)+tipps!$A50,0))</f>
        <v/>
      </c>
      <c r="Q50" t="str">
        <f ca="1">IF($A50&gt;Q$34,"",OFFSET(Tippabgabe!$EF$177,SUM(tipps!$A$34:P$34)+tipps!$A50,0))</f>
        <v/>
      </c>
      <c r="R50" t="str">
        <f ca="1">IF($A50&gt;R$34,"",OFFSET(Tippabgabe!$EF$177,SUM(tipps!$A$34:Q$34)+tipps!$A50,0))</f>
        <v/>
      </c>
      <c r="S50" t="str">
        <f ca="1">IF($A50&gt;S$34,"",OFFSET(Tippabgabe!$EF$177,SUM(tipps!$A$34:R$34)+tipps!$A50,0))</f>
        <v/>
      </c>
      <c r="T50" t="str">
        <f ca="1">IF($A50&gt;T$34,"",OFFSET(Tippabgabe!$EF$177,SUM(tipps!$A$34:S$34)+tipps!$A50,0))</f>
        <v/>
      </c>
      <c r="U50" t="str">
        <f ca="1">IF($A50&gt;U$34,"",OFFSET(Tippabgabe!$EF$177,SUM(tipps!$A$34:T$34)+tipps!$A50,0))</f>
        <v/>
      </c>
      <c r="V50" t="str">
        <f ca="1">IF($A50&gt;V$34,"",OFFSET(Tippabgabe!$EF$177,SUM(tipps!$A$34:U$34)+tipps!$A50,0))</f>
        <v/>
      </c>
      <c r="W50" t="str">
        <f ca="1">IF($A50&gt;W$34,"",OFFSET(Tippabgabe!$EF$177,SUM(tipps!$A$34:V$34)+tipps!$A50,0))</f>
        <v/>
      </c>
      <c r="X50" t="str">
        <f ca="1">IF($A50&gt;X$34,"",OFFSET(Tippabgabe!$EF$177,SUM(tipps!$A$34:W$34)+tipps!$A50,0))</f>
        <v/>
      </c>
      <c r="Y50" t="str">
        <f ca="1">IF($A50&gt;Y$34,"",OFFSET(Tippabgabe!$EF$177,SUM(tipps!$A$34:X$34)+tipps!$A50,0))</f>
        <v/>
      </c>
      <c r="Z50" t="str">
        <f ca="1">IF($A50&gt;Z$34,"",OFFSET(Tippabgabe!$EF$177,SUM(tipps!$A$34:Y$34)+tipps!$A50,0))</f>
        <v/>
      </c>
      <c r="AA50" t="str">
        <f ca="1">IF($A50&gt;AA$34,"",OFFSET(Tippabgabe!$EF$177,SUM(tipps!$A$34:Z$34)+tipps!$A50,0))</f>
        <v/>
      </c>
      <c r="AB50" t="str">
        <f ca="1">IF($A50&gt;AB$34,"",OFFSET(Tippabgabe!$EF$177,SUM(tipps!$A$34:AA$34)+tipps!$A50,0))</f>
        <v/>
      </c>
      <c r="AC50" t="str">
        <f ca="1">IF($A50&gt;AC$34,"",OFFSET(Tippabgabe!$EF$177,SUM(tipps!$A$34:AB$34)+tipps!$A50,0))</f>
        <v/>
      </c>
      <c r="AD50" t="str">
        <f ca="1">IF($A50&gt;AD$34,"",OFFSET(Tippabgabe!$EF$177,SUM(tipps!$A$34:AC$34)+tipps!$A50,0))</f>
        <v/>
      </c>
      <c r="AE50" t="str">
        <f ca="1">IF($A50&gt;AE$34,"",OFFSET(Tippabgabe!$EF$177,SUM(tipps!$A$34:AD$34)+tipps!$A50,0))</f>
        <v/>
      </c>
      <c r="AF50" t="str">
        <f ca="1">IF($A50&gt;AF$34,"",OFFSET(Tippabgabe!$EF$177,SUM(tipps!$A$34:AE$34)+tipps!$A50,0))</f>
        <v/>
      </c>
      <c r="AG50" t="str">
        <f ca="1">IF($A50&gt;AG$34,"",OFFSET(Tippabgabe!$EF$177,SUM(tipps!$A$34:AF$34)+tipps!$A50,0))</f>
        <v/>
      </c>
      <c r="AH50" t="str">
        <f ca="1">IF($A50&gt;AH$34,"",OFFSET(Tippabgabe!$EF$177,SUM(tipps!$A$34:AG$34)+tipps!$A50,0))</f>
        <v/>
      </c>
      <c r="AI50" t="str">
        <f ca="1">IF($A50&gt;AI$34,"",OFFSET(Tippabgabe!$EF$177,SUM(tipps!$A$34:AH$34)+tipps!$A50,0))</f>
        <v/>
      </c>
      <c r="AJ50" t="str">
        <f ca="1">IF($A50&gt;AJ$34,"",OFFSET(Tippabgabe!$EF$177,SUM(tipps!$A$34:AI$34)+tipps!$A50,0))</f>
        <v/>
      </c>
      <c r="AK50" t="str">
        <f ca="1">IF($A50&gt;AK$34,"",OFFSET(Tippabgabe!$EF$177,SUM(tipps!$A$34:AJ$34)+tipps!$A50,0))</f>
        <v/>
      </c>
      <c r="AL50" t="str">
        <f ca="1">IF($A50&gt;AL$34,"",OFFSET(Tippabgabe!$EF$177,SUM(tipps!$A$34:AK$34)+tipps!$A50,0))</f>
        <v/>
      </c>
      <c r="AM50" t="str">
        <f ca="1">IF($A50&gt;AM$34,"",OFFSET(Tippabgabe!$EF$177,SUM(tipps!$A$34:AL$34)+tipps!$A50,0))</f>
        <v/>
      </c>
      <c r="AN50" t="str">
        <f ca="1">IF($A50&gt;AN$34,"",OFFSET(Tippabgabe!$EF$177,SUM(tipps!$A$34:AM$34)+tipps!$A50,0))</f>
        <v/>
      </c>
      <c r="AO50" t="str">
        <f ca="1">IF($A50&gt;AO$34,"",OFFSET(Tippabgabe!$EF$177,SUM(tipps!$A$34:AN$34)+tipps!$A50,0))</f>
        <v/>
      </c>
      <c r="AP50" t="str">
        <f ca="1">IF($A50&gt;AP$34,"",OFFSET(Tippabgabe!$EF$177,SUM(tipps!$A$34:AO$34)+tipps!$A50,0))</f>
        <v/>
      </c>
      <c r="AQ50" t="str">
        <f ca="1">IF($A50&gt;AQ$34,"",OFFSET(Tippabgabe!$EF$177,SUM(tipps!$A$34:AP$34)+tipps!$A50,0))</f>
        <v/>
      </c>
      <c r="AR50" t="str">
        <f ca="1">IF($A50&gt;AR$34,"",OFFSET(Tippabgabe!$EF$177,SUM(tipps!$A$34:AQ$34)+tipps!$A50,0))</f>
        <v/>
      </c>
      <c r="AS50" t="str">
        <f ca="1">IF($A50&gt;AS$34,"",OFFSET(Tippabgabe!$EF$177,SUM(tipps!$A$34:AR$34)+tipps!$A50,0))</f>
        <v/>
      </c>
      <c r="AT50" t="str">
        <f ca="1">IF($A50&gt;AT$34,"",OFFSET(Tippabgabe!$EF$177,SUM(tipps!$A$34:AS$34)+tipps!$A50,0))</f>
        <v/>
      </c>
      <c r="AU50" t="str">
        <f ca="1">IF($A50&gt;AU$34,"",OFFSET(Tippabgabe!$EF$177,SUM(tipps!$A$34:AT$34)+tipps!$A50,0))</f>
        <v/>
      </c>
      <c r="AV50" t="str">
        <f ca="1">IF($A50&gt;AV$34,"",OFFSET(Tippabgabe!$EF$177,SUM(tipps!$A$34:AU$34)+tipps!$A50,0))</f>
        <v/>
      </c>
      <c r="AW50" t="str">
        <f ca="1">IF($A50&gt;AW$34,"",OFFSET(Tippabgabe!$EF$177,SUM(tipps!$A$34:AV$34)+tipps!$A50,0))</f>
        <v/>
      </c>
      <c r="AX50" t="str">
        <f ca="1">IF($A50&gt;AX$34,"",OFFSET(Tippabgabe!$EF$177,SUM(tipps!$A$34:AW$34)+tipps!$A50,0))</f>
        <v/>
      </c>
      <c r="AY50" t="str">
        <f ca="1">IF($A50&gt;AY$34,"",OFFSET(Tippabgabe!$EF$177,SUM(tipps!$A$34:AX$34)+tipps!$A50,0))</f>
        <v/>
      </c>
      <c r="AZ50" t="str">
        <f ca="1">IF($A50&gt;AZ$34,"",OFFSET(Tippabgabe!$EF$177,SUM(tipps!$A$34:AY$34)+tipps!$A50,0))</f>
        <v/>
      </c>
      <c r="BA50" t="str">
        <f ca="1">IF($A50&gt;BA$34,"",OFFSET(Tippabgabe!$EF$177,SUM(tipps!$A$34:AZ$34)+tipps!$A50,0))</f>
        <v/>
      </c>
      <c r="BB50" t="str">
        <f ca="1">IF($A50&gt;BB$34,"",OFFSET(Tippabgabe!$EF$177,SUM(tipps!$A$34:BA$34)+tipps!$A50,0))</f>
        <v/>
      </c>
      <c r="BC50" t="str">
        <f ca="1">IF($A50&gt;BC$34,"",OFFSET(Tippabgabe!$EF$177,SUM(tipps!$A$34:BB$34)+tipps!$A50,0))</f>
        <v/>
      </c>
      <c r="BD50" t="str">
        <f ca="1">IF($A50&gt;BD$34,"",OFFSET(Tippabgabe!$EF$177,SUM(tipps!$A$34:BC$34)+tipps!$A50,0))</f>
        <v/>
      </c>
      <c r="BE50" t="str">
        <f ca="1">IF($A50&gt;BE$34,"",OFFSET(Tippabgabe!$EF$177,SUM(tipps!$A$34:BD$34)+tipps!$A50,0))</f>
        <v/>
      </c>
      <c r="BF50" t="str">
        <f ca="1">IF($A50&gt;BF$34,"",OFFSET(Tippabgabe!$EF$177,SUM(tipps!$A$34:BE$34)+tipps!$A50,0))</f>
        <v/>
      </c>
      <c r="BG50" t="str">
        <f ca="1">IF($A50&gt;BG$34,"",OFFSET(Tippabgabe!$EF$177,SUM(tipps!$A$34:BF$34)+tipps!$A50,0))</f>
        <v/>
      </c>
      <c r="BH50" t="str">
        <f ca="1">IF($A50&gt;BH$34,"",OFFSET(Tippabgabe!$EF$177,SUM(tipps!$A$34:BG$34)+tipps!$A50,0))</f>
        <v/>
      </c>
      <c r="BI50" t="str">
        <f ca="1">IF($A50&gt;BI$34,"",OFFSET(Tippabgabe!$EF$177,SUM(tipps!$A$34:BH$34)+tipps!$A50,0))</f>
        <v/>
      </c>
      <c r="BJ50" t="str">
        <f ca="1">IF($A50&gt;BJ$34,"",OFFSET(Tippabgabe!$EF$177,SUM(tipps!$A$34:BI$34)+tipps!$A50,0))</f>
        <v/>
      </c>
      <c r="BK50" t="str">
        <f ca="1">IF($A50&gt;BK$34,"",OFFSET(Tippabgabe!$EF$177,SUM(tipps!$A$34:BJ$34)+tipps!$A50,0))</f>
        <v/>
      </c>
      <c r="BL50" t="str">
        <f ca="1">IF($A50&gt;BL$34,"",OFFSET(Tippabgabe!$EF$177,SUM(tipps!$A$34:BK$34)+tipps!$A50,0))</f>
        <v/>
      </c>
      <c r="BM50" t="str">
        <f ca="1">IF($A50&gt;BM$34,"",OFFSET(Tippabgabe!$EF$177,SUM(tipps!$A$34:BL$34)+tipps!$A50,0))</f>
        <v/>
      </c>
      <c r="BN50" t="str">
        <f ca="1">IF($A50&gt;BN$34,"",OFFSET(Tippabgabe!$EF$177,SUM(tipps!$A$34:BM$34)+tipps!$A50,0))</f>
        <v/>
      </c>
      <c r="BO50" t="str">
        <f ca="1">IF($A50&gt;BO$34,"",OFFSET(Tippabgabe!$EF$177,SUM(tipps!$A$34:BN$34)+tipps!$A50,0))</f>
        <v/>
      </c>
      <c r="BP50" t="str">
        <f ca="1">IF($A50&gt;BP$34,"",OFFSET(Tippabgabe!$EF$177,SUM(tipps!$A$34:BO$34)+tipps!$A50,0))</f>
        <v/>
      </c>
      <c r="BQ50" t="str">
        <f ca="1">IF($A50&gt;BQ$34,"",OFFSET(Tippabgabe!$EF$177,SUM(tipps!$A$34:BP$34)+tipps!$A50,0))</f>
        <v/>
      </c>
      <c r="BR50" t="str">
        <f ca="1">IF($A50&gt;BR$34,"",OFFSET(Tippabgabe!$EF$177,SUM(tipps!$A$34:BQ$34)+tipps!$A50,0))</f>
        <v/>
      </c>
      <c r="BS50" t="str">
        <f ca="1">IF($A50&gt;BS$34,"",OFFSET(Tippabgabe!$EF$177,SUM(tipps!$A$34:BR$34)+tipps!$A50,0))</f>
        <v/>
      </c>
      <c r="BT50" t="str">
        <f ca="1">IF($A50&gt;BT$34,"",OFFSET(Tippabgabe!$EF$177,SUM(tipps!$A$34:BS$34)+tipps!$A50,0))</f>
        <v/>
      </c>
      <c r="BU50" t="str">
        <f ca="1">IF($A50&gt;BU$34,"",OFFSET(Tippabgabe!$EF$177,SUM(tipps!$A$34:BT$34)+tipps!$A50,0))</f>
        <v/>
      </c>
      <c r="BV50" t="str">
        <f ca="1">IF($A50&gt;BV$34,"",OFFSET(Tippabgabe!$EF$177,SUM(tipps!$A$34:BU$34)+tipps!$A50,0))</f>
        <v/>
      </c>
      <c r="BW50" t="str">
        <f ca="1">IF($A50&gt;BW$34,"",OFFSET(Tippabgabe!$EF$177,SUM(tipps!$A$34:BV$34)+tipps!$A50,0))</f>
        <v/>
      </c>
    </row>
    <row r="51" spans="1:75" x14ac:dyDescent="0.2">
      <c r="A51">
        <v>16</v>
      </c>
      <c r="B51" t="str">
        <f ca="1">IF($A51&gt;B$34,"",OFFSET(Tippabgabe!$EF$177,SUM(tipps!$A$34:A$34)+tipps!$A51,0))</f>
        <v/>
      </c>
      <c r="C51" t="str">
        <f ca="1">IF($A51&gt;C$34,"",OFFSET(Tippabgabe!$EF$177,SUM(tipps!$A$34:B$34)+tipps!$A51,0))</f>
        <v/>
      </c>
      <c r="D51" t="str">
        <f ca="1">IF($A51&gt;D$34,"",OFFSET(Tippabgabe!$EF$177,SUM(tipps!$A$34:C$34)+tipps!$A51,0))</f>
        <v/>
      </c>
      <c r="E51" t="str">
        <f ca="1">IF($A51&gt;E$34,"",OFFSET(Tippabgabe!$EF$177,SUM(tipps!$A$34:D$34)+tipps!$A51,0))</f>
        <v/>
      </c>
      <c r="F51" t="str">
        <f ca="1">IF($A51&gt;F$34,"",OFFSET(Tippabgabe!$EF$177,SUM(tipps!$A$34:E$34)+tipps!$A51,0))</f>
        <v/>
      </c>
      <c r="G51" t="str">
        <f ca="1">IF($A51&gt;G$34,"",OFFSET(Tippabgabe!$EF$177,SUM(tipps!$A$34:F$34)+tipps!$A51,0))</f>
        <v/>
      </c>
      <c r="H51" t="str">
        <f ca="1">IF($A51&gt;H$34,"",OFFSET(Tippabgabe!$EF$177,SUM(tipps!$A$34:G$34)+tipps!$A51,0))</f>
        <v/>
      </c>
      <c r="I51" t="str">
        <f ca="1">IF($A51&gt;I$34,"",OFFSET(Tippabgabe!$EF$177,SUM(tipps!$A$34:H$34)+tipps!$A51,0))</f>
        <v/>
      </c>
      <c r="J51" t="str">
        <f ca="1">IF($A51&gt;J$34,"",OFFSET(Tippabgabe!$EF$177,SUM(tipps!$A$34:I$34)+tipps!$A51,0))</f>
        <v/>
      </c>
      <c r="K51" t="str">
        <f ca="1">IF($A51&gt;K$34,"",OFFSET(Tippabgabe!$EF$177,SUM(tipps!$A$34:J$34)+tipps!$A51,0))</f>
        <v/>
      </c>
      <c r="L51" t="str">
        <f ca="1">IF($A51&gt;L$34,"",OFFSET(Tippabgabe!$EF$177,SUM(tipps!$A$34:K$34)+tipps!$A51,0))</f>
        <v/>
      </c>
      <c r="M51" t="str">
        <f ca="1">IF($A51&gt;M$34,"",OFFSET(Tippabgabe!$EF$177,SUM(tipps!$A$34:L$34)+tipps!$A51,0))</f>
        <v/>
      </c>
      <c r="N51" t="str">
        <f ca="1">IF($A51&gt;N$34,"",OFFSET(Tippabgabe!$EF$177,SUM(tipps!$A$34:M$34)+tipps!$A51,0))</f>
        <v/>
      </c>
      <c r="O51" t="str">
        <f ca="1">IF($A51&gt;O$34,"",OFFSET(Tippabgabe!$EF$177,SUM(tipps!$A$34:N$34)+tipps!$A51,0))</f>
        <v/>
      </c>
      <c r="P51" t="str">
        <f ca="1">IF($A51&gt;P$34,"",OFFSET(Tippabgabe!$EF$177,SUM(tipps!$A$34:O$34)+tipps!$A51,0))</f>
        <v/>
      </c>
      <c r="Q51" t="str">
        <f ca="1">IF($A51&gt;Q$34,"",OFFSET(Tippabgabe!$EF$177,SUM(tipps!$A$34:P$34)+tipps!$A51,0))</f>
        <v/>
      </c>
      <c r="R51" t="str">
        <f ca="1">IF($A51&gt;R$34,"",OFFSET(Tippabgabe!$EF$177,SUM(tipps!$A$34:Q$34)+tipps!$A51,0))</f>
        <v/>
      </c>
      <c r="S51" t="str">
        <f ca="1">IF($A51&gt;S$34,"",OFFSET(Tippabgabe!$EF$177,SUM(tipps!$A$34:R$34)+tipps!$A51,0))</f>
        <v/>
      </c>
      <c r="T51" t="str">
        <f ca="1">IF($A51&gt;T$34,"",OFFSET(Tippabgabe!$EF$177,SUM(tipps!$A$34:S$34)+tipps!$A51,0))</f>
        <v/>
      </c>
      <c r="U51" t="str">
        <f ca="1">IF($A51&gt;U$34,"",OFFSET(Tippabgabe!$EF$177,SUM(tipps!$A$34:T$34)+tipps!$A51,0))</f>
        <v/>
      </c>
      <c r="V51" t="str">
        <f ca="1">IF($A51&gt;V$34,"",OFFSET(Tippabgabe!$EF$177,SUM(tipps!$A$34:U$34)+tipps!$A51,0))</f>
        <v/>
      </c>
      <c r="W51" t="str">
        <f ca="1">IF($A51&gt;W$34,"",OFFSET(Tippabgabe!$EF$177,SUM(tipps!$A$34:V$34)+tipps!$A51,0))</f>
        <v/>
      </c>
      <c r="X51" t="str">
        <f ca="1">IF($A51&gt;X$34,"",OFFSET(Tippabgabe!$EF$177,SUM(tipps!$A$34:W$34)+tipps!$A51,0))</f>
        <v/>
      </c>
      <c r="Y51" t="str">
        <f ca="1">IF($A51&gt;Y$34,"",OFFSET(Tippabgabe!$EF$177,SUM(tipps!$A$34:X$34)+tipps!$A51,0))</f>
        <v/>
      </c>
      <c r="Z51" t="str">
        <f ca="1">IF($A51&gt;Z$34,"",OFFSET(Tippabgabe!$EF$177,SUM(tipps!$A$34:Y$34)+tipps!$A51,0))</f>
        <v/>
      </c>
      <c r="AA51" t="str">
        <f ca="1">IF($A51&gt;AA$34,"",OFFSET(Tippabgabe!$EF$177,SUM(tipps!$A$34:Z$34)+tipps!$A51,0))</f>
        <v/>
      </c>
      <c r="AB51" t="str">
        <f ca="1">IF($A51&gt;AB$34,"",OFFSET(Tippabgabe!$EF$177,SUM(tipps!$A$34:AA$34)+tipps!$A51,0))</f>
        <v/>
      </c>
      <c r="AC51" t="str">
        <f ca="1">IF($A51&gt;AC$34,"",OFFSET(Tippabgabe!$EF$177,SUM(tipps!$A$34:AB$34)+tipps!$A51,0))</f>
        <v/>
      </c>
      <c r="AD51" t="str">
        <f ca="1">IF($A51&gt;AD$34,"",OFFSET(Tippabgabe!$EF$177,SUM(tipps!$A$34:AC$34)+tipps!$A51,0))</f>
        <v/>
      </c>
      <c r="AE51" t="str">
        <f ca="1">IF($A51&gt;AE$34,"",OFFSET(Tippabgabe!$EF$177,SUM(tipps!$A$34:AD$34)+tipps!$A51,0))</f>
        <v/>
      </c>
      <c r="AF51" t="str">
        <f ca="1">IF($A51&gt;AF$34,"",OFFSET(Tippabgabe!$EF$177,SUM(tipps!$A$34:AE$34)+tipps!$A51,0))</f>
        <v/>
      </c>
      <c r="AG51" t="str">
        <f ca="1">IF($A51&gt;AG$34,"",OFFSET(Tippabgabe!$EF$177,SUM(tipps!$A$34:AF$34)+tipps!$A51,0))</f>
        <v/>
      </c>
      <c r="AH51" t="str">
        <f ca="1">IF($A51&gt;AH$34,"",OFFSET(Tippabgabe!$EF$177,SUM(tipps!$A$34:AG$34)+tipps!$A51,0))</f>
        <v/>
      </c>
      <c r="AI51" t="str">
        <f ca="1">IF($A51&gt;AI$34,"",OFFSET(Tippabgabe!$EF$177,SUM(tipps!$A$34:AH$34)+tipps!$A51,0))</f>
        <v/>
      </c>
      <c r="AJ51" t="str">
        <f ca="1">IF($A51&gt;AJ$34,"",OFFSET(Tippabgabe!$EF$177,SUM(tipps!$A$34:AI$34)+tipps!$A51,0))</f>
        <v/>
      </c>
      <c r="AK51" t="str">
        <f ca="1">IF($A51&gt;AK$34,"",OFFSET(Tippabgabe!$EF$177,SUM(tipps!$A$34:AJ$34)+tipps!$A51,0))</f>
        <v/>
      </c>
      <c r="AL51" t="str">
        <f ca="1">IF($A51&gt;AL$34,"",OFFSET(Tippabgabe!$EF$177,SUM(tipps!$A$34:AK$34)+tipps!$A51,0))</f>
        <v/>
      </c>
      <c r="AM51" t="str">
        <f ca="1">IF($A51&gt;AM$34,"",OFFSET(Tippabgabe!$EF$177,SUM(tipps!$A$34:AL$34)+tipps!$A51,0))</f>
        <v/>
      </c>
      <c r="AN51" t="str">
        <f ca="1">IF($A51&gt;AN$34,"",OFFSET(Tippabgabe!$EF$177,SUM(tipps!$A$34:AM$34)+tipps!$A51,0))</f>
        <v/>
      </c>
      <c r="AO51" t="str">
        <f ca="1">IF($A51&gt;AO$34,"",OFFSET(Tippabgabe!$EF$177,SUM(tipps!$A$34:AN$34)+tipps!$A51,0))</f>
        <v/>
      </c>
      <c r="AP51" t="str">
        <f ca="1">IF($A51&gt;AP$34,"",OFFSET(Tippabgabe!$EF$177,SUM(tipps!$A$34:AO$34)+tipps!$A51,0))</f>
        <v/>
      </c>
      <c r="AQ51" t="str">
        <f ca="1">IF($A51&gt;AQ$34,"",OFFSET(Tippabgabe!$EF$177,SUM(tipps!$A$34:AP$34)+tipps!$A51,0))</f>
        <v/>
      </c>
      <c r="AR51" t="str">
        <f ca="1">IF($A51&gt;AR$34,"",OFFSET(Tippabgabe!$EF$177,SUM(tipps!$A$34:AQ$34)+tipps!$A51,0))</f>
        <v/>
      </c>
      <c r="AS51" t="str">
        <f ca="1">IF($A51&gt;AS$34,"",OFFSET(Tippabgabe!$EF$177,SUM(tipps!$A$34:AR$34)+tipps!$A51,0))</f>
        <v/>
      </c>
      <c r="AT51" t="str">
        <f ca="1">IF($A51&gt;AT$34,"",OFFSET(Tippabgabe!$EF$177,SUM(tipps!$A$34:AS$34)+tipps!$A51,0))</f>
        <v/>
      </c>
      <c r="AU51" t="str">
        <f ca="1">IF($A51&gt;AU$34,"",OFFSET(Tippabgabe!$EF$177,SUM(tipps!$A$34:AT$34)+tipps!$A51,0))</f>
        <v/>
      </c>
      <c r="AV51" t="str">
        <f ca="1">IF($A51&gt;AV$34,"",OFFSET(Tippabgabe!$EF$177,SUM(tipps!$A$34:AU$34)+tipps!$A51,0))</f>
        <v/>
      </c>
      <c r="AW51" t="str">
        <f ca="1">IF($A51&gt;AW$34,"",OFFSET(Tippabgabe!$EF$177,SUM(tipps!$A$34:AV$34)+tipps!$A51,0))</f>
        <v/>
      </c>
      <c r="AX51" t="str">
        <f ca="1">IF($A51&gt;AX$34,"",OFFSET(Tippabgabe!$EF$177,SUM(tipps!$A$34:AW$34)+tipps!$A51,0))</f>
        <v/>
      </c>
      <c r="AY51" t="str">
        <f ca="1">IF($A51&gt;AY$34,"",OFFSET(Tippabgabe!$EF$177,SUM(tipps!$A$34:AX$34)+tipps!$A51,0))</f>
        <v/>
      </c>
      <c r="AZ51" t="str">
        <f ca="1">IF($A51&gt;AZ$34,"",OFFSET(Tippabgabe!$EF$177,SUM(tipps!$A$34:AY$34)+tipps!$A51,0))</f>
        <v/>
      </c>
      <c r="BA51" t="str">
        <f ca="1">IF($A51&gt;BA$34,"",OFFSET(Tippabgabe!$EF$177,SUM(tipps!$A$34:AZ$34)+tipps!$A51,0))</f>
        <v/>
      </c>
      <c r="BB51" t="str">
        <f ca="1">IF($A51&gt;BB$34,"",OFFSET(Tippabgabe!$EF$177,SUM(tipps!$A$34:BA$34)+tipps!$A51,0))</f>
        <v/>
      </c>
      <c r="BC51" t="str">
        <f ca="1">IF($A51&gt;BC$34,"",OFFSET(Tippabgabe!$EF$177,SUM(tipps!$A$34:BB$34)+tipps!$A51,0))</f>
        <v/>
      </c>
      <c r="BD51" t="str">
        <f ca="1">IF($A51&gt;BD$34,"",OFFSET(Tippabgabe!$EF$177,SUM(tipps!$A$34:BC$34)+tipps!$A51,0))</f>
        <v/>
      </c>
      <c r="BE51" t="str">
        <f ca="1">IF($A51&gt;BE$34,"",OFFSET(Tippabgabe!$EF$177,SUM(tipps!$A$34:BD$34)+tipps!$A51,0))</f>
        <v/>
      </c>
      <c r="BF51" t="str">
        <f ca="1">IF($A51&gt;BF$34,"",OFFSET(Tippabgabe!$EF$177,SUM(tipps!$A$34:BE$34)+tipps!$A51,0))</f>
        <v/>
      </c>
      <c r="BG51" t="str">
        <f ca="1">IF($A51&gt;BG$34,"",OFFSET(Tippabgabe!$EF$177,SUM(tipps!$A$34:BF$34)+tipps!$A51,0))</f>
        <v/>
      </c>
      <c r="BH51" t="str">
        <f ca="1">IF($A51&gt;BH$34,"",OFFSET(Tippabgabe!$EF$177,SUM(tipps!$A$34:BG$34)+tipps!$A51,0))</f>
        <v/>
      </c>
      <c r="BI51" t="str">
        <f ca="1">IF($A51&gt;BI$34,"",OFFSET(Tippabgabe!$EF$177,SUM(tipps!$A$34:BH$34)+tipps!$A51,0))</f>
        <v/>
      </c>
      <c r="BJ51" t="str">
        <f ca="1">IF($A51&gt;BJ$34,"",OFFSET(Tippabgabe!$EF$177,SUM(tipps!$A$34:BI$34)+tipps!$A51,0))</f>
        <v/>
      </c>
      <c r="BK51" t="str">
        <f ca="1">IF($A51&gt;BK$34,"",OFFSET(Tippabgabe!$EF$177,SUM(tipps!$A$34:BJ$34)+tipps!$A51,0))</f>
        <v/>
      </c>
      <c r="BL51" t="str">
        <f ca="1">IF($A51&gt;BL$34,"",OFFSET(Tippabgabe!$EF$177,SUM(tipps!$A$34:BK$34)+tipps!$A51,0))</f>
        <v/>
      </c>
      <c r="BM51" t="str">
        <f ca="1">IF($A51&gt;BM$34,"",OFFSET(Tippabgabe!$EF$177,SUM(tipps!$A$34:BL$34)+tipps!$A51,0))</f>
        <v/>
      </c>
      <c r="BN51" t="str">
        <f ca="1">IF($A51&gt;BN$34,"",OFFSET(Tippabgabe!$EF$177,SUM(tipps!$A$34:BM$34)+tipps!$A51,0))</f>
        <v/>
      </c>
      <c r="BO51" t="str">
        <f ca="1">IF($A51&gt;BO$34,"",OFFSET(Tippabgabe!$EF$177,SUM(tipps!$A$34:BN$34)+tipps!$A51,0))</f>
        <v/>
      </c>
      <c r="BP51" t="str">
        <f ca="1">IF($A51&gt;BP$34,"",OFFSET(Tippabgabe!$EF$177,SUM(tipps!$A$34:BO$34)+tipps!$A51,0))</f>
        <v/>
      </c>
      <c r="BQ51" t="str">
        <f ca="1">IF($A51&gt;BQ$34,"",OFFSET(Tippabgabe!$EF$177,SUM(tipps!$A$34:BP$34)+tipps!$A51,0))</f>
        <v/>
      </c>
      <c r="BR51" t="str">
        <f ca="1">IF($A51&gt;BR$34,"",OFFSET(Tippabgabe!$EF$177,SUM(tipps!$A$34:BQ$34)+tipps!$A51,0))</f>
        <v/>
      </c>
      <c r="BS51" t="str">
        <f ca="1">IF($A51&gt;BS$34,"",OFFSET(Tippabgabe!$EF$177,SUM(tipps!$A$34:BR$34)+tipps!$A51,0))</f>
        <v/>
      </c>
      <c r="BT51" t="str">
        <f ca="1">IF($A51&gt;BT$34,"",OFFSET(Tippabgabe!$EF$177,SUM(tipps!$A$34:BS$34)+tipps!$A51,0))</f>
        <v/>
      </c>
      <c r="BU51" t="str">
        <f ca="1">IF($A51&gt;BU$34,"",OFFSET(Tippabgabe!$EF$177,SUM(tipps!$A$34:BT$34)+tipps!$A51,0))</f>
        <v/>
      </c>
      <c r="BV51" t="str">
        <f ca="1">IF($A51&gt;BV$34,"",OFFSET(Tippabgabe!$EF$177,SUM(tipps!$A$34:BU$34)+tipps!$A51,0))</f>
        <v/>
      </c>
      <c r="BW51" t="str">
        <f ca="1">IF($A51&gt;BW$34,"",OFFSET(Tippabgabe!$EF$177,SUM(tipps!$A$34:BV$34)+tipps!$A51,0))</f>
        <v/>
      </c>
    </row>
    <row r="52" spans="1:75" x14ac:dyDescent="0.2">
      <c r="A52" t="s">
        <v>819</v>
      </c>
    </row>
    <row r="53" spans="1:75" x14ac:dyDescent="0.2">
      <c r="A53" t="s">
        <v>820</v>
      </c>
    </row>
    <row r="54" spans="1:75" x14ac:dyDescent="0.2">
      <c r="A54" t="s">
        <v>762</v>
      </c>
    </row>
    <row r="55" spans="1:75" x14ac:dyDescent="0.2">
      <c r="A55" t="s">
        <v>762</v>
      </c>
    </row>
    <row r="57" spans="1:75" ht="10.8" thickBot="1" x14ac:dyDescent="0.25">
      <c r="A57" t="s">
        <v>380</v>
      </c>
    </row>
    <row r="58" spans="1:75" ht="10.8" thickTop="1" x14ac:dyDescent="0.2">
      <c r="A58" s="318">
        <v>1</v>
      </c>
      <c r="B58" t="str">
        <f ca="1">IF($A36&gt;B$34,"",IF(OFFSET(Tippabgabe!$DB$177,SUM(tipps!$A$34:A$34)+tipps!$A36,0)&lt;0,"",OFFSET(Tippabgabe!$DB$177,SUM(tipps!$A$34:A$34)+tipps!$A36,0)))</f>
        <v/>
      </c>
      <c r="C58" t="str">
        <f ca="1">IF($A36&gt;C$34,"",IF(OFFSET(Tippabgabe!$DB$177,SUM(tipps!$A$34:B$34)+tipps!$A36,0)&lt;0,"",OFFSET(Tippabgabe!$DB$177,SUM(tipps!$A$34:B$34)+tipps!$A36,0)))</f>
        <v/>
      </c>
      <c r="D58" t="str">
        <f ca="1">IF($A36&gt;D$34,"",IF(OFFSET(Tippabgabe!$DB$177,SUM(tipps!$A$34:C$34)+tipps!$A36,0)&lt;0,"",OFFSET(Tippabgabe!$DB$177,SUM(tipps!$A$34:C$34)+tipps!$A36,0)))</f>
        <v/>
      </c>
      <c r="E58" t="str">
        <f ca="1">IF($A36&gt;E$34,"",IF(OFFSET(Tippabgabe!$DB$177,SUM(tipps!$A$34:D$34)+tipps!$A36,0)&lt;0,"",OFFSET(Tippabgabe!$DB$177,SUM(tipps!$A$34:D$34)+tipps!$A36,0)))</f>
        <v/>
      </c>
      <c r="F58" t="str">
        <f ca="1">IF($A36&gt;F$34,"",IF(OFFSET(Tippabgabe!$DB$177,SUM(tipps!$A$34:E$34)+tipps!$A36,0)&lt;0,"",OFFSET(Tippabgabe!$DB$177,SUM(tipps!$A$34:E$34)+tipps!$A36,0)))</f>
        <v/>
      </c>
      <c r="G58" t="str">
        <f ca="1">IF($A36&gt;G$34,"",IF(OFFSET(Tippabgabe!$DB$177,SUM(tipps!$A$34:F$34)+tipps!$A36,0)&lt;0,"",OFFSET(Tippabgabe!$DB$177,SUM(tipps!$A$34:F$34)+tipps!$A36,0)))</f>
        <v/>
      </c>
      <c r="H58" t="str">
        <f ca="1">IF($A36&gt;H$34,"",IF(OFFSET(Tippabgabe!$DB$177,SUM(tipps!$A$34:G$34)+tipps!$A36,0)&lt;0,"",OFFSET(Tippabgabe!$DB$177,SUM(tipps!$A$34:G$34)+tipps!$A36,0)))</f>
        <v/>
      </c>
      <c r="I58" t="str">
        <f ca="1">IF($A36&gt;I$34,"",IF(OFFSET(Tippabgabe!$DB$177,SUM(tipps!$A$34:H$34)+tipps!$A36,0)&lt;0,"",OFFSET(Tippabgabe!$DB$177,SUM(tipps!$A$34:H$34)+tipps!$A36,0)))</f>
        <v/>
      </c>
      <c r="J58" t="str">
        <f ca="1">IF($A36&gt;J$34,"",IF(OFFSET(Tippabgabe!$DB$177,SUM(tipps!$A$34:I$34)+tipps!$A36,0)&lt;0,"",OFFSET(Tippabgabe!$DB$177,SUM(tipps!$A$34:I$34)+tipps!$A36,0)))</f>
        <v/>
      </c>
      <c r="K58">
        <f ca="1">IF($A36&gt;K$34,"",IF(OFFSET(Tippabgabe!$DB$177,SUM(tipps!$A$34:J$34)+tipps!$A36,0)&lt;0,"",OFFSET(Tippabgabe!$DB$177,SUM(tipps!$A$34:J$34)+tipps!$A36,0)))</f>
        <v>1</v>
      </c>
      <c r="L58">
        <f ca="1">IF($A36&gt;L$34,"",IF(OFFSET(Tippabgabe!$DB$177,SUM(tipps!$A$34:K$34)+tipps!$A36,0)&lt;0,"",OFFSET(Tippabgabe!$DB$177,SUM(tipps!$A$34:K$34)+tipps!$A36,0)))</f>
        <v>1</v>
      </c>
      <c r="M58">
        <f ca="1">IF($A36&gt;M$34,"",IF(OFFSET(Tippabgabe!$DB$177,SUM(tipps!$A$34:L$34)+tipps!$A36,0)&lt;0,"",OFFSET(Tippabgabe!$DB$177,SUM(tipps!$A$34:L$34)+tipps!$A36,0)))</f>
        <v>5</v>
      </c>
      <c r="N58">
        <f ca="1">IF($A36&gt;N$34,"",IF(OFFSET(Tippabgabe!$DB$177,SUM(tipps!$A$34:M$34)+tipps!$A36,0)&lt;0,"",OFFSET(Tippabgabe!$DB$177,SUM(tipps!$A$34:M$34)+tipps!$A36,0)))</f>
        <v>9</v>
      </c>
      <c r="O58">
        <f ca="1">IF($A36&gt;O$34,"",IF(OFFSET(Tippabgabe!$DB$177,SUM(tipps!$A$34:N$34)+tipps!$A36,0)&lt;0,"",OFFSET(Tippabgabe!$DB$177,SUM(tipps!$A$34:N$34)+tipps!$A36,0)))</f>
        <v>13</v>
      </c>
      <c r="P58">
        <f ca="1">IF($A36&gt;P$34,"",IF(OFFSET(Tippabgabe!$DB$177,SUM(tipps!$A$34:O$34)+tipps!$A36,0)&lt;0,"",OFFSET(Tippabgabe!$DB$177,SUM(tipps!$A$34:O$34)+tipps!$A36,0)))</f>
        <v>17</v>
      </c>
      <c r="Q58">
        <f ca="1">IF($A36&gt;Q$34,"",IF(OFFSET(Tippabgabe!$DB$177,SUM(tipps!$A$34:P$34)+tipps!$A36,0)&lt;0,"",OFFSET(Tippabgabe!$DB$177,SUM(tipps!$A$34:P$34)+tipps!$A36,0)))</f>
        <v>21</v>
      </c>
      <c r="R58">
        <f ca="1">IF($A36&gt;R$34,"",IF(OFFSET(Tippabgabe!$DB$177,SUM(tipps!$A$34:Q$34)+tipps!$A36,0)&lt;0,"",OFFSET(Tippabgabe!$DB$177,SUM(tipps!$A$34:Q$34)+tipps!$A36,0)))</f>
        <v>2</v>
      </c>
      <c r="S58">
        <f ca="1">IF($A36&gt;S$34,"",IF(OFFSET(Tippabgabe!$DB$177,SUM(tipps!$A$34:R$34)+tipps!$A36,0)&lt;0,"",OFFSET(Tippabgabe!$DB$177,SUM(tipps!$A$34:R$34)+tipps!$A36,0)))</f>
        <v>6</v>
      </c>
      <c r="T58">
        <f ca="1">IF($A36&gt;T$34,"",IF(OFFSET(Tippabgabe!$DB$177,SUM(tipps!$A$34:S$34)+tipps!$A36,0)&lt;0,"",OFFSET(Tippabgabe!$DB$177,SUM(tipps!$A$34:S$34)+tipps!$A36,0)))</f>
        <v>10</v>
      </c>
      <c r="U58">
        <f ca="1">IF($A36&gt;U$34,"",IF(OFFSET(Tippabgabe!$DB$177,SUM(tipps!$A$34:T$34)+tipps!$A36,0)&lt;0,"",OFFSET(Tippabgabe!$DB$177,SUM(tipps!$A$34:T$34)+tipps!$A36,0)))</f>
        <v>14</v>
      </c>
      <c r="V58">
        <f ca="1">IF($A36&gt;V$34,"",IF(OFFSET(Tippabgabe!$DB$177,SUM(tipps!$A$34:U$34)+tipps!$A36,0)&lt;0,"",OFFSET(Tippabgabe!$DB$177,SUM(tipps!$A$34:U$34)+tipps!$A36,0)))</f>
        <v>18</v>
      </c>
      <c r="W58">
        <f ca="1">IF($A36&gt;W$34,"",IF(OFFSET(Tippabgabe!$DB$177,SUM(tipps!$A$34:V$34)+tipps!$A36,0)&lt;0,"",OFFSET(Tippabgabe!$DB$177,SUM(tipps!$A$34:V$34)+tipps!$A36,0)))</f>
        <v>22</v>
      </c>
      <c r="X58">
        <f ca="1">IF($A36&gt;X$34,"",IF(OFFSET(Tippabgabe!$DB$177,SUM(tipps!$A$34:W$34)+tipps!$A36,0)&lt;0,"",OFFSET(Tippabgabe!$DB$177,SUM(tipps!$A$34:W$34)+tipps!$A36,0)))</f>
        <v>3</v>
      </c>
      <c r="Y58">
        <f ca="1">IF($A36&gt;Y$34,"",IF(OFFSET(Tippabgabe!$DB$177,SUM(tipps!$A$34:X$34)+tipps!$A36,0)&lt;0,"",OFFSET(Tippabgabe!$DB$177,SUM(tipps!$A$34:X$34)+tipps!$A36,0)))</f>
        <v>7</v>
      </c>
      <c r="Z58">
        <f ca="1">IF($A36&gt;Z$34,"",IF(OFFSET(Tippabgabe!$DB$177,SUM(tipps!$A$34:Y$34)+tipps!$A36,0)&lt;0,"",OFFSET(Tippabgabe!$DB$177,SUM(tipps!$A$34:Y$34)+tipps!$A36,0)))</f>
        <v>11</v>
      </c>
      <c r="AA58">
        <f ca="1">IF($A36&gt;AA$34,"",IF(OFFSET(Tippabgabe!$DB$177,SUM(tipps!$A$34:Z$34)+tipps!$A36,0)&lt;0,"",OFFSET(Tippabgabe!$DB$177,SUM(tipps!$A$34:Z$34)+tipps!$A36,0)))</f>
        <v>15</v>
      </c>
      <c r="AB58">
        <f ca="1">IF($A36&gt;AB$34,"",IF(OFFSET(Tippabgabe!$DB$177,SUM(tipps!$A$34:AA$34)+tipps!$A36,0)&lt;0,"",OFFSET(Tippabgabe!$DB$177,SUM(tipps!$A$34:AA$34)+tipps!$A36,0)))</f>
        <v>19</v>
      </c>
      <c r="AC58">
        <f ca="1">IF($A36&gt;AC$34,"",IF(OFFSET(Tippabgabe!$DB$177,SUM(tipps!$A$34:AB$34)+tipps!$A36,0)&lt;0,"",OFFSET(Tippabgabe!$DB$177,SUM(tipps!$A$34:AB$34)+tipps!$A36,0)))</f>
        <v>23</v>
      </c>
      <c r="AD58">
        <f ca="1">IF($A36&gt;AD$34,"",IF(OFFSET(Tippabgabe!$DB$177,SUM(tipps!$A$34:AC$34)+tipps!$A36,0)&lt;0,"",OFFSET(Tippabgabe!$DB$177,SUM(tipps!$A$34:AC$34)+tipps!$A36,0)))</f>
        <v>4</v>
      </c>
      <c r="AE58">
        <f ca="1">IF($A36&gt;AE$34,"",IF(OFFSET(Tippabgabe!$DB$177,SUM(tipps!$A$34:AD$34)+tipps!$A36,0)&lt;0,"",OFFSET(Tippabgabe!$DB$177,SUM(tipps!$A$34:AD$34)+tipps!$A36,0)))</f>
        <v>8</v>
      </c>
      <c r="AF58">
        <f ca="1">IF($A36&gt;AF$34,"",IF(OFFSET(Tippabgabe!$DB$177,SUM(tipps!$A$34:AE$34)+tipps!$A36,0)&lt;0,"",OFFSET(Tippabgabe!$DB$177,SUM(tipps!$A$34:AE$34)+tipps!$A36,0)))</f>
        <v>12</v>
      </c>
      <c r="AG58">
        <f ca="1">IF($A36&gt;AG$34,"",IF(OFFSET(Tippabgabe!$DB$177,SUM(tipps!$A$34:AF$34)+tipps!$A36,0)&lt;0,"",OFFSET(Tippabgabe!$DB$177,SUM(tipps!$A$34:AF$34)+tipps!$A36,0)))</f>
        <v>16</v>
      </c>
      <c r="AH58">
        <f ca="1">IF($A36&gt;AH$34,"",IF(OFFSET(Tippabgabe!$DB$177,SUM(tipps!$A$34:AG$34)+tipps!$A36,0)&lt;0,"",OFFSET(Tippabgabe!$DB$177,SUM(tipps!$A$34:AG$34)+tipps!$A36,0)))</f>
        <v>20</v>
      </c>
      <c r="AI58">
        <f ca="1">IF($A36&gt;AI$34,"",IF(OFFSET(Tippabgabe!$DB$177,SUM(tipps!$A$34:AH$34)+tipps!$A36,0)&lt;0,"",OFFSET(Tippabgabe!$DB$177,SUM(tipps!$A$34:AH$34)+tipps!$A36,0)))</f>
        <v>24</v>
      </c>
      <c r="AJ58">
        <f ca="1">IF($A36&gt;AJ$34,"",IF(OFFSET(Tippabgabe!$DB$177,SUM(tipps!$A$34:AI$34)+tipps!$A36,0)&lt;0,"",OFFSET(Tippabgabe!$DB$177,SUM(tipps!$A$34:AI$34)+tipps!$A36,0)))</f>
        <v>1</v>
      </c>
      <c r="AK58">
        <f ca="1">IF($A36&gt;AK$34,"",IF(OFFSET(Tippabgabe!$DB$177,SUM(tipps!$A$34:AJ$34)+tipps!$A36,0)&lt;0,"",OFFSET(Tippabgabe!$DB$177,SUM(tipps!$A$34:AJ$34)+tipps!$A36,0)))</f>
        <v>1</v>
      </c>
      <c r="AL58">
        <f ca="1">IF($A36&gt;AL$34,"",IF(OFFSET(Tippabgabe!$DB$177,SUM(tipps!$A$34:AK$34)+tipps!$A36,0)&lt;0,"",OFFSET(Tippabgabe!$DB$177,SUM(tipps!$A$34:AK$34)+tipps!$A36,0)))</f>
        <v>1</v>
      </c>
      <c r="AM58">
        <f ca="1">IF($A36&gt;AM$34,"",IF(OFFSET(Tippabgabe!$DB$177,SUM(tipps!$A$34:AL$34)+tipps!$A36,0)&lt;0,"",OFFSET(Tippabgabe!$DB$177,SUM(tipps!$A$34:AL$34)+tipps!$A36,0)))</f>
        <v>1</v>
      </c>
      <c r="AN58">
        <f ca="1">IF($A36&gt;AN$34,"",IF(OFFSET(Tippabgabe!$DB$177,SUM(tipps!$A$34:AM$34)+tipps!$A36,0)&lt;0,"",OFFSET(Tippabgabe!$DB$177,SUM(tipps!$A$34:AM$34)+tipps!$A36,0)))</f>
        <v>1</v>
      </c>
      <c r="AO58">
        <f ca="1">IF($A36&gt;AO$34,"",IF(OFFSET(Tippabgabe!$DB$177,SUM(tipps!$A$34:AN$34)+tipps!$A36,0)&lt;0,"",OFFSET(Tippabgabe!$DB$177,SUM(tipps!$A$34:AN$34)+tipps!$A36,0)))</f>
        <v>1</v>
      </c>
      <c r="AP58">
        <f ca="1">IF($A36&gt;AP$34,"",IF(OFFSET(Tippabgabe!$DB$177,SUM(tipps!$A$34:AO$34)+tipps!$A36,0)&lt;0,"",OFFSET(Tippabgabe!$DB$177,SUM(tipps!$A$34:AO$34)+tipps!$A36,0)))</f>
        <v>1</v>
      </c>
      <c r="AQ58">
        <f ca="1">IF($A36&gt;AQ$34,"",IF(OFFSET(Tippabgabe!$DB$177,SUM(tipps!$A$34:AP$34)+tipps!$A36,0)&lt;0,"",OFFSET(Tippabgabe!$DB$177,SUM(tipps!$A$34:AP$34)+tipps!$A36,0)))</f>
        <v>1</v>
      </c>
      <c r="AR58">
        <f ca="1">IF($A36&gt;AR$34,"",IF(OFFSET(Tippabgabe!$DB$177,SUM(tipps!$A$34:AQ$34)+tipps!$A36,0)&lt;0,"",OFFSET(Tippabgabe!$DB$177,SUM(tipps!$A$34:AQ$34)+tipps!$A36,0)))</f>
        <v>1</v>
      </c>
      <c r="AS58">
        <f ca="1">IF($A36&gt;AS$34,"",IF(OFFSET(Tippabgabe!$DB$177,SUM(tipps!$A$34:AR$34)+tipps!$A36,0)&lt;0,"",OFFSET(Tippabgabe!$DB$177,SUM(tipps!$A$34:AR$34)+tipps!$A36,0)))</f>
        <v>1</v>
      </c>
      <c r="AT58">
        <f ca="1">IF($A36&gt;AT$34,"",IF(OFFSET(Tippabgabe!$DB$177,SUM(tipps!$A$34:AS$34)+tipps!$A36,0)&lt;0,"",OFFSET(Tippabgabe!$DB$177,SUM(tipps!$A$34:AS$34)+tipps!$A36,0)))</f>
        <v>1</v>
      </c>
      <c r="AU58">
        <f ca="1">IF($A36&gt;AU$34,"",IF(OFFSET(Tippabgabe!$DB$177,SUM(tipps!$A$34:AT$34)+tipps!$A36,0)&lt;0,"",OFFSET(Tippabgabe!$DB$177,SUM(tipps!$A$34:AT$34)+tipps!$A36,0)))</f>
        <v>1</v>
      </c>
      <c r="AV58">
        <f ca="1">IF($A36&gt;AV$34,"",IF(OFFSET(Tippabgabe!$DB$177,SUM(tipps!$A$34:AU$34)+tipps!$A36,0)&lt;0,"",OFFSET(Tippabgabe!$DB$177,SUM(tipps!$A$34:AU$34)+tipps!$A36,0)))</f>
        <v>1</v>
      </c>
      <c r="AW58">
        <f ca="1">IF($A36&gt;AW$34,"",IF(OFFSET(Tippabgabe!$DB$177,SUM(tipps!$A$34:AV$34)+tipps!$A36,0)&lt;0,"",OFFSET(Tippabgabe!$DB$177,SUM(tipps!$A$34:AV$34)+tipps!$A36,0)))</f>
        <v>1</v>
      </c>
      <c r="AX58">
        <f ca="1">IF($A36&gt;AX$34,"",IF(OFFSET(Tippabgabe!$DB$177,SUM(tipps!$A$34:AW$34)+tipps!$A36,0)&lt;0,"",OFFSET(Tippabgabe!$DB$177,SUM(tipps!$A$34:AW$34)+tipps!$A36,0)))</f>
        <v>1</v>
      </c>
      <c r="AY58">
        <f ca="1">IF($A36&gt;AY$34,"",IF(OFFSET(Tippabgabe!$DB$177,SUM(tipps!$A$34:AX$34)+tipps!$A36,0)&lt;0,"",OFFSET(Tippabgabe!$DB$177,SUM(tipps!$A$34:AX$34)+tipps!$A36,0)))</f>
        <v>1</v>
      </c>
      <c r="AZ58">
        <f ca="1">IF($A36&gt;AZ$34,"",IF(OFFSET(Tippabgabe!$DB$177,SUM(tipps!$A$34:AY$34)+tipps!$A36,0)&lt;0,"",OFFSET(Tippabgabe!$DB$177,SUM(tipps!$A$34:AY$34)+tipps!$A36,0)))</f>
        <v>1</v>
      </c>
      <c r="BA58">
        <f ca="1">IF($A36&gt;BA$34,"",IF(OFFSET(Tippabgabe!$DB$177,SUM(tipps!$A$34:AZ$34)+tipps!$A36,0)&lt;0,"",OFFSET(Tippabgabe!$DB$177,SUM(tipps!$A$34:AZ$34)+tipps!$A36,0)))</f>
        <v>1</v>
      </c>
      <c r="BB58">
        <f ca="1">IF($A36&gt;BB$34,"",IF(OFFSET(Tippabgabe!$DB$177,SUM(tipps!$A$34:BA$34)+tipps!$A36,0)&lt;0,"",OFFSET(Tippabgabe!$DB$177,SUM(tipps!$A$34:BA$34)+tipps!$A36,0)))</f>
        <v>1</v>
      </c>
      <c r="BC58">
        <f ca="1">IF($A36&gt;BC$34,"",IF(OFFSET(Tippabgabe!$DB$177,SUM(tipps!$A$34:BB$34)+tipps!$A36,0)&lt;0,"",OFFSET(Tippabgabe!$DB$177,SUM(tipps!$A$34:BB$34)+tipps!$A36,0)))</f>
        <v>1</v>
      </c>
      <c r="BD58">
        <f ca="1">IF($A36&gt;BD$34,"",IF(OFFSET(Tippabgabe!$DB$177,SUM(tipps!$A$34:BC$34)+tipps!$A36,0)&lt;0,"",OFFSET(Tippabgabe!$DB$177,SUM(tipps!$A$34:BC$34)+tipps!$A36,0)))</f>
        <v>1</v>
      </c>
      <c r="BE58">
        <f ca="1">IF($A36&gt;BE$34,"",IF(OFFSET(Tippabgabe!$DB$177,SUM(tipps!$A$34:BD$34)+tipps!$A36,0)&lt;0,"",OFFSET(Tippabgabe!$DB$177,SUM(tipps!$A$34:BD$34)+tipps!$A36,0)))</f>
        <v>1</v>
      </c>
      <c r="BF58">
        <f ca="1">IF($A36&gt;BF$34,"",IF(OFFSET(Tippabgabe!$DB$177,SUM(tipps!$A$34:BE$34)+tipps!$A36,0)&lt;0,"",OFFSET(Tippabgabe!$DB$177,SUM(tipps!$A$34:BE$34)+tipps!$A36,0)))</f>
        <v>1</v>
      </c>
      <c r="BG58">
        <f ca="1">IF($A36&gt;BG$34,"",IF(OFFSET(Tippabgabe!$DB$177,SUM(tipps!$A$34:BF$34)+tipps!$A36,0)&lt;0,"",OFFSET(Tippabgabe!$DB$177,SUM(tipps!$A$34:BF$34)+tipps!$A36,0)))</f>
        <v>1</v>
      </c>
      <c r="BH58">
        <f ca="1">IF($A36&gt;BH$34,"",IF(OFFSET(Tippabgabe!$DB$177,SUM(tipps!$A$34:BG$34)+tipps!$A36,0)&lt;0,"",OFFSET(Tippabgabe!$DB$177,SUM(tipps!$A$34:BG$34)+tipps!$A36,0)))</f>
        <v>1</v>
      </c>
      <c r="BI58">
        <f ca="1">IF($A36&gt;BI$34,"",IF(OFFSET(Tippabgabe!$DB$177,SUM(tipps!$A$34:BH$34)+tipps!$A36,0)&lt;0,"",OFFSET(Tippabgabe!$DB$177,SUM(tipps!$A$34:BH$34)+tipps!$A36,0)))</f>
        <v>1</v>
      </c>
      <c r="BJ58">
        <f ca="1">IF($A36&gt;BJ$34,"",IF(OFFSET(Tippabgabe!$DB$177,SUM(tipps!$A$34:BI$34)+tipps!$A36,0)&lt;0,"",OFFSET(Tippabgabe!$DB$177,SUM(tipps!$A$34:BI$34)+tipps!$A36,0)))</f>
        <v>1</v>
      </c>
      <c r="BK58">
        <f ca="1">IF($A36&gt;BK$34,"",IF(OFFSET(Tippabgabe!$DB$177,SUM(tipps!$A$34:BJ$34)+tipps!$A36,0)&lt;0,"",OFFSET(Tippabgabe!$DB$177,SUM(tipps!$A$34:BJ$34)+tipps!$A36,0)))</f>
        <v>1</v>
      </c>
      <c r="BL58">
        <f ca="1">IF($A36&gt;BL$34,"",IF(OFFSET(Tippabgabe!$DB$177,SUM(tipps!$A$34:BK$34)+tipps!$A36,0)&lt;0,"",OFFSET(Tippabgabe!$DB$177,SUM(tipps!$A$34:BK$34)+tipps!$A36,0)))</f>
        <v>1</v>
      </c>
      <c r="BM58">
        <f ca="1">IF($A36&gt;BM$34,"",IF(OFFSET(Tippabgabe!$DB$177,SUM(tipps!$A$34:BL$34)+tipps!$A36,0)&lt;0,"",OFFSET(Tippabgabe!$DB$177,SUM(tipps!$A$34:BL$34)+tipps!$A36,0)))</f>
        <v>1</v>
      </c>
      <c r="BN58">
        <f ca="1">IF($A36&gt;BN$34,"",IF(OFFSET(Tippabgabe!$DB$177,SUM(tipps!$A$34:BM$34)+tipps!$A36,0)&lt;0,"",OFFSET(Tippabgabe!$DB$177,SUM(tipps!$A$34:BM$34)+tipps!$A36,0)))</f>
        <v>1</v>
      </c>
      <c r="BO58">
        <f ca="1">IF($A36&gt;BO$34,"",IF(OFFSET(Tippabgabe!$DB$177,SUM(tipps!$A$34:BN$34)+tipps!$A36,0)&lt;0,"",OFFSET(Tippabgabe!$DB$177,SUM(tipps!$A$34:BN$34)+tipps!$A36,0)))</f>
        <v>0</v>
      </c>
      <c r="BP58">
        <f ca="1">IF($A36&gt;BP$34,"",IF(OFFSET(Tippabgabe!$DB$177,SUM(tipps!$A$34:BO$34)+tipps!$A36,0)&lt;0,"",OFFSET(Tippabgabe!$DB$177,SUM(tipps!$A$34:BO$34)+tipps!$A36,0)))</f>
        <v>0</v>
      </c>
      <c r="BQ58" t="str">
        <f ca="1">IF($A36&gt;BQ$34,"",IF(OFFSET(Tippabgabe!$DB$177,SUM(tipps!$A$34:BP$34)+tipps!$A36,0)&lt;0,"",OFFSET(Tippabgabe!$DB$177,SUM(tipps!$A$34:BP$34)+tipps!$A36,0)))</f>
        <v/>
      </c>
      <c r="BR58">
        <f ca="1">IF($A36&gt;BR$34,"",IF(OFFSET(Tippabgabe!$DB$177,SUM(tipps!$A$34:BQ$34)+tipps!$A36,0)&lt;0,"",OFFSET(Tippabgabe!$DB$177,SUM(tipps!$A$34:BQ$34)+tipps!$A36,0)))</f>
        <v>0</v>
      </c>
      <c r="BS58">
        <f ca="1">IF($A36&gt;BS$34,"",IF(OFFSET(Tippabgabe!$DB$177,SUM(tipps!$A$34:BR$34)+tipps!$A36,0)&lt;0,"",OFFSET(Tippabgabe!$DB$177,SUM(tipps!$A$34:BR$34)+tipps!$A36,0)))</f>
        <v>0</v>
      </c>
      <c r="BT58" t="str">
        <f ca="1">IF($A36&gt;BT$34,"",IF(OFFSET(Tippabgabe!$DB$177,SUM(tipps!$A$34:BS$34)+tipps!$A36,0)&lt;0,"",OFFSET(Tippabgabe!$DB$177,SUM(tipps!$A$34:BS$34)+tipps!$A36,0)))</f>
        <v/>
      </c>
      <c r="BU58" t="str">
        <f ca="1">IF($A36&gt;BU$34,"",IF(OFFSET(Tippabgabe!$DB$177,SUM(tipps!$A$34:BT$34)+tipps!$A36,0)&lt;0,"",OFFSET(Tippabgabe!$DB$177,SUM(tipps!$A$34:BT$34)+tipps!$A36,0)))</f>
        <v/>
      </c>
      <c r="BV58" t="str">
        <f ca="1">IF($A36&gt;BV$34,"",IF(OFFSET(Tippabgabe!$DB$177,SUM(tipps!$A$34:BU$34)+tipps!$A36,0)&lt;0,"",OFFSET(Tippabgabe!$DB$177,SUM(tipps!$A$34:BU$34)+tipps!$A36,0)))</f>
        <v/>
      </c>
      <c r="BW58" t="str">
        <f ca="1">IF($A36&gt;BW$34,"",IF(OFFSET(Tippabgabe!$DB$177,SUM(tipps!$A$34:BV$34)+tipps!$A36,0)&lt;0,"",OFFSET(Tippabgabe!$DB$177,SUM(tipps!$A$34:BV$34)+tipps!$A36,0)))</f>
        <v/>
      </c>
    </row>
    <row r="59" spans="1:75" x14ac:dyDescent="0.2">
      <c r="A59">
        <v>2</v>
      </c>
      <c r="B59" t="str">
        <f ca="1">IF($A37&gt;B$34,"",IF(OFFSET(Tippabgabe!$DB$177,SUM(tipps!$A$34:A$34)+tipps!$A37,0)&lt;0,"",OFFSET(Tippabgabe!$DB$177,SUM(tipps!$A$34:A$34)+tipps!$A37,0)))</f>
        <v/>
      </c>
      <c r="C59" t="str">
        <f ca="1">IF($A37&gt;C$34,"",IF(OFFSET(Tippabgabe!$DB$177,SUM(tipps!$A$34:B$34)+tipps!$A37,0)&lt;0,"",OFFSET(Tippabgabe!$DB$177,SUM(tipps!$A$34:B$34)+tipps!$A37,0)))</f>
        <v/>
      </c>
      <c r="D59" t="str">
        <f ca="1">IF($A37&gt;D$34,"",IF(OFFSET(Tippabgabe!$DB$177,SUM(tipps!$A$34:C$34)+tipps!$A37,0)&lt;0,"",OFFSET(Tippabgabe!$DB$177,SUM(tipps!$A$34:C$34)+tipps!$A37,0)))</f>
        <v/>
      </c>
      <c r="E59" t="str">
        <f ca="1">IF($A37&gt;E$34,"",IF(OFFSET(Tippabgabe!$DB$177,SUM(tipps!$A$34:D$34)+tipps!$A37,0)&lt;0,"",OFFSET(Tippabgabe!$DB$177,SUM(tipps!$A$34:D$34)+tipps!$A37,0)))</f>
        <v/>
      </c>
      <c r="F59" t="str">
        <f ca="1">IF($A37&gt;F$34,"",IF(OFFSET(Tippabgabe!$DB$177,SUM(tipps!$A$34:E$34)+tipps!$A37,0)&lt;0,"",OFFSET(Tippabgabe!$DB$177,SUM(tipps!$A$34:E$34)+tipps!$A37,0)))</f>
        <v/>
      </c>
      <c r="G59" t="str">
        <f ca="1">IF($A37&gt;G$34,"",IF(OFFSET(Tippabgabe!$DB$177,SUM(tipps!$A$34:F$34)+tipps!$A37,0)&lt;0,"",OFFSET(Tippabgabe!$DB$177,SUM(tipps!$A$34:F$34)+tipps!$A37,0)))</f>
        <v/>
      </c>
      <c r="H59" t="str">
        <f ca="1">IF($A37&gt;H$34,"",IF(OFFSET(Tippabgabe!$DB$177,SUM(tipps!$A$34:G$34)+tipps!$A37,0)&lt;0,"",OFFSET(Tippabgabe!$DB$177,SUM(tipps!$A$34:G$34)+tipps!$A37,0)))</f>
        <v/>
      </c>
      <c r="I59" t="str">
        <f ca="1">IF($A37&gt;I$34,"",IF(OFFSET(Tippabgabe!$DB$177,SUM(tipps!$A$34:H$34)+tipps!$A37,0)&lt;0,"",OFFSET(Tippabgabe!$DB$177,SUM(tipps!$A$34:H$34)+tipps!$A37,0)))</f>
        <v/>
      </c>
      <c r="J59" t="str">
        <f ca="1">IF($A37&gt;J$34,"",IF(OFFSET(Tippabgabe!$DB$177,SUM(tipps!$A$34:I$34)+tipps!$A37,0)&lt;0,"",OFFSET(Tippabgabe!$DB$177,SUM(tipps!$A$34:I$34)+tipps!$A37,0)))</f>
        <v/>
      </c>
      <c r="K59">
        <f ca="1">IF($A37&gt;K$34,"",IF(OFFSET(Tippabgabe!$DB$177,SUM(tipps!$A$34:J$34)+tipps!$A37,0)&lt;0,"",OFFSET(Tippabgabe!$DB$177,SUM(tipps!$A$34:J$34)+tipps!$A37,0)))</f>
        <v>2</v>
      </c>
      <c r="L59" t="str">
        <f ca="1">IF($A37&gt;L$34,"",IF(OFFSET(Tippabgabe!$DB$177,SUM(tipps!$A$34:K$34)+tipps!$A37,0)&lt;0,"",OFFSET(Tippabgabe!$DB$177,SUM(tipps!$A$34:K$34)+tipps!$A37,0)))</f>
        <v/>
      </c>
      <c r="M59" t="str">
        <f ca="1">IF($A37&gt;M$34,"",IF(OFFSET(Tippabgabe!$DB$177,SUM(tipps!$A$34:L$34)+tipps!$A37,0)&lt;0,"",OFFSET(Tippabgabe!$DB$177,SUM(tipps!$A$34:L$34)+tipps!$A37,0)))</f>
        <v/>
      </c>
      <c r="N59" t="str">
        <f ca="1">IF($A37&gt;N$34,"",IF(OFFSET(Tippabgabe!$DB$177,SUM(tipps!$A$34:M$34)+tipps!$A37,0)&lt;0,"",OFFSET(Tippabgabe!$DB$177,SUM(tipps!$A$34:M$34)+tipps!$A37,0)))</f>
        <v/>
      </c>
      <c r="O59" t="str">
        <f ca="1">IF($A37&gt;O$34,"",IF(OFFSET(Tippabgabe!$DB$177,SUM(tipps!$A$34:N$34)+tipps!$A37,0)&lt;0,"",OFFSET(Tippabgabe!$DB$177,SUM(tipps!$A$34:N$34)+tipps!$A37,0)))</f>
        <v/>
      </c>
      <c r="P59" t="str">
        <f ca="1">IF($A37&gt;P$34,"",IF(OFFSET(Tippabgabe!$DB$177,SUM(tipps!$A$34:O$34)+tipps!$A37,0)&lt;0,"",OFFSET(Tippabgabe!$DB$177,SUM(tipps!$A$34:O$34)+tipps!$A37,0)))</f>
        <v/>
      </c>
      <c r="Q59" t="str">
        <f ca="1">IF($A37&gt;Q$34,"",IF(OFFSET(Tippabgabe!$DB$177,SUM(tipps!$A$34:P$34)+tipps!$A37,0)&lt;0,"",OFFSET(Tippabgabe!$DB$177,SUM(tipps!$A$34:P$34)+tipps!$A37,0)))</f>
        <v/>
      </c>
      <c r="R59" t="str">
        <f ca="1">IF($A37&gt;R$34,"",IF(OFFSET(Tippabgabe!$DB$177,SUM(tipps!$A$34:Q$34)+tipps!$A37,0)&lt;0,"",OFFSET(Tippabgabe!$DB$177,SUM(tipps!$A$34:Q$34)+tipps!$A37,0)))</f>
        <v/>
      </c>
      <c r="S59" t="str">
        <f ca="1">IF($A37&gt;S$34,"",IF(OFFSET(Tippabgabe!$DB$177,SUM(tipps!$A$34:R$34)+tipps!$A37,0)&lt;0,"",OFFSET(Tippabgabe!$DB$177,SUM(tipps!$A$34:R$34)+tipps!$A37,0)))</f>
        <v/>
      </c>
      <c r="T59" t="str">
        <f ca="1">IF($A37&gt;T$34,"",IF(OFFSET(Tippabgabe!$DB$177,SUM(tipps!$A$34:S$34)+tipps!$A37,0)&lt;0,"",OFFSET(Tippabgabe!$DB$177,SUM(tipps!$A$34:S$34)+tipps!$A37,0)))</f>
        <v/>
      </c>
      <c r="U59" t="str">
        <f ca="1">IF($A37&gt;U$34,"",IF(OFFSET(Tippabgabe!$DB$177,SUM(tipps!$A$34:T$34)+tipps!$A37,0)&lt;0,"",OFFSET(Tippabgabe!$DB$177,SUM(tipps!$A$34:T$34)+tipps!$A37,0)))</f>
        <v/>
      </c>
      <c r="V59" t="str">
        <f ca="1">IF($A37&gt;V$34,"",IF(OFFSET(Tippabgabe!$DB$177,SUM(tipps!$A$34:U$34)+tipps!$A37,0)&lt;0,"",OFFSET(Tippabgabe!$DB$177,SUM(tipps!$A$34:U$34)+tipps!$A37,0)))</f>
        <v/>
      </c>
      <c r="W59" t="str">
        <f ca="1">IF($A37&gt;W$34,"",IF(OFFSET(Tippabgabe!$DB$177,SUM(tipps!$A$34:V$34)+tipps!$A37,0)&lt;0,"",OFFSET(Tippabgabe!$DB$177,SUM(tipps!$A$34:V$34)+tipps!$A37,0)))</f>
        <v/>
      </c>
      <c r="X59" t="str">
        <f ca="1">IF($A37&gt;X$34,"",IF(OFFSET(Tippabgabe!$DB$177,SUM(tipps!$A$34:W$34)+tipps!$A37,0)&lt;0,"",OFFSET(Tippabgabe!$DB$177,SUM(tipps!$A$34:W$34)+tipps!$A37,0)))</f>
        <v/>
      </c>
      <c r="Y59" t="str">
        <f ca="1">IF($A37&gt;Y$34,"",IF(OFFSET(Tippabgabe!$DB$177,SUM(tipps!$A$34:X$34)+tipps!$A37,0)&lt;0,"",OFFSET(Tippabgabe!$DB$177,SUM(tipps!$A$34:X$34)+tipps!$A37,0)))</f>
        <v/>
      </c>
      <c r="Z59" t="str">
        <f ca="1">IF($A37&gt;Z$34,"",IF(OFFSET(Tippabgabe!$DB$177,SUM(tipps!$A$34:Y$34)+tipps!$A37,0)&lt;0,"",OFFSET(Tippabgabe!$DB$177,SUM(tipps!$A$34:Y$34)+tipps!$A37,0)))</f>
        <v/>
      </c>
      <c r="AA59" t="str">
        <f ca="1">IF($A37&gt;AA$34,"",IF(OFFSET(Tippabgabe!$DB$177,SUM(tipps!$A$34:Z$34)+tipps!$A37,0)&lt;0,"",OFFSET(Tippabgabe!$DB$177,SUM(tipps!$A$34:Z$34)+tipps!$A37,0)))</f>
        <v/>
      </c>
      <c r="AB59" t="str">
        <f ca="1">IF($A37&gt;AB$34,"",IF(OFFSET(Tippabgabe!$DB$177,SUM(tipps!$A$34:AA$34)+tipps!$A37,0)&lt;0,"",OFFSET(Tippabgabe!$DB$177,SUM(tipps!$A$34:AA$34)+tipps!$A37,0)))</f>
        <v/>
      </c>
      <c r="AC59" t="str">
        <f ca="1">IF($A37&gt;AC$34,"",IF(OFFSET(Tippabgabe!$DB$177,SUM(tipps!$A$34:AB$34)+tipps!$A37,0)&lt;0,"",OFFSET(Tippabgabe!$DB$177,SUM(tipps!$A$34:AB$34)+tipps!$A37,0)))</f>
        <v/>
      </c>
      <c r="AD59" t="str">
        <f ca="1">IF($A37&gt;AD$34,"",IF(OFFSET(Tippabgabe!$DB$177,SUM(tipps!$A$34:AC$34)+tipps!$A37,0)&lt;0,"",OFFSET(Tippabgabe!$DB$177,SUM(tipps!$A$34:AC$34)+tipps!$A37,0)))</f>
        <v/>
      </c>
      <c r="AE59" t="str">
        <f ca="1">IF($A37&gt;AE$34,"",IF(OFFSET(Tippabgabe!$DB$177,SUM(tipps!$A$34:AD$34)+tipps!$A37,0)&lt;0,"",OFFSET(Tippabgabe!$DB$177,SUM(tipps!$A$34:AD$34)+tipps!$A37,0)))</f>
        <v/>
      </c>
      <c r="AF59" t="str">
        <f ca="1">IF($A37&gt;AF$34,"",IF(OFFSET(Tippabgabe!$DB$177,SUM(tipps!$A$34:AE$34)+tipps!$A37,0)&lt;0,"",OFFSET(Tippabgabe!$DB$177,SUM(tipps!$A$34:AE$34)+tipps!$A37,0)))</f>
        <v/>
      </c>
      <c r="AG59" t="str">
        <f ca="1">IF($A37&gt;AG$34,"",IF(OFFSET(Tippabgabe!$DB$177,SUM(tipps!$A$34:AF$34)+tipps!$A37,0)&lt;0,"",OFFSET(Tippabgabe!$DB$177,SUM(tipps!$A$34:AF$34)+tipps!$A37,0)))</f>
        <v/>
      </c>
      <c r="AH59" t="str">
        <f ca="1">IF($A37&gt;AH$34,"",IF(OFFSET(Tippabgabe!$DB$177,SUM(tipps!$A$34:AG$34)+tipps!$A37,0)&lt;0,"",OFFSET(Tippabgabe!$DB$177,SUM(tipps!$A$34:AG$34)+tipps!$A37,0)))</f>
        <v/>
      </c>
      <c r="AI59" t="str">
        <f ca="1">IF($A37&gt;AI$34,"",IF(OFFSET(Tippabgabe!$DB$177,SUM(tipps!$A$34:AH$34)+tipps!$A37,0)&lt;0,"",OFFSET(Tippabgabe!$DB$177,SUM(tipps!$A$34:AH$34)+tipps!$A37,0)))</f>
        <v/>
      </c>
      <c r="AJ59" t="str">
        <f ca="1">IF($A37&gt;AJ$34,"",IF(OFFSET(Tippabgabe!$DB$177,SUM(tipps!$A$34:AI$34)+tipps!$A37,0)&lt;0,"",OFFSET(Tippabgabe!$DB$177,SUM(tipps!$A$34:AI$34)+tipps!$A37,0)))</f>
        <v/>
      </c>
      <c r="AK59" t="str">
        <f ca="1">IF($A37&gt;AK$34,"",IF(OFFSET(Tippabgabe!$DB$177,SUM(tipps!$A$34:AJ$34)+tipps!$A37,0)&lt;0,"",OFFSET(Tippabgabe!$DB$177,SUM(tipps!$A$34:AJ$34)+tipps!$A37,0)))</f>
        <v/>
      </c>
      <c r="AL59" t="str">
        <f ca="1">IF($A37&gt;AL$34,"",IF(OFFSET(Tippabgabe!$DB$177,SUM(tipps!$A$34:AK$34)+tipps!$A37,0)&lt;0,"",OFFSET(Tippabgabe!$DB$177,SUM(tipps!$A$34:AK$34)+tipps!$A37,0)))</f>
        <v/>
      </c>
      <c r="AM59" t="str">
        <f ca="1">IF($A37&gt;AM$34,"",IF(OFFSET(Tippabgabe!$DB$177,SUM(tipps!$A$34:AL$34)+tipps!$A37,0)&lt;0,"",OFFSET(Tippabgabe!$DB$177,SUM(tipps!$A$34:AL$34)+tipps!$A37,0)))</f>
        <v/>
      </c>
      <c r="AN59" t="str">
        <f ca="1">IF($A37&gt;AN$34,"",IF(OFFSET(Tippabgabe!$DB$177,SUM(tipps!$A$34:AM$34)+tipps!$A37,0)&lt;0,"",OFFSET(Tippabgabe!$DB$177,SUM(tipps!$A$34:AM$34)+tipps!$A37,0)))</f>
        <v/>
      </c>
      <c r="AO59" t="str">
        <f ca="1">IF($A37&gt;AO$34,"",IF(OFFSET(Tippabgabe!$DB$177,SUM(tipps!$A$34:AN$34)+tipps!$A37,0)&lt;0,"",OFFSET(Tippabgabe!$DB$177,SUM(tipps!$A$34:AN$34)+tipps!$A37,0)))</f>
        <v/>
      </c>
      <c r="AP59" t="str">
        <f ca="1">IF($A37&gt;AP$34,"",IF(OFFSET(Tippabgabe!$DB$177,SUM(tipps!$A$34:AO$34)+tipps!$A37,0)&lt;0,"",OFFSET(Tippabgabe!$DB$177,SUM(tipps!$A$34:AO$34)+tipps!$A37,0)))</f>
        <v/>
      </c>
      <c r="AQ59" t="str">
        <f ca="1">IF($A37&gt;AQ$34,"",IF(OFFSET(Tippabgabe!$DB$177,SUM(tipps!$A$34:AP$34)+tipps!$A37,0)&lt;0,"",OFFSET(Tippabgabe!$DB$177,SUM(tipps!$A$34:AP$34)+tipps!$A37,0)))</f>
        <v/>
      </c>
      <c r="AR59" t="str">
        <f ca="1">IF($A37&gt;AR$34,"",IF(OFFSET(Tippabgabe!$DB$177,SUM(tipps!$A$34:AQ$34)+tipps!$A37,0)&lt;0,"",OFFSET(Tippabgabe!$DB$177,SUM(tipps!$A$34:AQ$34)+tipps!$A37,0)))</f>
        <v/>
      </c>
      <c r="AS59" t="str">
        <f ca="1">IF($A37&gt;AS$34,"",IF(OFFSET(Tippabgabe!$DB$177,SUM(tipps!$A$34:AR$34)+tipps!$A37,0)&lt;0,"",OFFSET(Tippabgabe!$DB$177,SUM(tipps!$A$34:AR$34)+tipps!$A37,0)))</f>
        <v/>
      </c>
      <c r="AT59" t="str">
        <f ca="1">IF($A37&gt;AT$34,"",IF(OFFSET(Tippabgabe!$DB$177,SUM(tipps!$A$34:AS$34)+tipps!$A37,0)&lt;0,"",OFFSET(Tippabgabe!$DB$177,SUM(tipps!$A$34:AS$34)+tipps!$A37,0)))</f>
        <v/>
      </c>
      <c r="AU59" t="str">
        <f ca="1">IF($A37&gt;AU$34,"",IF(OFFSET(Tippabgabe!$DB$177,SUM(tipps!$A$34:AT$34)+tipps!$A37,0)&lt;0,"",OFFSET(Tippabgabe!$DB$177,SUM(tipps!$A$34:AT$34)+tipps!$A37,0)))</f>
        <v/>
      </c>
      <c r="AV59" t="str">
        <f ca="1">IF($A37&gt;AV$34,"",IF(OFFSET(Tippabgabe!$DB$177,SUM(tipps!$A$34:AU$34)+tipps!$A37,0)&lt;0,"",OFFSET(Tippabgabe!$DB$177,SUM(tipps!$A$34:AU$34)+tipps!$A37,0)))</f>
        <v/>
      </c>
      <c r="AW59" t="str">
        <f ca="1">IF($A37&gt;AW$34,"",IF(OFFSET(Tippabgabe!$DB$177,SUM(tipps!$A$34:AV$34)+tipps!$A37,0)&lt;0,"",OFFSET(Tippabgabe!$DB$177,SUM(tipps!$A$34:AV$34)+tipps!$A37,0)))</f>
        <v/>
      </c>
      <c r="AX59" t="str">
        <f ca="1">IF($A37&gt;AX$34,"",IF(OFFSET(Tippabgabe!$DB$177,SUM(tipps!$A$34:AW$34)+tipps!$A37,0)&lt;0,"",OFFSET(Tippabgabe!$DB$177,SUM(tipps!$A$34:AW$34)+tipps!$A37,0)))</f>
        <v/>
      </c>
      <c r="AY59" t="str">
        <f ca="1">IF($A37&gt;AY$34,"",IF(OFFSET(Tippabgabe!$DB$177,SUM(tipps!$A$34:AX$34)+tipps!$A37,0)&lt;0,"",OFFSET(Tippabgabe!$DB$177,SUM(tipps!$A$34:AX$34)+tipps!$A37,0)))</f>
        <v/>
      </c>
      <c r="AZ59" t="str">
        <f ca="1">IF($A37&gt;AZ$34,"",IF(OFFSET(Tippabgabe!$DB$177,SUM(tipps!$A$34:AY$34)+tipps!$A37,0)&lt;0,"",OFFSET(Tippabgabe!$DB$177,SUM(tipps!$A$34:AY$34)+tipps!$A37,0)))</f>
        <v/>
      </c>
      <c r="BA59" t="str">
        <f ca="1">IF($A37&gt;BA$34,"",IF(OFFSET(Tippabgabe!$DB$177,SUM(tipps!$A$34:AZ$34)+tipps!$A37,0)&lt;0,"",OFFSET(Tippabgabe!$DB$177,SUM(tipps!$A$34:AZ$34)+tipps!$A37,0)))</f>
        <v/>
      </c>
      <c r="BB59" t="str">
        <f ca="1">IF($A37&gt;BB$34,"",IF(OFFSET(Tippabgabe!$DB$177,SUM(tipps!$A$34:BA$34)+tipps!$A37,0)&lt;0,"",OFFSET(Tippabgabe!$DB$177,SUM(tipps!$A$34:BA$34)+tipps!$A37,0)))</f>
        <v/>
      </c>
      <c r="BC59" t="str">
        <f ca="1">IF($A37&gt;BC$34,"",IF(OFFSET(Tippabgabe!$DB$177,SUM(tipps!$A$34:BB$34)+tipps!$A37,0)&lt;0,"",OFFSET(Tippabgabe!$DB$177,SUM(tipps!$A$34:BB$34)+tipps!$A37,0)))</f>
        <v/>
      </c>
      <c r="BD59" t="str">
        <f ca="1">IF($A37&gt;BD$34,"",IF(OFFSET(Tippabgabe!$DB$177,SUM(tipps!$A$34:BC$34)+tipps!$A37,0)&lt;0,"",OFFSET(Tippabgabe!$DB$177,SUM(tipps!$A$34:BC$34)+tipps!$A37,0)))</f>
        <v/>
      </c>
      <c r="BE59" t="str">
        <f ca="1">IF($A37&gt;BE$34,"",IF(OFFSET(Tippabgabe!$DB$177,SUM(tipps!$A$34:BD$34)+tipps!$A37,0)&lt;0,"",OFFSET(Tippabgabe!$DB$177,SUM(tipps!$A$34:BD$34)+tipps!$A37,0)))</f>
        <v/>
      </c>
      <c r="BF59" t="str">
        <f ca="1">IF($A37&gt;BF$34,"",IF(OFFSET(Tippabgabe!$DB$177,SUM(tipps!$A$34:BE$34)+tipps!$A37,0)&lt;0,"",OFFSET(Tippabgabe!$DB$177,SUM(tipps!$A$34:BE$34)+tipps!$A37,0)))</f>
        <v/>
      </c>
      <c r="BG59" t="str">
        <f ca="1">IF($A37&gt;BG$34,"",IF(OFFSET(Tippabgabe!$DB$177,SUM(tipps!$A$34:BF$34)+tipps!$A37,0)&lt;0,"",OFFSET(Tippabgabe!$DB$177,SUM(tipps!$A$34:BF$34)+tipps!$A37,0)))</f>
        <v/>
      </c>
      <c r="BH59" t="str">
        <f ca="1">IF($A37&gt;BH$34,"",IF(OFFSET(Tippabgabe!$DB$177,SUM(tipps!$A$34:BG$34)+tipps!$A37,0)&lt;0,"",OFFSET(Tippabgabe!$DB$177,SUM(tipps!$A$34:BG$34)+tipps!$A37,0)))</f>
        <v/>
      </c>
      <c r="BI59" t="str">
        <f ca="1">IF($A37&gt;BI$34,"",IF(OFFSET(Tippabgabe!$DB$177,SUM(tipps!$A$34:BH$34)+tipps!$A37,0)&lt;0,"",OFFSET(Tippabgabe!$DB$177,SUM(tipps!$A$34:BH$34)+tipps!$A37,0)))</f>
        <v/>
      </c>
      <c r="BJ59" t="str">
        <f ca="1">IF($A37&gt;BJ$34,"",IF(OFFSET(Tippabgabe!$DB$177,SUM(tipps!$A$34:BI$34)+tipps!$A37,0)&lt;0,"",OFFSET(Tippabgabe!$DB$177,SUM(tipps!$A$34:BI$34)+tipps!$A37,0)))</f>
        <v/>
      </c>
      <c r="BK59" t="str">
        <f ca="1">IF($A37&gt;BK$34,"",IF(OFFSET(Tippabgabe!$DB$177,SUM(tipps!$A$34:BJ$34)+tipps!$A37,0)&lt;0,"",OFFSET(Tippabgabe!$DB$177,SUM(tipps!$A$34:BJ$34)+tipps!$A37,0)))</f>
        <v/>
      </c>
      <c r="BL59" t="str">
        <f ca="1">IF($A37&gt;BL$34,"",IF(OFFSET(Tippabgabe!$DB$177,SUM(tipps!$A$34:BK$34)+tipps!$A37,0)&lt;0,"",OFFSET(Tippabgabe!$DB$177,SUM(tipps!$A$34:BK$34)+tipps!$A37,0)))</f>
        <v/>
      </c>
      <c r="BM59" t="str">
        <f ca="1">IF($A37&gt;BM$34,"",IF(OFFSET(Tippabgabe!$DB$177,SUM(tipps!$A$34:BL$34)+tipps!$A37,0)&lt;0,"",OFFSET(Tippabgabe!$DB$177,SUM(tipps!$A$34:BL$34)+tipps!$A37,0)))</f>
        <v/>
      </c>
      <c r="BN59" t="str">
        <f ca="1">IF($A37&gt;BN$34,"",IF(OFFSET(Tippabgabe!$DB$177,SUM(tipps!$A$34:BM$34)+tipps!$A37,0)&lt;0,"",OFFSET(Tippabgabe!$DB$177,SUM(tipps!$A$34:BM$34)+tipps!$A37,0)))</f>
        <v/>
      </c>
      <c r="BO59" t="str">
        <f ca="1">IF($A37&gt;BO$34,"",IF(OFFSET(Tippabgabe!$DB$177,SUM(tipps!$A$34:BN$34)+tipps!$A37,0)&lt;0,"",OFFSET(Tippabgabe!$DB$177,SUM(tipps!$A$34:BN$34)+tipps!$A37,0)))</f>
        <v/>
      </c>
      <c r="BP59" t="str">
        <f ca="1">IF($A37&gt;BP$34,"",IF(OFFSET(Tippabgabe!$DB$177,SUM(tipps!$A$34:BO$34)+tipps!$A37,0)&lt;0,"",OFFSET(Tippabgabe!$DB$177,SUM(tipps!$A$34:BO$34)+tipps!$A37,0)))</f>
        <v/>
      </c>
      <c r="BQ59" t="str">
        <f ca="1">IF($A37&gt;BQ$34,"",IF(OFFSET(Tippabgabe!$DB$177,SUM(tipps!$A$34:BP$34)+tipps!$A37,0)&lt;0,"",OFFSET(Tippabgabe!$DB$177,SUM(tipps!$A$34:BP$34)+tipps!$A37,0)))</f>
        <v/>
      </c>
      <c r="BR59" t="str">
        <f ca="1">IF($A37&gt;BR$34,"",IF(OFFSET(Tippabgabe!$DB$177,SUM(tipps!$A$34:BQ$34)+tipps!$A37,0)&lt;0,"",OFFSET(Tippabgabe!$DB$177,SUM(tipps!$A$34:BQ$34)+tipps!$A37,0)))</f>
        <v/>
      </c>
      <c r="BS59" t="str">
        <f ca="1">IF($A37&gt;BS$34,"",IF(OFFSET(Tippabgabe!$DB$177,SUM(tipps!$A$34:BR$34)+tipps!$A37,0)&lt;0,"",OFFSET(Tippabgabe!$DB$177,SUM(tipps!$A$34:BR$34)+tipps!$A37,0)))</f>
        <v/>
      </c>
      <c r="BT59" t="str">
        <f ca="1">IF($A37&gt;BT$34,"",IF(OFFSET(Tippabgabe!$DB$177,SUM(tipps!$A$34:BS$34)+tipps!$A37,0)&lt;0,"",OFFSET(Tippabgabe!$DB$177,SUM(tipps!$A$34:BS$34)+tipps!$A37,0)))</f>
        <v/>
      </c>
      <c r="BU59" t="str">
        <f ca="1">IF($A37&gt;BU$34,"",IF(OFFSET(Tippabgabe!$DB$177,SUM(tipps!$A$34:BT$34)+tipps!$A37,0)&lt;0,"",OFFSET(Tippabgabe!$DB$177,SUM(tipps!$A$34:BT$34)+tipps!$A37,0)))</f>
        <v/>
      </c>
      <c r="BV59" t="str">
        <f ca="1">IF($A37&gt;BV$34,"",IF(OFFSET(Tippabgabe!$DB$177,SUM(tipps!$A$34:BU$34)+tipps!$A37,0)&lt;0,"",OFFSET(Tippabgabe!$DB$177,SUM(tipps!$A$34:BU$34)+tipps!$A37,0)))</f>
        <v/>
      </c>
      <c r="BW59" t="str">
        <f ca="1">IF($A37&gt;BW$34,"",IF(OFFSET(Tippabgabe!$DB$177,SUM(tipps!$A$34:BV$34)+tipps!$A37,0)&lt;0,"",OFFSET(Tippabgabe!$DB$177,SUM(tipps!$A$34:BV$34)+tipps!$A37,0)))</f>
        <v/>
      </c>
    </row>
    <row r="60" spans="1:75" x14ac:dyDescent="0.2">
      <c r="A60">
        <v>3</v>
      </c>
      <c r="B60" t="str">
        <f ca="1">IF($A38&gt;B$34,"",IF(OFFSET(Tippabgabe!$DB$177,SUM(tipps!$A$34:A$34)+tipps!$A38,0)&lt;0,"",OFFSET(Tippabgabe!$DB$177,SUM(tipps!$A$34:A$34)+tipps!$A38,0)))</f>
        <v/>
      </c>
      <c r="C60" t="str">
        <f ca="1">IF($A38&gt;C$34,"",IF(OFFSET(Tippabgabe!$DB$177,SUM(tipps!$A$34:B$34)+tipps!$A38,0)&lt;0,"",OFFSET(Tippabgabe!$DB$177,SUM(tipps!$A$34:B$34)+tipps!$A38,0)))</f>
        <v/>
      </c>
      <c r="D60" t="str">
        <f ca="1">IF($A38&gt;D$34,"",IF(OFFSET(Tippabgabe!$DB$177,SUM(tipps!$A$34:C$34)+tipps!$A38,0)&lt;0,"",OFFSET(Tippabgabe!$DB$177,SUM(tipps!$A$34:C$34)+tipps!$A38,0)))</f>
        <v/>
      </c>
      <c r="E60" t="str">
        <f ca="1">IF($A38&gt;E$34,"",IF(OFFSET(Tippabgabe!$DB$177,SUM(tipps!$A$34:D$34)+tipps!$A38,0)&lt;0,"",OFFSET(Tippabgabe!$DB$177,SUM(tipps!$A$34:D$34)+tipps!$A38,0)))</f>
        <v/>
      </c>
      <c r="F60" t="str">
        <f ca="1">IF($A38&gt;F$34,"",IF(OFFSET(Tippabgabe!$DB$177,SUM(tipps!$A$34:E$34)+tipps!$A38,0)&lt;0,"",OFFSET(Tippabgabe!$DB$177,SUM(tipps!$A$34:E$34)+tipps!$A38,0)))</f>
        <v/>
      </c>
      <c r="G60" t="str">
        <f ca="1">IF($A38&gt;G$34,"",IF(OFFSET(Tippabgabe!$DB$177,SUM(tipps!$A$34:F$34)+tipps!$A38,0)&lt;0,"",OFFSET(Tippabgabe!$DB$177,SUM(tipps!$A$34:F$34)+tipps!$A38,0)))</f>
        <v/>
      </c>
      <c r="H60" t="str">
        <f ca="1">IF($A38&gt;H$34,"",IF(OFFSET(Tippabgabe!$DB$177,SUM(tipps!$A$34:G$34)+tipps!$A38,0)&lt;0,"",OFFSET(Tippabgabe!$DB$177,SUM(tipps!$A$34:G$34)+tipps!$A38,0)))</f>
        <v/>
      </c>
      <c r="I60" t="str">
        <f ca="1">IF($A38&gt;I$34,"",IF(OFFSET(Tippabgabe!$DB$177,SUM(tipps!$A$34:H$34)+tipps!$A38,0)&lt;0,"",OFFSET(Tippabgabe!$DB$177,SUM(tipps!$A$34:H$34)+tipps!$A38,0)))</f>
        <v/>
      </c>
      <c r="J60" t="str">
        <f ca="1">IF($A38&gt;J$34,"",IF(OFFSET(Tippabgabe!$DB$177,SUM(tipps!$A$34:I$34)+tipps!$A38,0)&lt;0,"",OFFSET(Tippabgabe!$DB$177,SUM(tipps!$A$34:I$34)+tipps!$A38,0)))</f>
        <v/>
      </c>
      <c r="K60">
        <f ca="1">IF($A38&gt;K$34,"",IF(OFFSET(Tippabgabe!$DB$177,SUM(tipps!$A$34:J$34)+tipps!$A38,0)&lt;0,"",OFFSET(Tippabgabe!$DB$177,SUM(tipps!$A$34:J$34)+tipps!$A38,0)))</f>
        <v>5</v>
      </c>
      <c r="L60" t="str">
        <f ca="1">IF($A38&gt;L$34,"",IF(OFFSET(Tippabgabe!$DB$177,SUM(tipps!$A$34:K$34)+tipps!$A38,0)&lt;0,"",OFFSET(Tippabgabe!$DB$177,SUM(tipps!$A$34:K$34)+tipps!$A38,0)))</f>
        <v/>
      </c>
      <c r="M60" t="str">
        <f ca="1">IF($A38&gt;M$34,"",IF(OFFSET(Tippabgabe!$DB$177,SUM(tipps!$A$34:L$34)+tipps!$A38,0)&lt;0,"",OFFSET(Tippabgabe!$DB$177,SUM(tipps!$A$34:L$34)+tipps!$A38,0)))</f>
        <v/>
      </c>
      <c r="N60" t="str">
        <f ca="1">IF($A38&gt;N$34,"",IF(OFFSET(Tippabgabe!$DB$177,SUM(tipps!$A$34:M$34)+tipps!$A38,0)&lt;0,"",OFFSET(Tippabgabe!$DB$177,SUM(tipps!$A$34:M$34)+tipps!$A38,0)))</f>
        <v/>
      </c>
      <c r="O60" t="str">
        <f ca="1">IF($A38&gt;O$34,"",IF(OFFSET(Tippabgabe!$DB$177,SUM(tipps!$A$34:N$34)+tipps!$A38,0)&lt;0,"",OFFSET(Tippabgabe!$DB$177,SUM(tipps!$A$34:N$34)+tipps!$A38,0)))</f>
        <v/>
      </c>
      <c r="P60" t="str">
        <f ca="1">IF($A38&gt;P$34,"",IF(OFFSET(Tippabgabe!$DB$177,SUM(tipps!$A$34:O$34)+tipps!$A38,0)&lt;0,"",OFFSET(Tippabgabe!$DB$177,SUM(tipps!$A$34:O$34)+tipps!$A38,0)))</f>
        <v/>
      </c>
      <c r="Q60" t="str">
        <f ca="1">IF($A38&gt;Q$34,"",IF(OFFSET(Tippabgabe!$DB$177,SUM(tipps!$A$34:P$34)+tipps!$A38,0)&lt;0,"",OFFSET(Tippabgabe!$DB$177,SUM(tipps!$A$34:P$34)+tipps!$A38,0)))</f>
        <v/>
      </c>
      <c r="R60" t="str">
        <f ca="1">IF($A38&gt;R$34,"",IF(OFFSET(Tippabgabe!$DB$177,SUM(tipps!$A$34:Q$34)+tipps!$A38,0)&lt;0,"",OFFSET(Tippabgabe!$DB$177,SUM(tipps!$A$34:Q$34)+tipps!$A38,0)))</f>
        <v/>
      </c>
      <c r="S60" t="str">
        <f ca="1">IF($A38&gt;S$34,"",IF(OFFSET(Tippabgabe!$DB$177,SUM(tipps!$A$34:R$34)+tipps!$A38,0)&lt;0,"",OFFSET(Tippabgabe!$DB$177,SUM(tipps!$A$34:R$34)+tipps!$A38,0)))</f>
        <v/>
      </c>
      <c r="T60" t="str">
        <f ca="1">IF($A38&gt;T$34,"",IF(OFFSET(Tippabgabe!$DB$177,SUM(tipps!$A$34:S$34)+tipps!$A38,0)&lt;0,"",OFFSET(Tippabgabe!$DB$177,SUM(tipps!$A$34:S$34)+tipps!$A38,0)))</f>
        <v/>
      </c>
      <c r="U60" t="str">
        <f ca="1">IF($A38&gt;U$34,"",IF(OFFSET(Tippabgabe!$DB$177,SUM(tipps!$A$34:T$34)+tipps!$A38,0)&lt;0,"",OFFSET(Tippabgabe!$DB$177,SUM(tipps!$A$34:T$34)+tipps!$A38,0)))</f>
        <v/>
      </c>
      <c r="V60" t="str">
        <f ca="1">IF($A38&gt;V$34,"",IF(OFFSET(Tippabgabe!$DB$177,SUM(tipps!$A$34:U$34)+tipps!$A38,0)&lt;0,"",OFFSET(Tippabgabe!$DB$177,SUM(tipps!$A$34:U$34)+tipps!$A38,0)))</f>
        <v/>
      </c>
      <c r="W60" t="str">
        <f ca="1">IF($A38&gt;W$34,"",IF(OFFSET(Tippabgabe!$DB$177,SUM(tipps!$A$34:V$34)+tipps!$A38,0)&lt;0,"",OFFSET(Tippabgabe!$DB$177,SUM(tipps!$A$34:V$34)+tipps!$A38,0)))</f>
        <v/>
      </c>
      <c r="X60" t="str">
        <f ca="1">IF($A38&gt;X$34,"",IF(OFFSET(Tippabgabe!$DB$177,SUM(tipps!$A$34:W$34)+tipps!$A38,0)&lt;0,"",OFFSET(Tippabgabe!$DB$177,SUM(tipps!$A$34:W$34)+tipps!$A38,0)))</f>
        <v/>
      </c>
      <c r="Y60" t="str">
        <f ca="1">IF($A38&gt;Y$34,"",IF(OFFSET(Tippabgabe!$DB$177,SUM(tipps!$A$34:X$34)+tipps!$A38,0)&lt;0,"",OFFSET(Tippabgabe!$DB$177,SUM(tipps!$A$34:X$34)+tipps!$A38,0)))</f>
        <v/>
      </c>
      <c r="Z60" t="str">
        <f ca="1">IF($A38&gt;Z$34,"",IF(OFFSET(Tippabgabe!$DB$177,SUM(tipps!$A$34:Y$34)+tipps!$A38,0)&lt;0,"",OFFSET(Tippabgabe!$DB$177,SUM(tipps!$A$34:Y$34)+tipps!$A38,0)))</f>
        <v/>
      </c>
      <c r="AA60" t="str">
        <f ca="1">IF($A38&gt;AA$34,"",IF(OFFSET(Tippabgabe!$DB$177,SUM(tipps!$A$34:Z$34)+tipps!$A38,0)&lt;0,"",OFFSET(Tippabgabe!$DB$177,SUM(tipps!$A$34:Z$34)+tipps!$A38,0)))</f>
        <v/>
      </c>
      <c r="AB60" t="str">
        <f ca="1">IF($A38&gt;AB$34,"",IF(OFFSET(Tippabgabe!$DB$177,SUM(tipps!$A$34:AA$34)+tipps!$A38,0)&lt;0,"",OFFSET(Tippabgabe!$DB$177,SUM(tipps!$A$34:AA$34)+tipps!$A38,0)))</f>
        <v/>
      </c>
      <c r="AC60" t="str">
        <f ca="1">IF($A38&gt;AC$34,"",IF(OFFSET(Tippabgabe!$DB$177,SUM(tipps!$A$34:AB$34)+tipps!$A38,0)&lt;0,"",OFFSET(Tippabgabe!$DB$177,SUM(tipps!$A$34:AB$34)+tipps!$A38,0)))</f>
        <v/>
      </c>
      <c r="AD60" t="str">
        <f ca="1">IF($A38&gt;AD$34,"",IF(OFFSET(Tippabgabe!$DB$177,SUM(tipps!$A$34:AC$34)+tipps!$A38,0)&lt;0,"",OFFSET(Tippabgabe!$DB$177,SUM(tipps!$A$34:AC$34)+tipps!$A38,0)))</f>
        <v/>
      </c>
      <c r="AE60" t="str">
        <f ca="1">IF($A38&gt;AE$34,"",IF(OFFSET(Tippabgabe!$DB$177,SUM(tipps!$A$34:AD$34)+tipps!$A38,0)&lt;0,"",OFFSET(Tippabgabe!$DB$177,SUM(tipps!$A$34:AD$34)+tipps!$A38,0)))</f>
        <v/>
      </c>
      <c r="AF60" t="str">
        <f ca="1">IF($A38&gt;AF$34,"",IF(OFFSET(Tippabgabe!$DB$177,SUM(tipps!$A$34:AE$34)+tipps!$A38,0)&lt;0,"",OFFSET(Tippabgabe!$DB$177,SUM(tipps!$A$34:AE$34)+tipps!$A38,0)))</f>
        <v/>
      </c>
      <c r="AG60" t="str">
        <f ca="1">IF($A38&gt;AG$34,"",IF(OFFSET(Tippabgabe!$DB$177,SUM(tipps!$A$34:AF$34)+tipps!$A38,0)&lt;0,"",OFFSET(Tippabgabe!$DB$177,SUM(tipps!$A$34:AF$34)+tipps!$A38,0)))</f>
        <v/>
      </c>
      <c r="AH60" t="str">
        <f ca="1">IF($A38&gt;AH$34,"",IF(OFFSET(Tippabgabe!$DB$177,SUM(tipps!$A$34:AG$34)+tipps!$A38,0)&lt;0,"",OFFSET(Tippabgabe!$DB$177,SUM(tipps!$A$34:AG$34)+tipps!$A38,0)))</f>
        <v/>
      </c>
      <c r="AI60" t="str">
        <f ca="1">IF($A38&gt;AI$34,"",IF(OFFSET(Tippabgabe!$DB$177,SUM(tipps!$A$34:AH$34)+tipps!$A38,0)&lt;0,"",OFFSET(Tippabgabe!$DB$177,SUM(tipps!$A$34:AH$34)+tipps!$A38,0)))</f>
        <v/>
      </c>
      <c r="AJ60" t="str">
        <f ca="1">IF($A38&gt;AJ$34,"",IF(OFFSET(Tippabgabe!$DB$177,SUM(tipps!$A$34:AI$34)+tipps!$A38,0)&lt;0,"",OFFSET(Tippabgabe!$DB$177,SUM(tipps!$A$34:AI$34)+tipps!$A38,0)))</f>
        <v/>
      </c>
      <c r="AK60" t="str">
        <f ca="1">IF($A38&gt;AK$34,"",IF(OFFSET(Tippabgabe!$DB$177,SUM(tipps!$A$34:AJ$34)+tipps!$A38,0)&lt;0,"",OFFSET(Tippabgabe!$DB$177,SUM(tipps!$A$34:AJ$34)+tipps!$A38,0)))</f>
        <v/>
      </c>
      <c r="AL60" t="str">
        <f ca="1">IF($A38&gt;AL$34,"",IF(OFFSET(Tippabgabe!$DB$177,SUM(tipps!$A$34:AK$34)+tipps!$A38,0)&lt;0,"",OFFSET(Tippabgabe!$DB$177,SUM(tipps!$A$34:AK$34)+tipps!$A38,0)))</f>
        <v/>
      </c>
      <c r="AM60" t="str">
        <f ca="1">IF($A38&gt;AM$34,"",IF(OFFSET(Tippabgabe!$DB$177,SUM(tipps!$A$34:AL$34)+tipps!$A38,0)&lt;0,"",OFFSET(Tippabgabe!$DB$177,SUM(tipps!$A$34:AL$34)+tipps!$A38,0)))</f>
        <v/>
      </c>
      <c r="AN60" t="str">
        <f ca="1">IF($A38&gt;AN$34,"",IF(OFFSET(Tippabgabe!$DB$177,SUM(tipps!$A$34:AM$34)+tipps!$A38,0)&lt;0,"",OFFSET(Tippabgabe!$DB$177,SUM(tipps!$A$34:AM$34)+tipps!$A38,0)))</f>
        <v/>
      </c>
      <c r="AO60" t="str">
        <f ca="1">IF($A38&gt;AO$34,"",IF(OFFSET(Tippabgabe!$DB$177,SUM(tipps!$A$34:AN$34)+tipps!$A38,0)&lt;0,"",OFFSET(Tippabgabe!$DB$177,SUM(tipps!$A$34:AN$34)+tipps!$A38,0)))</f>
        <v/>
      </c>
      <c r="AP60" t="str">
        <f ca="1">IF($A38&gt;AP$34,"",IF(OFFSET(Tippabgabe!$DB$177,SUM(tipps!$A$34:AO$34)+tipps!$A38,0)&lt;0,"",OFFSET(Tippabgabe!$DB$177,SUM(tipps!$A$34:AO$34)+tipps!$A38,0)))</f>
        <v/>
      </c>
      <c r="AQ60" t="str">
        <f ca="1">IF($A38&gt;AQ$34,"",IF(OFFSET(Tippabgabe!$DB$177,SUM(tipps!$A$34:AP$34)+tipps!$A38,0)&lt;0,"",OFFSET(Tippabgabe!$DB$177,SUM(tipps!$A$34:AP$34)+tipps!$A38,0)))</f>
        <v/>
      </c>
      <c r="AR60" t="str">
        <f ca="1">IF($A38&gt;AR$34,"",IF(OFFSET(Tippabgabe!$DB$177,SUM(tipps!$A$34:AQ$34)+tipps!$A38,0)&lt;0,"",OFFSET(Tippabgabe!$DB$177,SUM(tipps!$A$34:AQ$34)+tipps!$A38,0)))</f>
        <v/>
      </c>
      <c r="AS60" t="str">
        <f ca="1">IF($A38&gt;AS$34,"",IF(OFFSET(Tippabgabe!$DB$177,SUM(tipps!$A$34:AR$34)+tipps!$A38,0)&lt;0,"",OFFSET(Tippabgabe!$DB$177,SUM(tipps!$A$34:AR$34)+tipps!$A38,0)))</f>
        <v/>
      </c>
      <c r="AT60" t="str">
        <f ca="1">IF($A38&gt;AT$34,"",IF(OFFSET(Tippabgabe!$DB$177,SUM(tipps!$A$34:AS$34)+tipps!$A38,0)&lt;0,"",OFFSET(Tippabgabe!$DB$177,SUM(tipps!$A$34:AS$34)+tipps!$A38,0)))</f>
        <v/>
      </c>
      <c r="AU60" t="str">
        <f ca="1">IF($A38&gt;AU$34,"",IF(OFFSET(Tippabgabe!$DB$177,SUM(tipps!$A$34:AT$34)+tipps!$A38,0)&lt;0,"",OFFSET(Tippabgabe!$DB$177,SUM(tipps!$A$34:AT$34)+tipps!$A38,0)))</f>
        <v/>
      </c>
      <c r="AV60" t="str">
        <f ca="1">IF($A38&gt;AV$34,"",IF(OFFSET(Tippabgabe!$DB$177,SUM(tipps!$A$34:AU$34)+tipps!$A38,0)&lt;0,"",OFFSET(Tippabgabe!$DB$177,SUM(tipps!$A$34:AU$34)+tipps!$A38,0)))</f>
        <v/>
      </c>
      <c r="AW60" t="str">
        <f ca="1">IF($A38&gt;AW$34,"",IF(OFFSET(Tippabgabe!$DB$177,SUM(tipps!$A$34:AV$34)+tipps!$A38,0)&lt;0,"",OFFSET(Tippabgabe!$DB$177,SUM(tipps!$A$34:AV$34)+tipps!$A38,0)))</f>
        <v/>
      </c>
      <c r="AX60" t="str">
        <f ca="1">IF($A38&gt;AX$34,"",IF(OFFSET(Tippabgabe!$DB$177,SUM(tipps!$A$34:AW$34)+tipps!$A38,0)&lt;0,"",OFFSET(Tippabgabe!$DB$177,SUM(tipps!$A$34:AW$34)+tipps!$A38,0)))</f>
        <v/>
      </c>
      <c r="AY60" t="str">
        <f ca="1">IF($A38&gt;AY$34,"",IF(OFFSET(Tippabgabe!$DB$177,SUM(tipps!$A$34:AX$34)+tipps!$A38,0)&lt;0,"",OFFSET(Tippabgabe!$DB$177,SUM(tipps!$A$34:AX$34)+tipps!$A38,0)))</f>
        <v/>
      </c>
      <c r="AZ60" t="str">
        <f ca="1">IF($A38&gt;AZ$34,"",IF(OFFSET(Tippabgabe!$DB$177,SUM(tipps!$A$34:AY$34)+tipps!$A38,0)&lt;0,"",OFFSET(Tippabgabe!$DB$177,SUM(tipps!$A$34:AY$34)+tipps!$A38,0)))</f>
        <v/>
      </c>
      <c r="BA60" t="str">
        <f ca="1">IF($A38&gt;BA$34,"",IF(OFFSET(Tippabgabe!$DB$177,SUM(tipps!$A$34:AZ$34)+tipps!$A38,0)&lt;0,"",OFFSET(Tippabgabe!$DB$177,SUM(tipps!$A$34:AZ$34)+tipps!$A38,0)))</f>
        <v/>
      </c>
      <c r="BB60" t="str">
        <f ca="1">IF($A38&gt;BB$34,"",IF(OFFSET(Tippabgabe!$DB$177,SUM(tipps!$A$34:BA$34)+tipps!$A38,0)&lt;0,"",OFFSET(Tippabgabe!$DB$177,SUM(tipps!$A$34:BA$34)+tipps!$A38,0)))</f>
        <v/>
      </c>
      <c r="BC60" t="str">
        <f ca="1">IF($A38&gt;BC$34,"",IF(OFFSET(Tippabgabe!$DB$177,SUM(tipps!$A$34:BB$34)+tipps!$A38,0)&lt;0,"",OFFSET(Tippabgabe!$DB$177,SUM(tipps!$A$34:BB$34)+tipps!$A38,0)))</f>
        <v/>
      </c>
      <c r="BD60" t="str">
        <f ca="1">IF($A38&gt;BD$34,"",IF(OFFSET(Tippabgabe!$DB$177,SUM(tipps!$A$34:BC$34)+tipps!$A38,0)&lt;0,"",OFFSET(Tippabgabe!$DB$177,SUM(tipps!$A$34:BC$34)+tipps!$A38,0)))</f>
        <v/>
      </c>
      <c r="BE60" t="str">
        <f ca="1">IF($A38&gt;BE$34,"",IF(OFFSET(Tippabgabe!$DB$177,SUM(tipps!$A$34:BD$34)+tipps!$A38,0)&lt;0,"",OFFSET(Tippabgabe!$DB$177,SUM(tipps!$A$34:BD$34)+tipps!$A38,0)))</f>
        <v/>
      </c>
      <c r="BF60" t="str">
        <f ca="1">IF($A38&gt;BF$34,"",IF(OFFSET(Tippabgabe!$DB$177,SUM(tipps!$A$34:BE$34)+tipps!$A38,0)&lt;0,"",OFFSET(Tippabgabe!$DB$177,SUM(tipps!$A$34:BE$34)+tipps!$A38,0)))</f>
        <v/>
      </c>
      <c r="BG60" t="str">
        <f ca="1">IF($A38&gt;BG$34,"",IF(OFFSET(Tippabgabe!$DB$177,SUM(tipps!$A$34:BF$34)+tipps!$A38,0)&lt;0,"",OFFSET(Tippabgabe!$DB$177,SUM(tipps!$A$34:BF$34)+tipps!$A38,0)))</f>
        <v/>
      </c>
      <c r="BH60" t="str">
        <f ca="1">IF($A38&gt;BH$34,"",IF(OFFSET(Tippabgabe!$DB$177,SUM(tipps!$A$34:BG$34)+tipps!$A38,0)&lt;0,"",OFFSET(Tippabgabe!$DB$177,SUM(tipps!$A$34:BG$34)+tipps!$A38,0)))</f>
        <v/>
      </c>
      <c r="BI60" t="str">
        <f ca="1">IF($A38&gt;BI$34,"",IF(OFFSET(Tippabgabe!$DB$177,SUM(tipps!$A$34:BH$34)+tipps!$A38,0)&lt;0,"",OFFSET(Tippabgabe!$DB$177,SUM(tipps!$A$34:BH$34)+tipps!$A38,0)))</f>
        <v/>
      </c>
      <c r="BJ60" t="str">
        <f ca="1">IF($A38&gt;BJ$34,"",IF(OFFSET(Tippabgabe!$DB$177,SUM(tipps!$A$34:BI$34)+tipps!$A38,0)&lt;0,"",OFFSET(Tippabgabe!$DB$177,SUM(tipps!$A$34:BI$34)+tipps!$A38,0)))</f>
        <v/>
      </c>
      <c r="BK60" t="str">
        <f ca="1">IF($A38&gt;BK$34,"",IF(OFFSET(Tippabgabe!$DB$177,SUM(tipps!$A$34:BJ$34)+tipps!$A38,0)&lt;0,"",OFFSET(Tippabgabe!$DB$177,SUM(tipps!$A$34:BJ$34)+tipps!$A38,0)))</f>
        <v/>
      </c>
      <c r="BL60" t="str">
        <f ca="1">IF($A38&gt;BL$34,"",IF(OFFSET(Tippabgabe!$DB$177,SUM(tipps!$A$34:BK$34)+tipps!$A38,0)&lt;0,"",OFFSET(Tippabgabe!$DB$177,SUM(tipps!$A$34:BK$34)+tipps!$A38,0)))</f>
        <v/>
      </c>
      <c r="BM60" t="str">
        <f ca="1">IF($A38&gt;BM$34,"",IF(OFFSET(Tippabgabe!$DB$177,SUM(tipps!$A$34:BL$34)+tipps!$A38,0)&lt;0,"",OFFSET(Tippabgabe!$DB$177,SUM(tipps!$A$34:BL$34)+tipps!$A38,0)))</f>
        <v/>
      </c>
      <c r="BN60" t="str">
        <f ca="1">IF($A38&gt;BN$34,"",IF(OFFSET(Tippabgabe!$DB$177,SUM(tipps!$A$34:BM$34)+tipps!$A38,0)&lt;0,"",OFFSET(Tippabgabe!$DB$177,SUM(tipps!$A$34:BM$34)+tipps!$A38,0)))</f>
        <v/>
      </c>
      <c r="BO60" t="str">
        <f ca="1">IF($A38&gt;BO$34,"",IF(OFFSET(Tippabgabe!$DB$177,SUM(tipps!$A$34:BN$34)+tipps!$A38,0)&lt;0,"",OFFSET(Tippabgabe!$DB$177,SUM(tipps!$A$34:BN$34)+tipps!$A38,0)))</f>
        <v/>
      </c>
      <c r="BP60" t="str">
        <f ca="1">IF($A38&gt;BP$34,"",IF(OFFSET(Tippabgabe!$DB$177,SUM(tipps!$A$34:BO$34)+tipps!$A38,0)&lt;0,"",OFFSET(Tippabgabe!$DB$177,SUM(tipps!$A$34:BO$34)+tipps!$A38,0)))</f>
        <v/>
      </c>
      <c r="BQ60" t="str">
        <f ca="1">IF($A38&gt;BQ$34,"",IF(OFFSET(Tippabgabe!$DB$177,SUM(tipps!$A$34:BP$34)+tipps!$A38,0)&lt;0,"",OFFSET(Tippabgabe!$DB$177,SUM(tipps!$A$34:BP$34)+tipps!$A38,0)))</f>
        <v/>
      </c>
      <c r="BR60" t="str">
        <f ca="1">IF($A38&gt;BR$34,"",IF(OFFSET(Tippabgabe!$DB$177,SUM(tipps!$A$34:BQ$34)+tipps!$A38,0)&lt;0,"",OFFSET(Tippabgabe!$DB$177,SUM(tipps!$A$34:BQ$34)+tipps!$A38,0)))</f>
        <v/>
      </c>
      <c r="BS60" t="str">
        <f ca="1">IF($A38&gt;BS$34,"",IF(OFFSET(Tippabgabe!$DB$177,SUM(tipps!$A$34:BR$34)+tipps!$A38,0)&lt;0,"",OFFSET(Tippabgabe!$DB$177,SUM(tipps!$A$34:BR$34)+tipps!$A38,0)))</f>
        <v/>
      </c>
      <c r="BT60" t="str">
        <f ca="1">IF($A38&gt;BT$34,"",IF(OFFSET(Tippabgabe!$DB$177,SUM(tipps!$A$34:BS$34)+tipps!$A38,0)&lt;0,"",OFFSET(Tippabgabe!$DB$177,SUM(tipps!$A$34:BS$34)+tipps!$A38,0)))</f>
        <v/>
      </c>
      <c r="BU60" t="str">
        <f ca="1">IF($A38&gt;BU$34,"",IF(OFFSET(Tippabgabe!$DB$177,SUM(tipps!$A$34:BT$34)+tipps!$A38,0)&lt;0,"",OFFSET(Tippabgabe!$DB$177,SUM(tipps!$A$34:BT$34)+tipps!$A38,0)))</f>
        <v/>
      </c>
      <c r="BV60" t="str">
        <f ca="1">IF($A38&gt;BV$34,"",IF(OFFSET(Tippabgabe!$DB$177,SUM(tipps!$A$34:BU$34)+tipps!$A38,0)&lt;0,"",OFFSET(Tippabgabe!$DB$177,SUM(tipps!$A$34:BU$34)+tipps!$A38,0)))</f>
        <v/>
      </c>
      <c r="BW60" t="str">
        <f ca="1">IF($A38&gt;BW$34,"",IF(OFFSET(Tippabgabe!$DB$177,SUM(tipps!$A$34:BV$34)+tipps!$A38,0)&lt;0,"",OFFSET(Tippabgabe!$DB$177,SUM(tipps!$A$34:BV$34)+tipps!$A38,0)))</f>
        <v/>
      </c>
    </row>
    <row r="61" spans="1:75" x14ac:dyDescent="0.2">
      <c r="A61">
        <v>4</v>
      </c>
      <c r="B61" t="str">
        <f ca="1">IF($A39&gt;B$34,"",IF(OFFSET(Tippabgabe!$DB$177,SUM(tipps!$A$34:A$34)+tipps!$A39,0)&lt;0,"",OFFSET(Tippabgabe!$DB$177,SUM(tipps!$A$34:A$34)+tipps!$A39,0)))</f>
        <v/>
      </c>
      <c r="C61" t="str">
        <f ca="1">IF($A39&gt;C$34,"",IF(OFFSET(Tippabgabe!$DB$177,SUM(tipps!$A$34:B$34)+tipps!$A39,0)&lt;0,"",OFFSET(Tippabgabe!$DB$177,SUM(tipps!$A$34:B$34)+tipps!$A39,0)))</f>
        <v/>
      </c>
      <c r="D61" t="str">
        <f ca="1">IF($A39&gt;D$34,"",IF(OFFSET(Tippabgabe!$DB$177,SUM(tipps!$A$34:C$34)+tipps!$A39,0)&lt;0,"",OFFSET(Tippabgabe!$DB$177,SUM(tipps!$A$34:C$34)+tipps!$A39,0)))</f>
        <v/>
      </c>
      <c r="E61" t="str">
        <f ca="1">IF($A39&gt;E$34,"",IF(OFFSET(Tippabgabe!$DB$177,SUM(tipps!$A$34:D$34)+tipps!$A39,0)&lt;0,"",OFFSET(Tippabgabe!$DB$177,SUM(tipps!$A$34:D$34)+tipps!$A39,0)))</f>
        <v/>
      </c>
      <c r="F61" t="str">
        <f ca="1">IF($A39&gt;F$34,"",IF(OFFSET(Tippabgabe!$DB$177,SUM(tipps!$A$34:E$34)+tipps!$A39,0)&lt;0,"",OFFSET(Tippabgabe!$DB$177,SUM(tipps!$A$34:E$34)+tipps!$A39,0)))</f>
        <v/>
      </c>
      <c r="G61" t="str">
        <f ca="1">IF($A39&gt;G$34,"",IF(OFFSET(Tippabgabe!$DB$177,SUM(tipps!$A$34:F$34)+tipps!$A39,0)&lt;0,"",OFFSET(Tippabgabe!$DB$177,SUM(tipps!$A$34:F$34)+tipps!$A39,0)))</f>
        <v/>
      </c>
      <c r="H61" t="str">
        <f ca="1">IF($A39&gt;H$34,"",IF(OFFSET(Tippabgabe!$DB$177,SUM(tipps!$A$34:G$34)+tipps!$A39,0)&lt;0,"",OFFSET(Tippabgabe!$DB$177,SUM(tipps!$A$34:G$34)+tipps!$A39,0)))</f>
        <v/>
      </c>
      <c r="I61" t="str">
        <f ca="1">IF($A39&gt;I$34,"",IF(OFFSET(Tippabgabe!$DB$177,SUM(tipps!$A$34:H$34)+tipps!$A39,0)&lt;0,"",OFFSET(Tippabgabe!$DB$177,SUM(tipps!$A$34:H$34)+tipps!$A39,0)))</f>
        <v/>
      </c>
      <c r="J61" t="str">
        <f ca="1">IF($A39&gt;J$34,"",IF(OFFSET(Tippabgabe!$DB$177,SUM(tipps!$A$34:I$34)+tipps!$A39,0)&lt;0,"",OFFSET(Tippabgabe!$DB$177,SUM(tipps!$A$34:I$34)+tipps!$A39,0)))</f>
        <v/>
      </c>
      <c r="K61">
        <f ca="1">IF($A39&gt;K$34,"",IF(OFFSET(Tippabgabe!$DB$177,SUM(tipps!$A$34:J$34)+tipps!$A39,0)&lt;0,"",OFFSET(Tippabgabe!$DB$177,SUM(tipps!$A$34:J$34)+tipps!$A39,0)))</f>
        <v>6</v>
      </c>
      <c r="L61" t="str">
        <f ca="1">IF($A39&gt;L$34,"",IF(OFFSET(Tippabgabe!$DB$177,SUM(tipps!$A$34:K$34)+tipps!$A39,0)&lt;0,"",OFFSET(Tippabgabe!$DB$177,SUM(tipps!$A$34:K$34)+tipps!$A39,0)))</f>
        <v/>
      </c>
      <c r="M61" t="str">
        <f ca="1">IF($A39&gt;M$34,"",IF(OFFSET(Tippabgabe!$DB$177,SUM(tipps!$A$34:L$34)+tipps!$A39,0)&lt;0,"",OFFSET(Tippabgabe!$DB$177,SUM(tipps!$A$34:L$34)+tipps!$A39,0)))</f>
        <v/>
      </c>
      <c r="N61" t="str">
        <f ca="1">IF($A39&gt;N$34,"",IF(OFFSET(Tippabgabe!$DB$177,SUM(tipps!$A$34:M$34)+tipps!$A39,0)&lt;0,"",OFFSET(Tippabgabe!$DB$177,SUM(tipps!$A$34:M$34)+tipps!$A39,0)))</f>
        <v/>
      </c>
      <c r="O61" t="str">
        <f ca="1">IF($A39&gt;O$34,"",IF(OFFSET(Tippabgabe!$DB$177,SUM(tipps!$A$34:N$34)+tipps!$A39,0)&lt;0,"",OFFSET(Tippabgabe!$DB$177,SUM(tipps!$A$34:N$34)+tipps!$A39,0)))</f>
        <v/>
      </c>
      <c r="P61" t="str">
        <f ca="1">IF($A39&gt;P$34,"",IF(OFFSET(Tippabgabe!$DB$177,SUM(tipps!$A$34:O$34)+tipps!$A39,0)&lt;0,"",OFFSET(Tippabgabe!$DB$177,SUM(tipps!$A$34:O$34)+tipps!$A39,0)))</f>
        <v/>
      </c>
      <c r="Q61" t="str">
        <f ca="1">IF($A39&gt;Q$34,"",IF(OFFSET(Tippabgabe!$DB$177,SUM(tipps!$A$34:P$34)+tipps!$A39,0)&lt;0,"",OFFSET(Tippabgabe!$DB$177,SUM(tipps!$A$34:P$34)+tipps!$A39,0)))</f>
        <v/>
      </c>
      <c r="R61" t="str">
        <f ca="1">IF($A39&gt;R$34,"",IF(OFFSET(Tippabgabe!$DB$177,SUM(tipps!$A$34:Q$34)+tipps!$A39,0)&lt;0,"",OFFSET(Tippabgabe!$DB$177,SUM(tipps!$A$34:Q$34)+tipps!$A39,0)))</f>
        <v/>
      </c>
      <c r="S61" t="str">
        <f ca="1">IF($A39&gt;S$34,"",IF(OFFSET(Tippabgabe!$DB$177,SUM(tipps!$A$34:R$34)+tipps!$A39,0)&lt;0,"",OFFSET(Tippabgabe!$DB$177,SUM(tipps!$A$34:R$34)+tipps!$A39,0)))</f>
        <v/>
      </c>
      <c r="T61" t="str">
        <f ca="1">IF($A39&gt;T$34,"",IF(OFFSET(Tippabgabe!$DB$177,SUM(tipps!$A$34:S$34)+tipps!$A39,0)&lt;0,"",OFFSET(Tippabgabe!$DB$177,SUM(tipps!$A$34:S$34)+tipps!$A39,0)))</f>
        <v/>
      </c>
      <c r="U61" t="str">
        <f ca="1">IF($A39&gt;U$34,"",IF(OFFSET(Tippabgabe!$DB$177,SUM(tipps!$A$34:T$34)+tipps!$A39,0)&lt;0,"",OFFSET(Tippabgabe!$DB$177,SUM(tipps!$A$34:T$34)+tipps!$A39,0)))</f>
        <v/>
      </c>
      <c r="V61" t="str">
        <f ca="1">IF($A39&gt;V$34,"",IF(OFFSET(Tippabgabe!$DB$177,SUM(tipps!$A$34:U$34)+tipps!$A39,0)&lt;0,"",OFFSET(Tippabgabe!$DB$177,SUM(tipps!$A$34:U$34)+tipps!$A39,0)))</f>
        <v/>
      </c>
      <c r="W61" t="str">
        <f ca="1">IF($A39&gt;W$34,"",IF(OFFSET(Tippabgabe!$DB$177,SUM(tipps!$A$34:V$34)+tipps!$A39,0)&lt;0,"",OFFSET(Tippabgabe!$DB$177,SUM(tipps!$A$34:V$34)+tipps!$A39,0)))</f>
        <v/>
      </c>
      <c r="X61" t="str">
        <f ca="1">IF($A39&gt;X$34,"",IF(OFFSET(Tippabgabe!$DB$177,SUM(tipps!$A$34:W$34)+tipps!$A39,0)&lt;0,"",OFFSET(Tippabgabe!$DB$177,SUM(tipps!$A$34:W$34)+tipps!$A39,0)))</f>
        <v/>
      </c>
      <c r="Y61" t="str">
        <f ca="1">IF($A39&gt;Y$34,"",IF(OFFSET(Tippabgabe!$DB$177,SUM(tipps!$A$34:X$34)+tipps!$A39,0)&lt;0,"",OFFSET(Tippabgabe!$DB$177,SUM(tipps!$A$34:X$34)+tipps!$A39,0)))</f>
        <v/>
      </c>
      <c r="Z61" t="str">
        <f ca="1">IF($A39&gt;Z$34,"",IF(OFFSET(Tippabgabe!$DB$177,SUM(tipps!$A$34:Y$34)+tipps!$A39,0)&lt;0,"",OFFSET(Tippabgabe!$DB$177,SUM(tipps!$A$34:Y$34)+tipps!$A39,0)))</f>
        <v/>
      </c>
      <c r="AA61" t="str">
        <f ca="1">IF($A39&gt;AA$34,"",IF(OFFSET(Tippabgabe!$DB$177,SUM(tipps!$A$34:Z$34)+tipps!$A39,0)&lt;0,"",OFFSET(Tippabgabe!$DB$177,SUM(tipps!$A$34:Z$34)+tipps!$A39,0)))</f>
        <v/>
      </c>
      <c r="AB61" t="str">
        <f ca="1">IF($A39&gt;AB$34,"",IF(OFFSET(Tippabgabe!$DB$177,SUM(tipps!$A$34:AA$34)+tipps!$A39,0)&lt;0,"",OFFSET(Tippabgabe!$DB$177,SUM(tipps!$A$34:AA$34)+tipps!$A39,0)))</f>
        <v/>
      </c>
      <c r="AC61" t="str">
        <f ca="1">IF($A39&gt;AC$34,"",IF(OFFSET(Tippabgabe!$DB$177,SUM(tipps!$A$34:AB$34)+tipps!$A39,0)&lt;0,"",OFFSET(Tippabgabe!$DB$177,SUM(tipps!$A$34:AB$34)+tipps!$A39,0)))</f>
        <v/>
      </c>
      <c r="AD61" t="str">
        <f ca="1">IF($A39&gt;AD$34,"",IF(OFFSET(Tippabgabe!$DB$177,SUM(tipps!$A$34:AC$34)+tipps!$A39,0)&lt;0,"",OFFSET(Tippabgabe!$DB$177,SUM(tipps!$A$34:AC$34)+tipps!$A39,0)))</f>
        <v/>
      </c>
      <c r="AE61" t="str">
        <f ca="1">IF($A39&gt;AE$34,"",IF(OFFSET(Tippabgabe!$DB$177,SUM(tipps!$A$34:AD$34)+tipps!$A39,0)&lt;0,"",OFFSET(Tippabgabe!$DB$177,SUM(tipps!$A$34:AD$34)+tipps!$A39,0)))</f>
        <v/>
      </c>
      <c r="AF61" t="str">
        <f ca="1">IF($A39&gt;AF$34,"",IF(OFFSET(Tippabgabe!$DB$177,SUM(tipps!$A$34:AE$34)+tipps!$A39,0)&lt;0,"",OFFSET(Tippabgabe!$DB$177,SUM(tipps!$A$34:AE$34)+tipps!$A39,0)))</f>
        <v/>
      </c>
      <c r="AG61" t="str">
        <f ca="1">IF($A39&gt;AG$34,"",IF(OFFSET(Tippabgabe!$DB$177,SUM(tipps!$A$34:AF$34)+tipps!$A39,0)&lt;0,"",OFFSET(Tippabgabe!$DB$177,SUM(tipps!$A$34:AF$34)+tipps!$A39,0)))</f>
        <v/>
      </c>
      <c r="AH61" t="str">
        <f ca="1">IF($A39&gt;AH$34,"",IF(OFFSET(Tippabgabe!$DB$177,SUM(tipps!$A$34:AG$34)+tipps!$A39,0)&lt;0,"",OFFSET(Tippabgabe!$DB$177,SUM(tipps!$A$34:AG$34)+tipps!$A39,0)))</f>
        <v/>
      </c>
      <c r="AI61" t="str">
        <f ca="1">IF($A39&gt;AI$34,"",IF(OFFSET(Tippabgabe!$DB$177,SUM(tipps!$A$34:AH$34)+tipps!$A39,0)&lt;0,"",OFFSET(Tippabgabe!$DB$177,SUM(tipps!$A$34:AH$34)+tipps!$A39,0)))</f>
        <v/>
      </c>
      <c r="AJ61" t="str">
        <f ca="1">IF($A39&gt;AJ$34,"",IF(OFFSET(Tippabgabe!$DB$177,SUM(tipps!$A$34:AI$34)+tipps!$A39,0)&lt;0,"",OFFSET(Tippabgabe!$DB$177,SUM(tipps!$A$34:AI$34)+tipps!$A39,0)))</f>
        <v/>
      </c>
      <c r="AK61" t="str">
        <f ca="1">IF($A39&gt;AK$34,"",IF(OFFSET(Tippabgabe!$DB$177,SUM(tipps!$A$34:AJ$34)+tipps!$A39,0)&lt;0,"",OFFSET(Tippabgabe!$DB$177,SUM(tipps!$A$34:AJ$34)+tipps!$A39,0)))</f>
        <v/>
      </c>
      <c r="AL61" t="str">
        <f ca="1">IF($A39&gt;AL$34,"",IF(OFFSET(Tippabgabe!$DB$177,SUM(tipps!$A$34:AK$34)+tipps!$A39,0)&lt;0,"",OFFSET(Tippabgabe!$DB$177,SUM(tipps!$A$34:AK$34)+tipps!$A39,0)))</f>
        <v/>
      </c>
      <c r="AM61" t="str">
        <f ca="1">IF($A39&gt;AM$34,"",IF(OFFSET(Tippabgabe!$DB$177,SUM(tipps!$A$34:AL$34)+tipps!$A39,0)&lt;0,"",OFFSET(Tippabgabe!$DB$177,SUM(tipps!$A$34:AL$34)+tipps!$A39,0)))</f>
        <v/>
      </c>
      <c r="AN61" t="str">
        <f ca="1">IF($A39&gt;AN$34,"",IF(OFFSET(Tippabgabe!$DB$177,SUM(tipps!$A$34:AM$34)+tipps!$A39,0)&lt;0,"",OFFSET(Tippabgabe!$DB$177,SUM(tipps!$A$34:AM$34)+tipps!$A39,0)))</f>
        <v/>
      </c>
      <c r="AO61" t="str">
        <f ca="1">IF($A39&gt;AO$34,"",IF(OFFSET(Tippabgabe!$DB$177,SUM(tipps!$A$34:AN$34)+tipps!$A39,0)&lt;0,"",OFFSET(Tippabgabe!$DB$177,SUM(tipps!$A$34:AN$34)+tipps!$A39,0)))</f>
        <v/>
      </c>
      <c r="AP61" t="str">
        <f ca="1">IF($A39&gt;AP$34,"",IF(OFFSET(Tippabgabe!$DB$177,SUM(tipps!$A$34:AO$34)+tipps!$A39,0)&lt;0,"",OFFSET(Tippabgabe!$DB$177,SUM(tipps!$A$34:AO$34)+tipps!$A39,0)))</f>
        <v/>
      </c>
      <c r="AQ61" t="str">
        <f ca="1">IF($A39&gt;AQ$34,"",IF(OFFSET(Tippabgabe!$DB$177,SUM(tipps!$A$34:AP$34)+tipps!$A39,0)&lt;0,"",OFFSET(Tippabgabe!$DB$177,SUM(tipps!$A$34:AP$34)+tipps!$A39,0)))</f>
        <v/>
      </c>
      <c r="AR61" t="str">
        <f ca="1">IF($A39&gt;AR$34,"",IF(OFFSET(Tippabgabe!$DB$177,SUM(tipps!$A$34:AQ$34)+tipps!$A39,0)&lt;0,"",OFFSET(Tippabgabe!$DB$177,SUM(tipps!$A$34:AQ$34)+tipps!$A39,0)))</f>
        <v/>
      </c>
      <c r="AS61" t="str">
        <f ca="1">IF($A39&gt;AS$34,"",IF(OFFSET(Tippabgabe!$DB$177,SUM(tipps!$A$34:AR$34)+tipps!$A39,0)&lt;0,"",OFFSET(Tippabgabe!$DB$177,SUM(tipps!$A$34:AR$34)+tipps!$A39,0)))</f>
        <v/>
      </c>
      <c r="AT61" t="str">
        <f ca="1">IF($A39&gt;AT$34,"",IF(OFFSET(Tippabgabe!$DB$177,SUM(tipps!$A$34:AS$34)+tipps!$A39,0)&lt;0,"",OFFSET(Tippabgabe!$DB$177,SUM(tipps!$A$34:AS$34)+tipps!$A39,0)))</f>
        <v/>
      </c>
      <c r="AU61" t="str">
        <f ca="1">IF($A39&gt;AU$34,"",IF(OFFSET(Tippabgabe!$DB$177,SUM(tipps!$A$34:AT$34)+tipps!$A39,0)&lt;0,"",OFFSET(Tippabgabe!$DB$177,SUM(tipps!$A$34:AT$34)+tipps!$A39,0)))</f>
        <v/>
      </c>
      <c r="AV61" t="str">
        <f ca="1">IF($A39&gt;AV$34,"",IF(OFFSET(Tippabgabe!$DB$177,SUM(tipps!$A$34:AU$34)+tipps!$A39,0)&lt;0,"",OFFSET(Tippabgabe!$DB$177,SUM(tipps!$A$34:AU$34)+tipps!$A39,0)))</f>
        <v/>
      </c>
      <c r="AW61" t="str">
        <f ca="1">IF($A39&gt;AW$34,"",IF(OFFSET(Tippabgabe!$DB$177,SUM(tipps!$A$34:AV$34)+tipps!$A39,0)&lt;0,"",OFFSET(Tippabgabe!$DB$177,SUM(tipps!$A$34:AV$34)+tipps!$A39,0)))</f>
        <v/>
      </c>
      <c r="AX61" t="str">
        <f ca="1">IF($A39&gt;AX$34,"",IF(OFFSET(Tippabgabe!$DB$177,SUM(tipps!$A$34:AW$34)+tipps!$A39,0)&lt;0,"",OFFSET(Tippabgabe!$DB$177,SUM(tipps!$A$34:AW$34)+tipps!$A39,0)))</f>
        <v/>
      </c>
      <c r="AY61" t="str">
        <f ca="1">IF($A39&gt;AY$34,"",IF(OFFSET(Tippabgabe!$DB$177,SUM(tipps!$A$34:AX$34)+tipps!$A39,0)&lt;0,"",OFFSET(Tippabgabe!$DB$177,SUM(tipps!$A$34:AX$34)+tipps!$A39,0)))</f>
        <v/>
      </c>
      <c r="AZ61" t="str">
        <f ca="1">IF($A39&gt;AZ$34,"",IF(OFFSET(Tippabgabe!$DB$177,SUM(tipps!$A$34:AY$34)+tipps!$A39,0)&lt;0,"",OFFSET(Tippabgabe!$DB$177,SUM(tipps!$A$34:AY$34)+tipps!$A39,0)))</f>
        <v/>
      </c>
      <c r="BA61" t="str">
        <f ca="1">IF($A39&gt;BA$34,"",IF(OFFSET(Tippabgabe!$DB$177,SUM(tipps!$A$34:AZ$34)+tipps!$A39,0)&lt;0,"",OFFSET(Tippabgabe!$DB$177,SUM(tipps!$A$34:AZ$34)+tipps!$A39,0)))</f>
        <v/>
      </c>
      <c r="BB61" t="str">
        <f ca="1">IF($A39&gt;BB$34,"",IF(OFFSET(Tippabgabe!$DB$177,SUM(tipps!$A$34:BA$34)+tipps!$A39,0)&lt;0,"",OFFSET(Tippabgabe!$DB$177,SUM(tipps!$A$34:BA$34)+tipps!$A39,0)))</f>
        <v/>
      </c>
      <c r="BC61" t="str">
        <f ca="1">IF($A39&gt;BC$34,"",IF(OFFSET(Tippabgabe!$DB$177,SUM(tipps!$A$34:BB$34)+tipps!$A39,0)&lt;0,"",OFFSET(Tippabgabe!$DB$177,SUM(tipps!$A$34:BB$34)+tipps!$A39,0)))</f>
        <v/>
      </c>
      <c r="BD61" t="str">
        <f ca="1">IF($A39&gt;BD$34,"",IF(OFFSET(Tippabgabe!$DB$177,SUM(tipps!$A$34:BC$34)+tipps!$A39,0)&lt;0,"",OFFSET(Tippabgabe!$DB$177,SUM(tipps!$A$34:BC$34)+tipps!$A39,0)))</f>
        <v/>
      </c>
      <c r="BE61" t="str">
        <f ca="1">IF($A39&gt;BE$34,"",IF(OFFSET(Tippabgabe!$DB$177,SUM(tipps!$A$34:BD$34)+tipps!$A39,0)&lt;0,"",OFFSET(Tippabgabe!$DB$177,SUM(tipps!$A$34:BD$34)+tipps!$A39,0)))</f>
        <v/>
      </c>
      <c r="BF61" t="str">
        <f ca="1">IF($A39&gt;BF$34,"",IF(OFFSET(Tippabgabe!$DB$177,SUM(tipps!$A$34:BE$34)+tipps!$A39,0)&lt;0,"",OFFSET(Tippabgabe!$DB$177,SUM(tipps!$A$34:BE$34)+tipps!$A39,0)))</f>
        <v/>
      </c>
      <c r="BG61" t="str">
        <f ca="1">IF($A39&gt;BG$34,"",IF(OFFSET(Tippabgabe!$DB$177,SUM(tipps!$A$34:BF$34)+tipps!$A39,0)&lt;0,"",OFFSET(Tippabgabe!$DB$177,SUM(tipps!$A$34:BF$34)+tipps!$A39,0)))</f>
        <v/>
      </c>
      <c r="BH61" t="str">
        <f ca="1">IF($A39&gt;BH$34,"",IF(OFFSET(Tippabgabe!$DB$177,SUM(tipps!$A$34:BG$34)+tipps!$A39,0)&lt;0,"",OFFSET(Tippabgabe!$DB$177,SUM(tipps!$A$34:BG$34)+tipps!$A39,0)))</f>
        <v/>
      </c>
      <c r="BI61" t="str">
        <f ca="1">IF($A39&gt;BI$34,"",IF(OFFSET(Tippabgabe!$DB$177,SUM(tipps!$A$34:BH$34)+tipps!$A39,0)&lt;0,"",OFFSET(Tippabgabe!$DB$177,SUM(tipps!$A$34:BH$34)+tipps!$A39,0)))</f>
        <v/>
      </c>
      <c r="BJ61" t="str">
        <f ca="1">IF($A39&gt;BJ$34,"",IF(OFFSET(Tippabgabe!$DB$177,SUM(tipps!$A$34:BI$34)+tipps!$A39,0)&lt;0,"",OFFSET(Tippabgabe!$DB$177,SUM(tipps!$A$34:BI$34)+tipps!$A39,0)))</f>
        <v/>
      </c>
      <c r="BK61" t="str">
        <f ca="1">IF($A39&gt;BK$34,"",IF(OFFSET(Tippabgabe!$DB$177,SUM(tipps!$A$34:BJ$34)+tipps!$A39,0)&lt;0,"",OFFSET(Tippabgabe!$DB$177,SUM(tipps!$A$34:BJ$34)+tipps!$A39,0)))</f>
        <v/>
      </c>
      <c r="BL61" t="str">
        <f ca="1">IF($A39&gt;BL$34,"",IF(OFFSET(Tippabgabe!$DB$177,SUM(tipps!$A$34:BK$34)+tipps!$A39,0)&lt;0,"",OFFSET(Tippabgabe!$DB$177,SUM(tipps!$A$34:BK$34)+tipps!$A39,0)))</f>
        <v/>
      </c>
      <c r="BM61" t="str">
        <f ca="1">IF($A39&gt;BM$34,"",IF(OFFSET(Tippabgabe!$DB$177,SUM(tipps!$A$34:BL$34)+tipps!$A39,0)&lt;0,"",OFFSET(Tippabgabe!$DB$177,SUM(tipps!$A$34:BL$34)+tipps!$A39,0)))</f>
        <v/>
      </c>
      <c r="BN61" t="str">
        <f ca="1">IF($A39&gt;BN$34,"",IF(OFFSET(Tippabgabe!$DB$177,SUM(tipps!$A$34:BM$34)+tipps!$A39,0)&lt;0,"",OFFSET(Tippabgabe!$DB$177,SUM(tipps!$A$34:BM$34)+tipps!$A39,0)))</f>
        <v/>
      </c>
      <c r="BO61" t="str">
        <f ca="1">IF($A39&gt;BO$34,"",IF(OFFSET(Tippabgabe!$DB$177,SUM(tipps!$A$34:BN$34)+tipps!$A39,0)&lt;0,"",OFFSET(Tippabgabe!$DB$177,SUM(tipps!$A$34:BN$34)+tipps!$A39,0)))</f>
        <v/>
      </c>
      <c r="BP61" t="str">
        <f ca="1">IF($A39&gt;BP$34,"",IF(OFFSET(Tippabgabe!$DB$177,SUM(tipps!$A$34:BO$34)+tipps!$A39,0)&lt;0,"",OFFSET(Tippabgabe!$DB$177,SUM(tipps!$A$34:BO$34)+tipps!$A39,0)))</f>
        <v/>
      </c>
      <c r="BQ61" t="str">
        <f ca="1">IF($A39&gt;BQ$34,"",IF(OFFSET(Tippabgabe!$DB$177,SUM(tipps!$A$34:BP$34)+tipps!$A39,0)&lt;0,"",OFFSET(Tippabgabe!$DB$177,SUM(tipps!$A$34:BP$34)+tipps!$A39,0)))</f>
        <v/>
      </c>
      <c r="BR61" t="str">
        <f ca="1">IF($A39&gt;BR$34,"",IF(OFFSET(Tippabgabe!$DB$177,SUM(tipps!$A$34:BQ$34)+tipps!$A39,0)&lt;0,"",OFFSET(Tippabgabe!$DB$177,SUM(tipps!$A$34:BQ$34)+tipps!$A39,0)))</f>
        <v/>
      </c>
      <c r="BS61" t="str">
        <f ca="1">IF($A39&gt;BS$34,"",IF(OFFSET(Tippabgabe!$DB$177,SUM(tipps!$A$34:BR$34)+tipps!$A39,0)&lt;0,"",OFFSET(Tippabgabe!$DB$177,SUM(tipps!$A$34:BR$34)+tipps!$A39,0)))</f>
        <v/>
      </c>
      <c r="BT61" t="str">
        <f ca="1">IF($A39&gt;BT$34,"",IF(OFFSET(Tippabgabe!$DB$177,SUM(tipps!$A$34:BS$34)+tipps!$A39,0)&lt;0,"",OFFSET(Tippabgabe!$DB$177,SUM(tipps!$A$34:BS$34)+tipps!$A39,0)))</f>
        <v/>
      </c>
      <c r="BU61" t="str">
        <f ca="1">IF($A39&gt;BU$34,"",IF(OFFSET(Tippabgabe!$DB$177,SUM(tipps!$A$34:BT$34)+tipps!$A39,0)&lt;0,"",OFFSET(Tippabgabe!$DB$177,SUM(tipps!$A$34:BT$34)+tipps!$A39,0)))</f>
        <v/>
      </c>
      <c r="BV61" t="str">
        <f ca="1">IF($A39&gt;BV$34,"",IF(OFFSET(Tippabgabe!$DB$177,SUM(tipps!$A$34:BU$34)+tipps!$A39,0)&lt;0,"",OFFSET(Tippabgabe!$DB$177,SUM(tipps!$A$34:BU$34)+tipps!$A39,0)))</f>
        <v/>
      </c>
      <c r="BW61" t="str">
        <f ca="1">IF($A39&gt;BW$34,"",IF(OFFSET(Tippabgabe!$DB$177,SUM(tipps!$A$34:BV$34)+tipps!$A39,0)&lt;0,"",OFFSET(Tippabgabe!$DB$177,SUM(tipps!$A$34:BV$34)+tipps!$A39,0)))</f>
        <v/>
      </c>
    </row>
    <row r="62" spans="1:75" x14ac:dyDescent="0.2">
      <c r="A62">
        <v>5</v>
      </c>
      <c r="B62" t="str">
        <f ca="1">IF($A40&gt;B$34,"",IF(OFFSET(Tippabgabe!$DB$177,SUM(tipps!$A$34:A$34)+tipps!$A40,0)&lt;0,"",OFFSET(Tippabgabe!$DB$177,SUM(tipps!$A$34:A$34)+tipps!$A40,0)))</f>
        <v/>
      </c>
      <c r="C62" t="str">
        <f ca="1">IF($A40&gt;C$34,"",IF(OFFSET(Tippabgabe!$DB$177,SUM(tipps!$A$34:B$34)+tipps!$A40,0)&lt;0,"",OFFSET(Tippabgabe!$DB$177,SUM(tipps!$A$34:B$34)+tipps!$A40,0)))</f>
        <v/>
      </c>
      <c r="D62" t="str">
        <f ca="1">IF($A40&gt;D$34,"",IF(OFFSET(Tippabgabe!$DB$177,SUM(tipps!$A$34:C$34)+tipps!$A40,0)&lt;0,"",OFFSET(Tippabgabe!$DB$177,SUM(tipps!$A$34:C$34)+tipps!$A40,0)))</f>
        <v/>
      </c>
      <c r="E62" t="str">
        <f ca="1">IF($A40&gt;E$34,"",IF(OFFSET(Tippabgabe!$DB$177,SUM(tipps!$A$34:D$34)+tipps!$A40,0)&lt;0,"",OFFSET(Tippabgabe!$DB$177,SUM(tipps!$A$34:D$34)+tipps!$A40,0)))</f>
        <v/>
      </c>
      <c r="F62" t="str">
        <f ca="1">IF($A40&gt;F$34,"",IF(OFFSET(Tippabgabe!$DB$177,SUM(tipps!$A$34:E$34)+tipps!$A40,0)&lt;0,"",OFFSET(Tippabgabe!$DB$177,SUM(tipps!$A$34:E$34)+tipps!$A40,0)))</f>
        <v/>
      </c>
      <c r="G62" t="str">
        <f ca="1">IF($A40&gt;G$34,"",IF(OFFSET(Tippabgabe!$DB$177,SUM(tipps!$A$34:F$34)+tipps!$A40,0)&lt;0,"",OFFSET(Tippabgabe!$DB$177,SUM(tipps!$A$34:F$34)+tipps!$A40,0)))</f>
        <v/>
      </c>
      <c r="H62" t="str">
        <f ca="1">IF($A40&gt;H$34,"",IF(OFFSET(Tippabgabe!$DB$177,SUM(tipps!$A$34:G$34)+tipps!$A40,0)&lt;0,"",OFFSET(Tippabgabe!$DB$177,SUM(tipps!$A$34:G$34)+tipps!$A40,0)))</f>
        <v/>
      </c>
      <c r="I62" t="str">
        <f ca="1">IF($A40&gt;I$34,"",IF(OFFSET(Tippabgabe!$DB$177,SUM(tipps!$A$34:H$34)+tipps!$A40,0)&lt;0,"",OFFSET(Tippabgabe!$DB$177,SUM(tipps!$A$34:H$34)+tipps!$A40,0)))</f>
        <v/>
      </c>
      <c r="J62" t="str">
        <f ca="1">IF($A40&gt;J$34,"",IF(OFFSET(Tippabgabe!$DB$177,SUM(tipps!$A$34:I$34)+tipps!$A40,0)&lt;0,"",OFFSET(Tippabgabe!$DB$177,SUM(tipps!$A$34:I$34)+tipps!$A40,0)))</f>
        <v/>
      </c>
      <c r="K62">
        <f ca="1">IF($A40&gt;K$34,"",IF(OFFSET(Tippabgabe!$DB$177,SUM(tipps!$A$34:J$34)+tipps!$A40,0)&lt;0,"",OFFSET(Tippabgabe!$DB$177,SUM(tipps!$A$34:J$34)+tipps!$A40,0)))</f>
        <v>9</v>
      </c>
      <c r="L62" t="str">
        <f ca="1">IF($A40&gt;L$34,"",IF(OFFSET(Tippabgabe!$DB$177,SUM(tipps!$A$34:K$34)+tipps!$A40,0)&lt;0,"",OFFSET(Tippabgabe!$DB$177,SUM(tipps!$A$34:K$34)+tipps!$A40,0)))</f>
        <v/>
      </c>
      <c r="M62" t="str">
        <f ca="1">IF($A40&gt;M$34,"",IF(OFFSET(Tippabgabe!$DB$177,SUM(tipps!$A$34:L$34)+tipps!$A40,0)&lt;0,"",OFFSET(Tippabgabe!$DB$177,SUM(tipps!$A$34:L$34)+tipps!$A40,0)))</f>
        <v/>
      </c>
      <c r="N62" t="str">
        <f ca="1">IF($A40&gt;N$34,"",IF(OFFSET(Tippabgabe!$DB$177,SUM(tipps!$A$34:M$34)+tipps!$A40,0)&lt;0,"",OFFSET(Tippabgabe!$DB$177,SUM(tipps!$A$34:M$34)+tipps!$A40,0)))</f>
        <v/>
      </c>
      <c r="O62" t="str">
        <f ca="1">IF($A40&gt;O$34,"",IF(OFFSET(Tippabgabe!$DB$177,SUM(tipps!$A$34:N$34)+tipps!$A40,0)&lt;0,"",OFFSET(Tippabgabe!$DB$177,SUM(tipps!$A$34:N$34)+tipps!$A40,0)))</f>
        <v/>
      </c>
      <c r="P62" t="str">
        <f ca="1">IF($A40&gt;P$34,"",IF(OFFSET(Tippabgabe!$DB$177,SUM(tipps!$A$34:O$34)+tipps!$A40,0)&lt;0,"",OFFSET(Tippabgabe!$DB$177,SUM(tipps!$A$34:O$34)+tipps!$A40,0)))</f>
        <v/>
      </c>
      <c r="Q62" t="str">
        <f ca="1">IF($A40&gt;Q$34,"",IF(OFFSET(Tippabgabe!$DB$177,SUM(tipps!$A$34:P$34)+tipps!$A40,0)&lt;0,"",OFFSET(Tippabgabe!$DB$177,SUM(tipps!$A$34:P$34)+tipps!$A40,0)))</f>
        <v/>
      </c>
      <c r="R62" t="str">
        <f ca="1">IF($A40&gt;R$34,"",IF(OFFSET(Tippabgabe!$DB$177,SUM(tipps!$A$34:Q$34)+tipps!$A40,0)&lt;0,"",OFFSET(Tippabgabe!$DB$177,SUM(tipps!$A$34:Q$34)+tipps!$A40,0)))</f>
        <v/>
      </c>
      <c r="S62" t="str">
        <f ca="1">IF($A40&gt;S$34,"",IF(OFFSET(Tippabgabe!$DB$177,SUM(tipps!$A$34:R$34)+tipps!$A40,0)&lt;0,"",OFFSET(Tippabgabe!$DB$177,SUM(tipps!$A$34:R$34)+tipps!$A40,0)))</f>
        <v/>
      </c>
      <c r="T62" t="str">
        <f ca="1">IF($A40&gt;T$34,"",IF(OFFSET(Tippabgabe!$DB$177,SUM(tipps!$A$34:S$34)+tipps!$A40,0)&lt;0,"",OFFSET(Tippabgabe!$DB$177,SUM(tipps!$A$34:S$34)+tipps!$A40,0)))</f>
        <v/>
      </c>
      <c r="U62" t="str">
        <f ca="1">IF($A40&gt;U$34,"",IF(OFFSET(Tippabgabe!$DB$177,SUM(tipps!$A$34:T$34)+tipps!$A40,0)&lt;0,"",OFFSET(Tippabgabe!$DB$177,SUM(tipps!$A$34:T$34)+tipps!$A40,0)))</f>
        <v/>
      </c>
      <c r="V62" t="str">
        <f ca="1">IF($A40&gt;V$34,"",IF(OFFSET(Tippabgabe!$DB$177,SUM(tipps!$A$34:U$34)+tipps!$A40,0)&lt;0,"",OFFSET(Tippabgabe!$DB$177,SUM(tipps!$A$34:U$34)+tipps!$A40,0)))</f>
        <v/>
      </c>
      <c r="W62" t="str">
        <f ca="1">IF($A40&gt;W$34,"",IF(OFFSET(Tippabgabe!$DB$177,SUM(tipps!$A$34:V$34)+tipps!$A40,0)&lt;0,"",OFFSET(Tippabgabe!$DB$177,SUM(tipps!$A$34:V$34)+tipps!$A40,0)))</f>
        <v/>
      </c>
      <c r="X62" t="str">
        <f ca="1">IF($A40&gt;X$34,"",IF(OFFSET(Tippabgabe!$DB$177,SUM(tipps!$A$34:W$34)+tipps!$A40,0)&lt;0,"",OFFSET(Tippabgabe!$DB$177,SUM(tipps!$A$34:W$34)+tipps!$A40,0)))</f>
        <v/>
      </c>
      <c r="Y62" t="str">
        <f ca="1">IF($A40&gt;Y$34,"",IF(OFFSET(Tippabgabe!$DB$177,SUM(tipps!$A$34:X$34)+tipps!$A40,0)&lt;0,"",OFFSET(Tippabgabe!$DB$177,SUM(tipps!$A$34:X$34)+tipps!$A40,0)))</f>
        <v/>
      </c>
      <c r="Z62" t="str">
        <f ca="1">IF($A40&gt;Z$34,"",IF(OFFSET(Tippabgabe!$DB$177,SUM(tipps!$A$34:Y$34)+tipps!$A40,0)&lt;0,"",OFFSET(Tippabgabe!$DB$177,SUM(tipps!$A$34:Y$34)+tipps!$A40,0)))</f>
        <v/>
      </c>
      <c r="AA62" t="str">
        <f ca="1">IF($A40&gt;AA$34,"",IF(OFFSET(Tippabgabe!$DB$177,SUM(tipps!$A$34:Z$34)+tipps!$A40,0)&lt;0,"",OFFSET(Tippabgabe!$DB$177,SUM(tipps!$A$34:Z$34)+tipps!$A40,0)))</f>
        <v/>
      </c>
      <c r="AB62" t="str">
        <f ca="1">IF($A40&gt;AB$34,"",IF(OFFSET(Tippabgabe!$DB$177,SUM(tipps!$A$34:AA$34)+tipps!$A40,0)&lt;0,"",OFFSET(Tippabgabe!$DB$177,SUM(tipps!$A$34:AA$34)+tipps!$A40,0)))</f>
        <v/>
      </c>
      <c r="AC62" t="str">
        <f ca="1">IF($A40&gt;AC$34,"",IF(OFFSET(Tippabgabe!$DB$177,SUM(tipps!$A$34:AB$34)+tipps!$A40,0)&lt;0,"",OFFSET(Tippabgabe!$DB$177,SUM(tipps!$A$34:AB$34)+tipps!$A40,0)))</f>
        <v/>
      </c>
      <c r="AD62" t="str">
        <f ca="1">IF($A40&gt;AD$34,"",IF(OFFSET(Tippabgabe!$DB$177,SUM(tipps!$A$34:AC$34)+tipps!$A40,0)&lt;0,"",OFFSET(Tippabgabe!$DB$177,SUM(tipps!$A$34:AC$34)+tipps!$A40,0)))</f>
        <v/>
      </c>
      <c r="AE62" t="str">
        <f ca="1">IF($A40&gt;AE$34,"",IF(OFFSET(Tippabgabe!$DB$177,SUM(tipps!$A$34:AD$34)+tipps!$A40,0)&lt;0,"",OFFSET(Tippabgabe!$DB$177,SUM(tipps!$A$34:AD$34)+tipps!$A40,0)))</f>
        <v/>
      </c>
      <c r="AF62" t="str">
        <f ca="1">IF($A40&gt;AF$34,"",IF(OFFSET(Tippabgabe!$DB$177,SUM(tipps!$A$34:AE$34)+tipps!$A40,0)&lt;0,"",OFFSET(Tippabgabe!$DB$177,SUM(tipps!$A$34:AE$34)+tipps!$A40,0)))</f>
        <v/>
      </c>
      <c r="AG62" t="str">
        <f ca="1">IF($A40&gt;AG$34,"",IF(OFFSET(Tippabgabe!$DB$177,SUM(tipps!$A$34:AF$34)+tipps!$A40,0)&lt;0,"",OFFSET(Tippabgabe!$DB$177,SUM(tipps!$A$34:AF$34)+tipps!$A40,0)))</f>
        <v/>
      </c>
      <c r="AH62" t="str">
        <f ca="1">IF($A40&gt;AH$34,"",IF(OFFSET(Tippabgabe!$DB$177,SUM(tipps!$A$34:AG$34)+tipps!$A40,0)&lt;0,"",OFFSET(Tippabgabe!$DB$177,SUM(tipps!$A$34:AG$34)+tipps!$A40,0)))</f>
        <v/>
      </c>
      <c r="AI62" t="str">
        <f ca="1">IF($A40&gt;AI$34,"",IF(OFFSET(Tippabgabe!$DB$177,SUM(tipps!$A$34:AH$34)+tipps!$A40,0)&lt;0,"",OFFSET(Tippabgabe!$DB$177,SUM(tipps!$A$34:AH$34)+tipps!$A40,0)))</f>
        <v/>
      </c>
      <c r="AJ62" t="str">
        <f ca="1">IF($A40&gt;AJ$34,"",IF(OFFSET(Tippabgabe!$DB$177,SUM(tipps!$A$34:AI$34)+tipps!$A40,0)&lt;0,"",OFFSET(Tippabgabe!$DB$177,SUM(tipps!$A$34:AI$34)+tipps!$A40,0)))</f>
        <v/>
      </c>
      <c r="AK62" t="str">
        <f ca="1">IF($A40&gt;AK$34,"",IF(OFFSET(Tippabgabe!$DB$177,SUM(tipps!$A$34:AJ$34)+tipps!$A40,0)&lt;0,"",OFFSET(Tippabgabe!$DB$177,SUM(tipps!$A$34:AJ$34)+tipps!$A40,0)))</f>
        <v/>
      </c>
      <c r="AL62" t="str">
        <f ca="1">IF($A40&gt;AL$34,"",IF(OFFSET(Tippabgabe!$DB$177,SUM(tipps!$A$34:AK$34)+tipps!$A40,0)&lt;0,"",OFFSET(Tippabgabe!$DB$177,SUM(tipps!$A$34:AK$34)+tipps!$A40,0)))</f>
        <v/>
      </c>
      <c r="AM62" t="str">
        <f ca="1">IF($A40&gt;AM$34,"",IF(OFFSET(Tippabgabe!$DB$177,SUM(tipps!$A$34:AL$34)+tipps!$A40,0)&lt;0,"",OFFSET(Tippabgabe!$DB$177,SUM(tipps!$A$34:AL$34)+tipps!$A40,0)))</f>
        <v/>
      </c>
      <c r="AN62" t="str">
        <f ca="1">IF($A40&gt;AN$34,"",IF(OFFSET(Tippabgabe!$DB$177,SUM(tipps!$A$34:AM$34)+tipps!$A40,0)&lt;0,"",OFFSET(Tippabgabe!$DB$177,SUM(tipps!$A$34:AM$34)+tipps!$A40,0)))</f>
        <v/>
      </c>
      <c r="AO62" t="str">
        <f ca="1">IF($A40&gt;AO$34,"",IF(OFFSET(Tippabgabe!$DB$177,SUM(tipps!$A$34:AN$34)+tipps!$A40,0)&lt;0,"",OFFSET(Tippabgabe!$DB$177,SUM(tipps!$A$34:AN$34)+tipps!$A40,0)))</f>
        <v/>
      </c>
      <c r="AP62" t="str">
        <f ca="1">IF($A40&gt;AP$34,"",IF(OFFSET(Tippabgabe!$DB$177,SUM(tipps!$A$34:AO$34)+tipps!$A40,0)&lt;0,"",OFFSET(Tippabgabe!$DB$177,SUM(tipps!$A$34:AO$34)+tipps!$A40,0)))</f>
        <v/>
      </c>
      <c r="AQ62" t="str">
        <f ca="1">IF($A40&gt;AQ$34,"",IF(OFFSET(Tippabgabe!$DB$177,SUM(tipps!$A$34:AP$34)+tipps!$A40,0)&lt;0,"",OFFSET(Tippabgabe!$DB$177,SUM(tipps!$A$34:AP$34)+tipps!$A40,0)))</f>
        <v/>
      </c>
      <c r="AR62" t="str">
        <f ca="1">IF($A40&gt;AR$34,"",IF(OFFSET(Tippabgabe!$DB$177,SUM(tipps!$A$34:AQ$34)+tipps!$A40,0)&lt;0,"",OFFSET(Tippabgabe!$DB$177,SUM(tipps!$A$34:AQ$34)+tipps!$A40,0)))</f>
        <v/>
      </c>
      <c r="AS62" t="str">
        <f ca="1">IF($A40&gt;AS$34,"",IF(OFFSET(Tippabgabe!$DB$177,SUM(tipps!$A$34:AR$34)+tipps!$A40,0)&lt;0,"",OFFSET(Tippabgabe!$DB$177,SUM(tipps!$A$34:AR$34)+tipps!$A40,0)))</f>
        <v/>
      </c>
      <c r="AT62" t="str">
        <f ca="1">IF($A40&gt;AT$34,"",IF(OFFSET(Tippabgabe!$DB$177,SUM(tipps!$A$34:AS$34)+tipps!$A40,0)&lt;0,"",OFFSET(Tippabgabe!$DB$177,SUM(tipps!$A$34:AS$34)+tipps!$A40,0)))</f>
        <v/>
      </c>
      <c r="AU62" t="str">
        <f ca="1">IF($A40&gt;AU$34,"",IF(OFFSET(Tippabgabe!$DB$177,SUM(tipps!$A$34:AT$34)+tipps!$A40,0)&lt;0,"",OFFSET(Tippabgabe!$DB$177,SUM(tipps!$A$34:AT$34)+tipps!$A40,0)))</f>
        <v/>
      </c>
      <c r="AV62" t="str">
        <f ca="1">IF($A40&gt;AV$34,"",IF(OFFSET(Tippabgabe!$DB$177,SUM(tipps!$A$34:AU$34)+tipps!$A40,0)&lt;0,"",OFFSET(Tippabgabe!$DB$177,SUM(tipps!$A$34:AU$34)+tipps!$A40,0)))</f>
        <v/>
      </c>
      <c r="AW62" t="str">
        <f ca="1">IF($A40&gt;AW$34,"",IF(OFFSET(Tippabgabe!$DB$177,SUM(tipps!$A$34:AV$34)+tipps!$A40,0)&lt;0,"",OFFSET(Tippabgabe!$DB$177,SUM(tipps!$A$34:AV$34)+tipps!$A40,0)))</f>
        <v/>
      </c>
      <c r="AX62" t="str">
        <f ca="1">IF($A40&gt;AX$34,"",IF(OFFSET(Tippabgabe!$DB$177,SUM(tipps!$A$34:AW$34)+tipps!$A40,0)&lt;0,"",OFFSET(Tippabgabe!$DB$177,SUM(tipps!$A$34:AW$34)+tipps!$A40,0)))</f>
        <v/>
      </c>
      <c r="AY62" t="str">
        <f ca="1">IF($A40&gt;AY$34,"",IF(OFFSET(Tippabgabe!$DB$177,SUM(tipps!$A$34:AX$34)+tipps!$A40,0)&lt;0,"",OFFSET(Tippabgabe!$DB$177,SUM(tipps!$A$34:AX$34)+tipps!$A40,0)))</f>
        <v/>
      </c>
      <c r="AZ62" t="str">
        <f ca="1">IF($A40&gt;AZ$34,"",IF(OFFSET(Tippabgabe!$DB$177,SUM(tipps!$A$34:AY$34)+tipps!$A40,0)&lt;0,"",OFFSET(Tippabgabe!$DB$177,SUM(tipps!$A$34:AY$34)+tipps!$A40,0)))</f>
        <v/>
      </c>
      <c r="BA62" t="str">
        <f ca="1">IF($A40&gt;BA$34,"",IF(OFFSET(Tippabgabe!$DB$177,SUM(tipps!$A$34:AZ$34)+tipps!$A40,0)&lt;0,"",OFFSET(Tippabgabe!$DB$177,SUM(tipps!$A$34:AZ$34)+tipps!$A40,0)))</f>
        <v/>
      </c>
      <c r="BB62" t="str">
        <f ca="1">IF($A40&gt;BB$34,"",IF(OFFSET(Tippabgabe!$DB$177,SUM(tipps!$A$34:BA$34)+tipps!$A40,0)&lt;0,"",OFFSET(Tippabgabe!$DB$177,SUM(tipps!$A$34:BA$34)+tipps!$A40,0)))</f>
        <v/>
      </c>
      <c r="BC62" t="str">
        <f ca="1">IF($A40&gt;BC$34,"",IF(OFFSET(Tippabgabe!$DB$177,SUM(tipps!$A$34:BB$34)+tipps!$A40,0)&lt;0,"",OFFSET(Tippabgabe!$DB$177,SUM(tipps!$A$34:BB$34)+tipps!$A40,0)))</f>
        <v/>
      </c>
      <c r="BD62" t="str">
        <f ca="1">IF($A40&gt;BD$34,"",IF(OFFSET(Tippabgabe!$DB$177,SUM(tipps!$A$34:BC$34)+tipps!$A40,0)&lt;0,"",OFFSET(Tippabgabe!$DB$177,SUM(tipps!$A$34:BC$34)+tipps!$A40,0)))</f>
        <v/>
      </c>
      <c r="BE62" t="str">
        <f ca="1">IF($A40&gt;BE$34,"",IF(OFFSET(Tippabgabe!$DB$177,SUM(tipps!$A$34:BD$34)+tipps!$A40,0)&lt;0,"",OFFSET(Tippabgabe!$DB$177,SUM(tipps!$A$34:BD$34)+tipps!$A40,0)))</f>
        <v/>
      </c>
      <c r="BF62" t="str">
        <f ca="1">IF($A40&gt;BF$34,"",IF(OFFSET(Tippabgabe!$DB$177,SUM(tipps!$A$34:BE$34)+tipps!$A40,0)&lt;0,"",OFFSET(Tippabgabe!$DB$177,SUM(tipps!$A$34:BE$34)+tipps!$A40,0)))</f>
        <v/>
      </c>
      <c r="BG62" t="str">
        <f ca="1">IF($A40&gt;BG$34,"",IF(OFFSET(Tippabgabe!$DB$177,SUM(tipps!$A$34:BF$34)+tipps!$A40,0)&lt;0,"",OFFSET(Tippabgabe!$DB$177,SUM(tipps!$A$34:BF$34)+tipps!$A40,0)))</f>
        <v/>
      </c>
      <c r="BH62" t="str">
        <f ca="1">IF($A40&gt;BH$34,"",IF(OFFSET(Tippabgabe!$DB$177,SUM(tipps!$A$34:BG$34)+tipps!$A40,0)&lt;0,"",OFFSET(Tippabgabe!$DB$177,SUM(tipps!$A$34:BG$34)+tipps!$A40,0)))</f>
        <v/>
      </c>
      <c r="BI62" t="str">
        <f ca="1">IF($A40&gt;BI$34,"",IF(OFFSET(Tippabgabe!$DB$177,SUM(tipps!$A$34:BH$34)+tipps!$A40,0)&lt;0,"",OFFSET(Tippabgabe!$DB$177,SUM(tipps!$A$34:BH$34)+tipps!$A40,0)))</f>
        <v/>
      </c>
      <c r="BJ62" t="str">
        <f ca="1">IF($A40&gt;BJ$34,"",IF(OFFSET(Tippabgabe!$DB$177,SUM(tipps!$A$34:BI$34)+tipps!$A40,0)&lt;0,"",OFFSET(Tippabgabe!$DB$177,SUM(tipps!$A$34:BI$34)+tipps!$A40,0)))</f>
        <v/>
      </c>
      <c r="BK62" t="str">
        <f ca="1">IF($A40&gt;BK$34,"",IF(OFFSET(Tippabgabe!$DB$177,SUM(tipps!$A$34:BJ$34)+tipps!$A40,0)&lt;0,"",OFFSET(Tippabgabe!$DB$177,SUM(tipps!$A$34:BJ$34)+tipps!$A40,0)))</f>
        <v/>
      </c>
      <c r="BL62" t="str">
        <f ca="1">IF($A40&gt;BL$34,"",IF(OFFSET(Tippabgabe!$DB$177,SUM(tipps!$A$34:BK$34)+tipps!$A40,0)&lt;0,"",OFFSET(Tippabgabe!$DB$177,SUM(tipps!$A$34:BK$34)+tipps!$A40,0)))</f>
        <v/>
      </c>
      <c r="BM62" t="str">
        <f ca="1">IF($A40&gt;BM$34,"",IF(OFFSET(Tippabgabe!$DB$177,SUM(tipps!$A$34:BL$34)+tipps!$A40,0)&lt;0,"",OFFSET(Tippabgabe!$DB$177,SUM(tipps!$A$34:BL$34)+tipps!$A40,0)))</f>
        <v/>
      </c>
      <c r="BN62" t="str">
        <f ca="1">IF($A40&gt;BN$34,"",IF(OFFSET(Tippabgabe!$DB$177,SUM(tipps!$A$34:BM$34)+tipps!$A40,0)&lt;0,"",OFFSET(Tippabgabe!$DB$177,SUM(tipps!$A$34:BM$34)+tipps!$A40,0)))</f>
        <v/>
      </c>
      <c r="BO62" t="str">
        <f ca="1">IF($A40&gt;BO$34,"",IF(OFFSET(Tippabgabe!$DB$177,SUM(tipps!$A$34:BN$34)+tipps!$A40,0)&lt;0,"",OFFSET(Tippabgabe!$DB$177,SUM(tipps!$A$34:BN$34)+tipps!$A40,0)))</f>
        <v/>
      </c>
      <c r="BP62" t="str">
        <f ca="1">IF($A40&gt;BP$34,"",IF(OFFSET(Tippabgabe!$DB$177,SUM(tipps!$A$34:BO$34)+tipps!$A40,0)&lt;0,"",OFFSET(Tippabgabe!$DB$177,SUM(tipps!$A$34:BO$34)+tipps!$A40,0)))</f>
        <v/>
      </c>
      <c r="BQ62" t="str">
        <f ca="1">IF($A40&gt;BQ$34,"",IF(OFFSET(Tippabgabe!$DB$177,SUM(tipps!$A$34:BP$34)+tipps!$A40,0)&lt;0,"",OFFSET(Tippabgabe!$DB$177,SUM(tipps!$A$34:BP$34)+tipps!$A40,0)))</f>
        <v/>
      </c>
      <c r="BR62" t="str">
        <f ca="1">IF($A40&gt;BR$34,"",IF(OFFSET(Tippabgabe!$DB$177,SUM(tipps!$A$34:BQ$34)+tipps!$A40,0)&lt;0,"",OFFSET(Tippabgabe!$DB$177,SUM(tipps!$A$34:BQ$34)+tipps!$A40,0)))</f>
        <v/>
      </c>
      <c r="BS62" t="str">
        <f ca="1">IF($A40&gt;BS$34,"",IF(OFFSET(Tippabgabe!$DB$177,SUM(tipps!$A$34:BR$34)+tipps!$A40,0)&lt;0,"",OFFSET(Tippabgabe!$DB$177,SUM(tipps!$A$34:BR$34)+tipps!$A40,0)))</f>
        <v/>
      </c>
      <c r="BT62" t="str">
        <f ca="1">IF($A40&gt;BT$34,"",IF(OFFSET(Tippabgabe!$DB$177,SUM(tipps!$A$34:BS$34)+tipps!$A40,0)&lt;0,"",OFFSET(Tippabgabe!$DB$177,SUM(tipps!$A$34:BS$34)+tipps!$A40,0)))</f>
        <v/>
      </c>
      <c r="BU62" t="str">
        <f ca="1">IF($A40&gt;BU$34,"",IF(OFFSET(Tippabgabe!$DB$177,SUM(tipps!$A$34:BT$34)+tipps!$A40,0)&lt;0,"",OFFSET(Tippabgabe!$DB$177,SUM(tipps!$A$34:BT$34)+tipps!$A40,0)))</f>
        <v/>
      </c>
      <c r="BV62" t="str">
        <f ca="1">IF($A40&gt;BV$34,"",IF(OFFSET(Tippabgabe!$DB$177,SUM(tipps!$A$34:BU$34)+tipps!$A40,0)&lt;0,"",OFFSET(Tippabgabe!$DB$177,SUM(tipps!$A$34:BU$34)+tipps!$A40,0)))</f>
        <v/>
      </c>
      <c r="BW62" t="str">
        <f ca="1">IF($A40&gt;BW$34,"",IF(OFFSET(Tippabgabe!$DB$177,SUM(tipps!$A$34:BV$34)+tipps!$A40,0)&lt;0,"",OFFSET(Tippabgabe!$DB$177,SUM(tipps!$A$34:BV$34)+tipps!$A40,0)))</f>
        <v/>
      </c>
    </row>
    <row r="63" spans="1:75" x14ac:dyDescent="0.2">
      <c r="A63">
        <v>6</v>
      </c>
      <c r="B63" t="str">
        <f ca="1">IF($A41&gt;B$34,"",IF(OFFSET(Tippabgabe!$DB$177,SUM(tipps!$A$34:A$34)+tipps!$A41,0)&lt;0,"",OFFSET(Tippabgabe!$DB$177,SUM(tipps!$A$34:A$34)+tipps!$A41,0)))</f>
        <v/>
      </c>
      <c r="C63" t="str">
        <f ca="1">IF($A41&gt;C$34,"",IF(OFFSET(Tippabgabe!$DB$177,SUM(tipps!$A$34:B$34)+tipps!$A41,0)&lt;0,"",OFFSET(Tippabgabe!$DB$177,SUM(tipps!$A$34:B$34)+tipps!$A41,0)))</f>
        <v/>
      </c>
      <c r="D63" t="str">
        <f ca="1">IF($A41&gt;D$34,"",IF(OFFSET(Tippabgabe!$DB$177,SUM(tipps!$A$34:C$34)+tipps!$A41,0)&lt;0,"",OFFSET(Tippabgabe!$DB$177,SUM(tipps!$A$34:C$34)+tipps!$A41,0)))</f>
        <v/>
      </c>
      <c r="E63" t="str">
        <f ca="1">IF($A41&gt;E$34,"",IF(OFFSET(Tippabgabe!$DB$177,SUM(tipps!$A$34:D$34)+tipps!$A41,0)&lt;0,"",OFFSET(Tippabgabe!$DB$177,SUM(tipps!$A$34:D$34)+tipps!$A41,0)))</f>
        <v/>
      </c>
      <c r="F63" t="str">
        <f ca="1">IF($A41&gt;F$34,"",IF(OFFSET(Tippabgabe!$DB$177,SUM(tipps!$A$34:E$34)+tipps!$A41,0)&lt;0,"",OFFSET(Tippabgabe!$DB$177,SUM(tipps!$A$34:E$34)+tipps!$A41,0)))</f>
        <v/>
      </c>
      <c r="G63" t="str">
        <f ca="1">IF($A41&gt;G$34,"",IF(OFFSET(Tippabgabe!$DB$177,SUM(tipps!$A$34:F$34)+tipps!$A41,0)&lt;0,"",OFFSET(Tippabgabe!$DB$177,SUM(tipps!$A$34:F$34)+tipps!$A41,0)))</f>
        <v/>
      </c>
      <c r="H63" t="str">
        <f ca="1">IF($A41&gt;H$34,"",IF(OFFSET(Tippabgabe!$DB$177,SUM(tipps!$A$34:G$34)+tipps!$A41,0)&lt;0,"",OFFSET(Tippabgabe!$DB$177,SUM(tipps!$A$34:G$34)+tipps!$A41,0)))</f>
        <v/>
      </c>
      <c r="I63" t="str">
        <f ca="1">IF($A41&gt;I$34,"",IF(OFFSET(Tippabgabe!$DB$177,SUM(tipps!$A$34:H$34)+tipps!$A41,0)&lt;0,"",OFFSET(Tippabgabe!$DB$177,SUM(tipps!$A$34:H$34)+tipps!$A41,0)))</f>
        <v/>
      </c>
      <c r="J63" t="str">
        <f ca="1">IF($A41&gt;J$34,"",IF(OFFSET(Tippabgabe!$DB$177,SUM(tipps!$A$34:I$34)+tipps!$A41,0)&lt;0,"",OFFSET(Tippabgabe!$DB$177,SUM(tipps!$A$34:I$34)+tipps!$A41,0)))</f>
        <v/>
      </c>
      <c r="K63">
        <f ca="1">IF($A41&gt;K$34,"",IF(OFFSET(Tippabgabe!$DB$177,SUM(tipps!$A$34:J$34)+tipps!$A41,0)&lt;0,"",OFFSET(Tippabgabe!$DB$177,SUM(tipps!$A$34:J$34)+tipps!$A41,0)))</f>
        <v>10</v>
      </c>
      <c r="L63" t="str">
        <f ca="1">IF($A41&gt;L$34,"",IF(OFFSET(Tippabgabe!$DB$177,SUM(tipps!$A$34:K$34)+tipps!$A41,0)&lt;0,"",OFFSET(Tippabgabe!$DB$177,SUM(tipps!$A$34:K$34)+tipps!$A41,0)))</f>
        <v/>
      </c>
      <c r="M63" t="str">
        <f ca="1">IF($A41&gt;M$34,"",IF(OFFSET(Tippabgabe!$DB$177,SUM(tipps!$A$34:L$34)+tipps!$A41,0)&lt;0,"",OFFSET(Tippabgabe!$DB$177,SUM(tipps!$A$34:L$34)+tipps!$A41,0)))</f>
        <v/>
      </c>
      <c r="N63" t="str">
        <f ca="1">IF($A41&gt;N$34,"",IF(OFFSET(Tippabgabe!$DB$177,SUM(tipps!$A$34:M$34)+tipps!$A41,0)&lt;0,"",OFFSET(Tippabgabe!$DB$177,SUM(tipps!$A$34:M$34)+tipps!$A41,0)))</f>
        <v/>
      </c>
      <c r="O63" t="str">
        <f ca="1">IF($A41&gt;O$34,"",IF(OFFSET(Tippabgabe!$DB$177,SUM(tipps!$A$34:N$34)+tipps!$A41,0)&lt;0,"",OFFSET(Tippabgabe!$DB$177,SUM(tipps!$A$34:N$34)+tipps!$A41,0)))</f>
        <v/>
      </c>
      <c r="P63" t="str">
        <f ca="1">IF($A41&gt;P$34,"",IF(OFFSET(Tippabgabe!$DB$177,SUM(tipps!$A$34:O$34)+tipps!$A41,0)&lt;0,"",OFFSET(Tippabgabe!$DB$177,SUM(tipps!$A$34:O$34)+tipps!$A41,0)))</f>
        <v/>
      </c>
      <c r="Q63" t="str">
        <f ca="1">IF($A41&gt;Q$34,"",IF(OFFSET(Tippabgabe!$DB$177,SUM(tipps!$A$34:P$34)+tipps!$A41,0)&lt;0,"",OFFSET(Tippabgabe!$DB$177,SUM(tipps!$A$34:P$34)+tipps!$A41,0)))</f>
        <v/>
      </c>
      <c r="R63" t="str">
        <f ca="1">IF($A41&gt;R$34,"",IF(OFFSET(Tippabgabe!$DB$177,SUM(tipps!$A$34:Q$34)+tipps!$A41,0)&lt;0,"",OFFSET(Tippabgabe!$DB$177,SUM(tipps!$A$34:Q$34)+tipps!$A41,0)))</f>
        <v/>
      </c>
      <c r="S63" t="str">
        <f ca="1">IF($A41&gt;S$34,"",IF(OFFSET(Tippabgabe!$DB$177,SUM(tipps!$A$34:R$34)+tipps!$A41,0)&lt;0,"",OFFSET(Tippabgabe!$DB$177,SUM(tipps!$A$34:R$34)+tipps!$A41,0)))</f>
        <v/>
      </c>
      <c r="T63" t="str">
        <f ca="1">IF($A41&gt;T$34,"",IF(OFFSET(Tippabgabe!$DB$177,SUM(tipps!$A$34:S$34)+tipps!$A41,0)&lt;0,"",OFFSET(Tippabgabe!$DB$177,SUM(tipps!$A$34:S$34)+tipps!$A41,0)))</f>
        <v/>
      </c>
      <c r="U63" t="str">
        <f ca="1">IF($A41&gt;U$34,"",IF(OFFSET(Tippabgabe!$DB$177,SUM(tipps!$A$34:T$34)+tipps!$A41,0)&lt;0,"",OFFSET(Tippabgabe!$DB$177,SUM(tipps!$A$34:T$34)+tipps!$A41,0)))</f>
        <v/>
      </c>
      <c r="V63" t="str">
        <f ca="1">IF($A41&gt;V$34,"",IF(OFFSET(Tippabgabe!$DB$177,SUM(tipps!$A$34:U$34)+tipps!$A41,0)&lt;0,"",OFFSET(Tippabgabe!$DB$177,SUM(tipps!$A$34:U$34)+tipps!$A41,0)))</f>
        <v/>
      </c>
      <c r="W63" t="str">
        <f ca="1">IF($A41&gt;W$34,"",IF(OFFSET(Tippabgabe!$DB$177,SUM(tipps!$A$34:V$34)+tipps!$A41,0)&lt;0,"",OFFSET(Tippabgabe!$DB$177,SUM(tipps!$A$34:V$34)+tipps!$A41,0)))</f>
        <v/>
      </c>
      <c r="X63" t="str">
        <f ca="1">IF($A41&gt;X$34,"",IF(OFFSET(Tippabgabe!$DB$177,SUM(tipps!$A$34:W$34)+tipps!$A41,0)&lt;0,"",OFFSET(Tippabgabe!$DB$177,SUM(tipps!$A$34:W$34)+tipps!$A41,0)))</f>
        <v/>
      </c>
      <c r="Y63" t="str">
        <f ca="1">IF($A41&gt;Y$34,"",IF(OFFSET(Tippabgabe!$DB$177,SUM(tipps!$A$34:X$34)+tipps!$A41,0)&lt;0,"",OFFSET(Tippabgabe!$DB$177,SUM(tipps!$A$34:X$34)+tipps!$A41,0)))</f>
        <v/>
      </c>
      <c r="Z63" t="str">
        <f ca="1">IF($A41&gt;Z$34,"",IF(OFFSET(Tippabgabe!$DB$177,SUM(tipps!$A$34:Y$34)+tipps!$A41,0)&lt;0,"",OFFSET(Tippabgabe!$DB$177,SUM(tipps!$A$34:Y$34)+tipps!$A41,0)))</f>
        <v/>
      </c>
      <c r="AA63" t="str">
        <f ca="1">IF($A41&gt;AA$34,"",IF(OFFSET(Tippabgabe!$DB$177,SUM(tipps!$A$34:Z$34)+tipps!$A41,0)&lt;0,"",OFFSET(Tippabgabe!$DB$177,SUM(tipps!$A$34:Z$34)+tipps!$A41,0)))</f>
        <v/>
      </c>
      <c r="AB63" t="str">
        <f ca="1">IF($A41&gt;AB$34,"",IF(OFFSET(Tippabgabe!$DB$177,SUM(tipps!$A$34:AA$34)+tipps!$A41,0)&lt;0,"",OFFSET(Tippabgabe!$DB$177,SUM(tipps!$A$34:AA$34)+tipps!$A41,0)))</f>
        <v/>
      </c>
      <c r="AC63" t="str">
        <f ca="1">IF($A41&gt;AC$34,"",IF(OFFSET(Tippabgabe!$DB$177,SUM(tipps!$A$34:AB$34)+tipps!$A41,0)&lt;0,"",OFFSET(Tippabgabe!$DB$177,SUM(tipps!$A$34:AB$34)+tipps!$A41,0)))</f>
        <v/>
      </c>
      <c r="AD63" t="str">
        <f ca="1">IF($A41&gt;AD$34,"",IF(OFFSET(Tippabgabe!$DB$177,SUM(tipps!$A$34:AC$34)+tipps!$A41,0)&lt;0,"",OFFSET(Tippabgabe!$DB$177,SUM(tipps!$A$34:AC$34)+tipps!$A41,0)))</f>
        <v/>
      </c>
      <c r="AE63" t="str">
        <f ca="1">IF($A41&gt;AE$34,"",IF(OFFSET(Tippabgabe!$DB$177,SUM(tipps!$A$34:AD$34)+tipps!$A41,0)&lt;0,"",OFFSET(Tippabgabe!$DB$177,SUM(tipps!$A$34:AD$34)+tipps!$A41,0)))</f>
        <v/>
      </c>
      <c r="AF63" t="str">
        <f ca="1">IF($A41&gt;AF$34,"",IF(OFFSET(Tippabgabe!$DB$177,SUM(tipps!$A$34:AE$34)+tipps!$A41,0)&lt;0,"",OFFSET(Tippabgabe!$DB$177,SUM(tipps!$A$34:AE$34)+tipps!$A41,0)))</f>
        <v/>
      </c>
      <c r="AG63" t="str">
        <f ca="1">IF($A41&gt;AG$34,"",IF(OFFSET(Tippabgabe!$DB$177,SUM(tipps!$A$34:AF$34)+tipps!$A41,0)&lt;0,"",OFFSET(Tippabgabe!$DB$177,SUM(tipps!$A$34:AF$34)+tipps!$A41,0)))</f>
        <v/>
      </c>
      <c r="AH63" t="str">
        <f ca="1">IF($A41&gt;AH$34,"",IF(OFFSET(Tippabgabe!$DB$177,SUM(tipps!$A$34:AG$34)+tipps!$A41,0)&lt;0,"",OFFSET(Tippabgabe!$DB$177,SUM(tipps!$A$34:AG$34)+tipps!$A41,0)))</f>
        <v/>
      </c>
      <c r="AI63" t="str">
        <f ca="1">IF($A41&gt;AI$34,"",IF(OFFSET(Tippabgabe!$DB$177,SUM(tipps!$A$34:AH$34)+tipps!$A41,0)&lt;0,"",OFFSET(Tippabgabe!$DB$177,SUM(tipps!$A$34:AH$34)+tipps!$A41,0)))</f>
        <v/>
      </c>
      <c r="AJ63" t="str">
        <f ca="1">IF($A41&gt;AJ$34,"",IF(OFFSET(Tippabgabe!$DB$177,SUM(tipps!$A$34:AI$34)+tipps!$A41,0)&lt;0,"",OFFSET(Tippabgabe!$DB$177,SUM(tipps!$A$34:AI$34)+tipps!$A41,0)))</f>
        <v/>
      </c>
      <c r="AK63" t="str">
        <f ca="1">IF($A41&gt;AK$34,"",IF(OFFSET(Tippabgabe!$DB$177,SUM(tipps!$A$34:AJ$34)+tipps!$A41,0)&lt;0,"",OFFSET(Tippabgabe!$DB$177,SUM(tipps!$A$34:AJ$34)+tipps!$A41,0)))</f>
        <v/>
      </c>
      <c r="AL63" t="str">
        <f ca="1">IF($A41&gt;AL$34,"",IF(OFFSET(Tippabgabe!$DB$177,SUM(tipps!$A$34:AK$34)+tipps!$A41,0)&lt;0,"",OFFSET(Tippabgabe!$DB$177,SUM(tipps!$A$34:AK$34)+tipps!$A41,0)))</f>
        <v/>
      </c>
      <c r="AM63" t="str">
        <f ca="1">IF($A41&gt;AM$34,"",IF(OFFSET(Tippabgabe!$DB$177,SUM(tipps!$A$34:AL$34)+tipps!$A41,0)&lt;0,"",OFFSET(Tippabgabe!$DB$177,SUM(tipps!$A$34:AL$34)+tipps!$A41,0)))</f>
        <v/>
      </c>
      <c r="AN63" t="str">
        <f ca="1">IF($A41&gt;AN$34,"",IF(OFFSET(Tippabgabe!$DB$177,SUM(tipps!$A$34:AM$34)+tipps!$A41,0)&lt;0,"",OFFSET(Tippabgabe!$DB$177,SUM(tipps!$A$34:AM$34)+tipps!$A41,0)))</f>
        <v/>
      </c>
      <c r="AO63" t="str">
        <f ca="1">IF($A41&gt;AO$34,"",IF(OFFSET(Tippabgabe!$DB$177,SUM(tipps!$A$34:AN$34)+tipps!$A41,0)&lt;0,"",OFFSET(Tippabgabe!$DB$177,SUM(tipps!$A$34:AN$34)+tipps!$A41,0)))</f>
        <v/>
      </c>
      <c r="AP63" t="str">
        <f ca="1">IF($A41&gt;AP$34,"",IF(OFFSET(Tippabgabe!$DB$177,SUM(tipps!$A$34:AO$34)+tipps!$A41,0)&lt;0,"",OFFSET(Tippabgabe!$DB$177,SUM(tipps!$A$34:AO$34)+tipps!$A41,0)))</f>
        <v/>
      </c>
      <c r="AQ63" t="str">
        <f ca="1">IF($A41&gt;AQ$34,"",IF(OFFSET(Tippabgabe!$DB$177,SUM(tipps!$A$34:AP$34)+tipps!$A41,0)&lt;0,"",OFFSET(Tippabgabe!$DB$177,SUM(tipps!$A$34:AP$34)+tipps!$A41,0)))</f>
        <v/>
      </c>
      <c r="AR63" t="str">
        <f ca="1">IF($A41&gt;AR$34,"",IF(OFFSET(Tippabgabe!$DB$177,SUM(tipps!$A$34:AQ$34)+tipps!$A41,0)&lt;0,"",OFFSET(Tippabgabe!$DB$177,SUM(tipps!$A$34:AQ$34)+tipps!$A41,0)))</f>
        <v/>
      </c>
      <c r="AS63" t="str">
        <f ca="1">IF($A41&gt;AS$34,"",IF(OFFSET(Tippabgabe!$DB$177,SUM(tipps!$A$34:AR$34)+tipps!$A41,0)&lt;0,"",OFFSET(Tippabgabe!$DB$177,SUM(tipps!$A$34:AR$34)+tipps!$A41,0)))</f>
        <v/>
      </c>
      <c r="AT63" t="str">
        <f ca="1">IF($A41&gt;AT$34,"",IF(OFFSET(Tippabgabe!$DB$177,SUM(tipps!$A$34:AS$34)+tipps!$A41,0)&lt;0,"",OFFSET(Tippabgabe!$DB$177,SUM(tipps!$A$34:AS$34)+tipps!$A41,0)))</f>
        <v/>
      </c>
      <c r="AU63" t="str">
        <f ca="1">IF($A41&gt;AU$34,"",IF(OFFSET(Tippabgabe!$DB$177,SUM(tipps!$A$34:AT$34)+tipps!$A41,0)&lt;0,"",OFFSET(Tippabgabe!$DB$177,SUM(tipps!$A$34:AT$34)+tipps!$A41,0)))</f>
        <v/>
      </c>
      <c r="AV63" t="str">
        <f ca="1">IF($A41&gt;AV$34,"",IF(OFFSET(Tippabgabe!$DB$177,SUM(tipps!$A$34:AU$34)+tipps!$A41,0)&lt;0,"",OFFSET(Tippabgabe!$DB$177,SUM(tipps!$A$34:AU$34)+tipps!$A41,0)))</f>
        <v/>
      </c>
      <c r="AW63" t="str">
        <f ca="1">IF($A41&gt;AW$34,"",IF(OFFSET(Tippabgabe!$DB$177,SUM(tipps!$A$34:AV$34)+tipps!$A41,0)&lt;0,"",OFFSET(Tippabgabe!$DB$177,SUM(tipps!$A$34:AV$34)+tipps!$A41,0)))</f>
        <v/>
      </c>
      <c r="AX63" t="str">
        <f ca="1">IF($A41&gt;AX$34,"",IF(OFFSET(Tippabgabe!$DB$177,SUM(tipps!$A$34:AW$34)+tipps!$A41,0)&lt;0,"",OFFSET(Tippabgabe!$DB$177,SUM(tipps!$A$34:AW$34)+tipps!$A41,0)))</f>
        <v/>
      </c>
      <c r="AY63" t="str">
        <f ca="1">IF($A41&gt;AY$34,"",IF(OFFSET(Tippabgabe!$DB$177,SUM(tipps!$A$34:AX$34)+tipps!$A41,0)&lt;0,"",OFFSET(Tippabgabe!$DB$177,SUM(tipps!$A$34:AX$34)+tipps!$A41,0)))</f>
        <v/>
      </c>
      <c r="AZ63" t="str">
        <f ca="1">IF($A41&gt;AZ$34,"",IF(OFFSET(Tippabgabe!$DB$177,SUM(tipps!$A$34:AY$34)+tipps!$A41,0)&lt;0,"",OFFSET(Tippabgabe!$DB$177,SUM(tipps!$A$34:AY$34)+tipps!$A41,0)))</f>
        <v/>
      </c>
      <c r="BA63" t="str">
        <f ca="1">IF($A41&gt;BA$34,"",IF(OFFSET(Tippabgabe!$DB$177,SUM(tipps!$A$34:AZ$34)+tipps!$A41,0)&lt;0,"",OFFSET(Tippabgabe!$DB$177,SUM(tipps!$A$34:AZ$34)+tipps!$A41,0)))</f>
        <v/>
      </c>
      <c r="BB63" t="str">
        <f ca="1">IF($A41&gt;BB$34,"",IF(OFFSET(Tippabgabe!$DB$177,SUM(tipps!$A$34:BA$34)+tipps!$A41,0)&lt;0,"",OFFSET(Tippabgabe!$DB$177,SUM(tipps!$A$34:BA$34)+tipps!$A41,0)))</f>
        <v/>
      </c>
      <c r="BC63" t="str">
        <f ca="1">IF($A41&gt;BC$34,"",IF(OFFSET(Tippabgabe!$DB$177,SUM(tipps!$A$34:BB$34)+tipps!$A41,0)&lt;0,"",OFFSET(Tippabgabe!$DB$177,SUM(tipps!$A$34:BB$34)+tipps!$A41,0)))</f>
        <v/>
      </c>
      <c r="BD63" t="str">
        <f ca="1">IF($A41&gt;BD$34,"",IF(OFFSET(Tippabgabe!$DB$177,SUM(tipps!$A$34:BC$34)+tipps!$A41,0)&lt;0,"",OFFSET(Tippabgabe!$DB$177,SUM(tipps!$A$34:BC$34)+tipps!$A41,0)))</f>
        <v/>
      </c>
      <c r="BE63" t="str">
        <f ca="1">IF($A41&gt;BE$34,"",IF(OFFSET(Tippabgabe!$DB$177,SUM(tipps!$A$34:BD$34)+tipps!$A41,0)&lt;0,"",OFFSET(Tippabgabe!$DB$177,SUM(tipps!$A$34:BD$34)+tipps!$A41,0)))</f>
        <v/>
      </c>
      <c r="BF63" t="str">
        <f ca="1">IF($A41&gt;BF$34,"",IF(OFFSET(Tippabgabe!$DB$177,SUM(tipps!$A$34:BE$34)+tipps!$A41,0)&lt;0,"",OFFSET(Tippabgabe!$DB$177,SUM(tipps!$A$34:BE$34)+tipps!$A41,0)))</f>
        <v/>
      </c>
      <c r="BG63" t="str">
        <f ca="1">IF($A41&gt;BG$34,"",IF(OFFSET(Tippabgabe!$DB$177,SUM(tipps!$A$34:BF$34)+tipps!$A41,0)&lt;0,"",OFFSET(Tippabgabe!$DB$177,SUM(tipps!$A$34:BF$34)+tipps!$A41,0)))</f>
        <v/>
      </c>
      <c r="BH63" t="str">
        <f ca="1">IF($A41&gt;BH$34,"",IF(OFFSET(Tippabgabe!$DB$177,SUM(tipps!$A$34:BG$34)+tipps!$A41,0)&lt;0,"",OFFSET(Tippabgabe!$DB$177,SUM(tipps!$A$34:BG$34)+tipps!$A41,0)))</f>
        <v/>
      </c>
      <c r="BI63" t="str">
        <f ca="1">IF($A41&gt;BI$34,"",IF(OFFSET(Tippabgabe!$DB$177,SUM(tipps!$A$34:BH$34)+tipps!$A41,0)&lt;0,"",OFFSET(Tippabgabe!$DB$177,SUM(tipps!$A$34:BH$34)+tipps!$A41,0)))</f>
        <v/>
      </c>
      <c r="BJ63" t="str">
        <f ca="1">IF($A41&gt;BJ$34,"",IF(OFFSET(Tippabgabe!$DB$177,SUM(tipps!$A$34:BI$34)+tipps!$A41,0)&lt;0,"",OFFSET(Tippabgabe!$DB$177,SUM(tipps!$A$34:BI$34)+tipps!$A41,0)))</f>
        <v/>
      </c>
      <c r="BK63" t="str">
        <f ca="1">IF($A41&gt;BK$34,"",IF(OFFSET(Tippabgabe!$DB$177,SUM(tipps!$A$34:BJ$34)+tipps!$A41,0)&lt;0,"",OFFSET(Tippabgabe!$DB$177,SUM(tipps!$A$34:BJ$34)+tipps!$A41,0)))</f>
        <v/>
      </c>
      <c r="BL63" t="str">
        <f ca="1">IF($A41&gt;BL$34,"",IF(OFFSET(Tippabgabe!$DB$177,SUM(tipps!$A$34:BK$34)+tipps!$A41,0)&lt;0,"",OFFSET(Tippabgabe!$DB$177,SUM(tipps!$A$34:BK$34)+tipps!$A41,0)))</f>
        <v/>
      </c>
      <c r="BM63" t="str">
        <f ca="1">IF($A41&gt;BM$34,"",IF(OFFSET(Tippabgabe!$DB$177,SUM(tipps!$A$34:BL$34)+tipps!$A41,0)&lt;0,"",OFFSET(Tippabgabe!$DB$177,SUM(tipps!$A$34:BL$34)+tipps!$A41,0)))</f>
        <v/>
      </c>
      <c r="BN63" t="str">
        <f ca="1">IF($A41&gt;BN$34,"",IF(OFFSET(Tippabgabe!$DB$177,SUM(tipps!$A$34:BM$34)+tipps!$A41,0)&lt;0,"",OFFSET(Tippabgabe!$DB$177,SUM(tipps!$A$34:BM$34)+tipps!$A41,0)))</f>
        <v/>
      </c>
      <c r="BO63" t="str">
        <f ca="1">IF($A41&gt;BO$34,"",IF(OFFSET(Tippabgabe!$DB$177,SUM(tipps!$A$34:BN$34)+tipps!$A41,0)&lt;0,"",OFFSET(Tippabgabe!$DB$177,SUM(tipps!$A$34:BN$34)+tipps!$A41,0)))</f>
        <v/>
      </c>
      <c r="BP63" t="str">
        <f ca="1">IF($A41&gt;BP$34,"",IF(OFFSET(Tippabgabe!$DB$177,SUM(tipps!$A$34:BO$34)+tipps!$A41,0)&lt;0,"",OFFSET(Tippabgabe!$DB$177,SUM(tipps!$A$34:BO$34)+tipps!$A41,0)))</f>
        <v/>
      </c>
      <c r="BQ63" t="str">
        <f ca="1">IF($A41&gt;BQ$34,"",IF(OFFSET(Tippabgabe!$DB$177,SUM(tipps!$A$34:BP$34)+tipps!$A41,0)&lt;0,"",OFFSET(Tippabgabe!$DB$177,SUM(tipps!$A$34:BP$34)+tipps!$A41,0)))</f>
        <v/>
      </c>
      <c r="BR63" t="str">
        <f ca="1">IF($A41&gt;BR$34,"",IF(OFFSET(Tippabgabe!$DB$177,SUM(tipps!$A$34:BQ$34)+tipps!$A41,0)&lt;0,"",OFFSET(Tippabgabe!$DB$177,SUM(tipps!$A$34:BQ$34)+tipps!$A41,0)))</f>
        <v/>
      </c>
      <c r="BS63" t="str">
        <f ca="1">IF($A41&gt;BS$34,"",IF(OFFSET(Tippabgabe!$DB$177,SUM(tipps!$A$34:BR$34)+tipps!$A41,0)&lt;0,"",OFFSET(Tippabgabe!$DB$177,SUM(tipps!$A$34:BR$34)+tipps!$A41,0)))</f>
        <v/>
      </c>
      <c r="BT63" t="str">
        <f ca="1">IF($A41&gt;BT$34,"",IF(OFFSET(Tippabgabe!$DB$177,SUM(tipps!$A$34:BS$34)+tipps!$A41,0)&lt;0,"",OFFSET(Tippabgabe!$DB$177,SUM(tipps!$A$34:BS$34)+tipps!$A41,0)))</f>
        <v/>
      </c>
      <c r="BU63" t="str">
        <f ca="1">IF($A41&gt;BU$34,"",IF(OFFSET(Tippabgabe!$DB$177,SUM(tipps!$A$34:BT$34)+tipps!$A41,0)&lt;0,"",OFFSET(Tippabgabe!$DB$177,SUM(tipps!$A$34:BT$34)+tipps!$A41,0)))</f>
        <v/>
      </c>
      <c r="BV63" t="str">
        <f ca="1">IF($A41&gt;BV$34,"",IF(OFFSET(Tippabgabe!$DB$177,SUM(tipps!$A$34:BU$34)+tipps!$A41,0)&lt;0,"",OFFSET(Tippabgabe!$DB$177,SUM(tipps!$A$34:BU$34)+tipps!$A41,0)))</f>
        <v/>
      </c>
      <c r="BW63" t="str">
        <f ca="1">IF($A41&gt;BW$34,"",IF(OFFSET(Tippabgabe!$DB$177,SUM(tipps!$A$34:BV$34)+tipps!$A41,0)&lt;0,"",OFFSET(Tippabgabe!$DB$177,SUM(tipps!$A$34:BV$34)+tipps!$A41,0)))</f>
        <v/>
      </c>
    </row>
    <row r="64" spans="1:75" x14ac:dyDescent="0.2">
      <c r="A64">
        <v>7</v>
      </c>
      <c r="B64" t="str">
        <f ca="1">IF($A42&gt;B$34,"",IF(OFFSET(Tippabgabe!$DB$177,SUM(tipps!$A$34:A$34)+tipps!$A42,0)&lt;0,"",OFFSET(Tippabgabe!$DB$177,SUM(tipps!$A$34:A$34)+tipps!$A42,0)))</f>
        <v/>
      </c>
      <c r="C64" t="str">
        <f ca="1">IF($A42&gt;C$34,"",IF(OFFSET(Tippabgabe!$DB$177,SUM(tipps!$A$34:B$34)+tipps!$A42,0)&lt;0,"",OFFSET(Tippabgabe!$DB$177,SUM(tipps!$A$34:B$34)+tipps!$A42,0)))</f>
        <v/>
      </c>
      <c r="D64" t="str">
        <f ca="1">IF($A42&gt;D$34,"",IF(OFFSET(Tippabgabe!$DB$177,SUM(tipps!$A$34:C$34)+tipps!$A42,0)&lt;0,"",OFFSET(Tippabgabe!$DB$177,SUM(tipps!$A$34:C$34)+tipps!$A42,0)))</f>
        <v/>
      </c>
      <c r="E64" t="str">
        <f ca="1">IF($A42&gt;E$34,"",IF(OFFSET(Tippabgabe!$DB$177,SUM(tipps!$A$34:D$34)+tipps!$A42,0)&lt;0,"",OFFSET(Tippabgabe!$DB$177,SUM(tipps!$A$34:D$34)+tipps!$A42,0)))</f>
        <v/>
      </c>
      <c r="F64" t="str">
        <f ca="1">IF($A42&gt;F$34,"",IF(OFFSET(Tippabgabe!$DB$177,SUM(tipps!$A$34:E$34)+tipps!$A42,0)&lt;0,"",OFFSET(Tippabgabe!$DB$177,SUM(tipps!$A$34:E$34)+tipps!$A42,0)))</f>
        <v/>
      </c>
      <c r="G64" t="str">
        <f ca="1">IF($A42&gt;G$34,"",IF(OFFSET(Tippabgabe!$DB$177,SUM(tipps!$A$34:F$34)+tipps!$A42,0)&lt;0,"",OFFSET(Tippabgabe!$DB$177,SUM(tipps!$A$34:F$34)+tipps!$A42,0)))</f>
        <v/>
      </c>
      <c r="H64" t="str">
        <f ca="1">IF($A42&gt;H$34,"",IF(OFFSET(Tippabgabe!$DB$177,SUM(tipps!$A$34:G$34)+tipps!$A42,0)&lt;0,"",OFFSET(Tippabgabe!$DB$177,SUM(tipps!$A$34:G$34)+tipps!$A42,0)))</f>
        <v/>
      </c>
      <c r="I64" t="str">
        <f ca="1">IF($A42&gt;I$34,"",IF(OFFSET(Tippabgabe!$DB$177,SUM(tipps!$A$34:H$34)+tipps!$A42,0)&lt;0,"",OFFSET(Tippabgabe!$DB$177,SUM(tipps!$A$34:H$34)+tipps!$A42,0)))</f>
        <v/>
      </c>
      <c r="J64" t="str">
        <f ca="1">IF($A42&gt;J$34,"",IF(OFFSET(Tippabgabe!$DB$177,SUM(tipps!$A$34:I$34)+tipps!$A42,0)&lt;0,"",OFFSET(Tippabgabe!$DB$177,SUM(tipps!$A$34:I$34)+tipps!$A42,0)))</f>
        <v/>
      </c>
      <c r="K64">
        <f ca="1">IF($A42&gt;K$34,"",IF(OFFSET(Tippabgabe!$DB$177,SUM(tipps!$A$34:J$34)+tipps!$A42,0)&lt;0,"",OFFSET(Tippabgabe!$DB$177,SUM(tipps!$A$34:J$34)+tipps!$A42,0)))</f>
        <v>13</v>
      </c>
      <c r="L64" t="str">
        <f ca="1">IF($A42&gt;L$34,"",IF(OFFSET(Tippabgabe!$DB$177,SUM(tipps!$A$34:K$34)+tipps!$A42,0)&lt;0,"",OFFSET(Tippabgabe!$DB$177,SUM(tipps!$A$34:K$34)+tipps!$A42,0)))</f>
        <v/>
      </c>
      <c r="M64" t="str">
        <f ca="1">IF($A42&gt;M$34,"",IF(OFFSET(Tippabgabe!$DB$177,SUM(tipps!$A$34:L$34)+tipps!$A42,0)&lt;0,"",OFFSET(Tippabgabe!$DB$177,SUM(tipps!$A$34:L$34)+tipps!$A42,0)))</f>
        <v/>
      </c>
      <c r="N64" t="str">
        <f ca="1">IF($A42&gt;N$34,"",IF(OFFSET(Tippabgabe!$DB$177,SUM(tipps!$A$34:M$34)+tipps!$A42,0)&lt;0,"",OFFSET(Tippabgabe!$DB$177,SUM(tipps!$A$34:M$34)+tipps!$A42,0)))</f>
        <v/>
      </c>
      <c r="O64" t="str">
        <f ca="1">IF($A42&gt;O$34,"",IF(OFFSET(Tippabgabe!$DB$177,SUM(tipps!$A$34:N$34)+tipps!$A42,0)&lt;0,"",OFFSET(Tippabgabe!$DB$177,SUM(tipps!$A$34:N$34)+tipps!$A42,0)))</f>
        <v/>
      </c>
      <c r="P64" t="str">
        <f ca="1">IF($A42&gt;P$34,"",IF(OFFSET(Tippabgabe!$DB$177,SUM(tipps!$A$34:O$34)+tipps!$A42,0)&lt;0,"",OFFSET(Tippabgabe!$DB$177,SUM(tipps!$A$34:O$34)+tipps!$A42,0)))</f>
        <v/>
      </c>
      <c r="Q64" t="str">
        <f ca="1">IF($A42&gt;Q$34,"",IF(OFFSET(Tippabgabe!$DB$177,SUM(tipps!$A$34:P$34)+tipps!$A42,0)&lt;0,"",OFFSET(Tippabgabe!$DB$177,SUM(tipps!$A$34:P$34)+tipps!$A42,0)))</f>
        <v/>
      </c>
      <c r="R64" t="str">
        <f ca="1">IF($A42&gt;R$34,"",IF(OFFSET(Tippabgabe!$DB$177,SUM(tipps!$A$34:Q$34)+tipps!$A42,0)&lt;0,"",OFFSET(Tippabgabe!$DB$177,SUM(tipps!$A$34:Q$34)+tipps!$A42,0)))</f>
        <v/>
      </c>
      <c r="S64" t="str">
        <f ca="1">IF($A42&gt;S$34,"",IF(OFFSET(Tippabgabe!$DB$177,SUM(tipps!$A$34:R$34)+tipps!$A42,0)&lt;0,"",OFFSET(Tippabgabe!$DB$177,SUM(tipps!$A$34:R$34)+tipps!$A42,0)))</f>
        <v/>
      </c>
      <c r="T64" t="str">
        <f ca="1">IF($A42&gt;T$34,"",IF(OFFSET(Tippabgabe!$DB$177,SUM(tipps!$A$34:S$34)+tipps!$A42,0)&lt;0,"",OFFSET(Tippabgabe!$DB$177,SUM(tipps!$A$34:S$34)+tipps!$A42,0)))</f>
        <v/>
      </c>
      <c r="U64" t="str">
        <f ca="1">IF($A42&gt;U$34,"",IF(OFFSET(Tippabgabe!$DB$177,SUM(tipps!$A$34:T$34)+tipps!$A42,0)&lt;0,"",OFFSET(Tippabgabe!$DB$177,SUM(tipps!$A$34:T$34)+tipps!$A42,0)))</f>
        <v/>
      </c>
      <c r="V64" t="str">
        <f ca="1">IF($A42&gt;V$34,"",IF(OFFSET(Tippabgabe!$DB$177,SUM(tipps!$A$34:U$34)+tipps!$A42,0)&lt;0,"",OFFSET(Tippabgabe!$DB$177,SUM(tipps!$A$34:U$34)+tipps!$A42,0)))</f>
        <v/>
      </c>
      <c r="W64" t="str">
        <f ca="1">IF($A42&gt;W$34,"",IF(OFFSET(Tippabgabe!$DB$177,SUM(tipps!$A$34:V$34)+tipps!$A42,0)&lt;0,"",OFFSET(Tippabgabe!$DB$177,SUM(tipps!$A$34:V$34)+tipps!$A42,0)))</f>
        <v/>
      </c>
      <c r="X64" t="str">
        <f ca="1">IF($A42&gt;X$34,"",IF(OFFSET(Tippabgabe!$DB$177,SUM(tipps!$A$34:W$34)+tipps!$A42,0)&lt;0,"",OFFSET(Tippabgabe!$DB$177,SUM(tipps!$A$34:W$34)+tipps!$A42,0)))</f>
        <v/>
      </c>
      <c r="Y64" t="str">
        <f ca="1">IF($A42&gt;Y$34,"",IF(OFFSET(Tippabgabe!$DB$177,SUM(tipps!$A$34:X$34)+tipps!$A42,0)&lt;0,"",OFFSET(Tippabgabe!$DB$177,SUM(tipps!$A$34:X$34)+tipps!$A42,0)))</f>
        <v/>
      </c>
      <c r="Z64" t="str">
        <f ca="1">IF($A42&gt;Z$34,"",IF(OFFSET(Tippabgabe!$DB$177,SUM(tipps!$A$34:Y$34)+tipps!$A42,0)&lt;0,"",OFFSET(Tippabgabe!$DB$177,SUM(tipps!$A$34:Y$34)+tipps!$A42,0)))</f>
        <v/>
      </c>
      <c r="AA64" t="str">
        <f ca="1">IF($A42&gt;AA$34,"",IF(OFFSET(Tippabgabe!$DB$177,SUM(tipps!$A$34:Z$34)+tipps!$A42,0)&lt;0,"",OFFSET(Tippabgabe!$DB$177,SUM(tipps!$A$34:Z$34)+tipps!$A42,0)))</f>
        <v/>
      </c>
      <c r="AB64" t="str">
        <f ca="1">IF($A42&gt;AB$34,"",IF(OFFSET(Tippabgabe!$DB$177,SUM(tipps!$A$34:AA$34)+tipps!$A42,0)&lt;0,"",OFFSET(Tippabgabe!$DB$177,SUM(tipps!$A$34:AA$34)+tipps!$A42,0)))</f>
        <v/>
      </c>
      <c r="AC64" t="str">
        <f ca="1">IF($A42&gt;AC$34,"",IF(OFFSET(Tippabgabe!$DB$177,SUM(tipps!$A$34:AB$34)+tipps!$A42,0)&lt;0,"",OFFSET(Tippabgabe!$DB$177,SUM(tipps!$A$34:AB$34)+tipps!$A42,0)))</f>
        <v/>
      </c>
      <c r="AD64" t="str">
        <f ca="1">IF($A42&gt;AD$34,"",IF(OFFSET(Tippabgabe!$DB$177,SUM(tipps!$A$34:AC$34)+tipps!$A42,0)&lt;0,"",OFFSET(Tippabgabe!$DB$177,SUM(tipps!$A$34:AC$34)+tipps!$A42,0)))</f>
        <v/>
      </c>
      <c r="AE64" t="str">
        <f ca="1">IF($A42&gt;AE$34,"",IF(OFFSET(Tippabgabe!$DB$177,SUM(tipps!$A$34:AD$34)+tipps!$A42,0)&lt;0,"",OFFSET(Tippabgabe!$DB$177,SUM(tipps!$A$34:AD$34)+tipps!$A42,0)))</f>
        <v/>
      </c>
      <c r="AF64" t="str">
        <f ca="1">IF($A42&gt;AF$34,"",IF(OFFSET(Tippabgabe!$DB$177,SUM(tipps!$A$34:AE$34)+tipps!$A42,0)&lt;0,"",OFFSET(Tippabgabe!$DB$177,SUM(tipps!$A$34:AE$34)+tipps!$A42,0)))</f>
        <v/>
      </c>
      <c r="AG64" t="str">
        <f ca="1">IF($A42&gt;AG$34,"",IF(OFFSET(Tippabgabe!$DB$177,SUM(tipps!$A$34:AF$34)+tipps!$A42,0)&lt;0,"",OFFSET(Tippabgabe!$DB$177,SUM(tipps!$A$34:AF$34)+tipps!$A42,0)))</f>
        <v/>
      </c>
      <c r="AH64" t="str">
        <f ca="1">IF($A42&gt;AH$34,"",IF(OFFSET(Tippabgabe!$DB$177,SUM(tipps!$A$34:AG$34)+tipps!$A42,0)&lt;0,"",OFFSET(Tippabgabe!$DB$177,SUM(tipps!$A$34:AG$34)+tipps!$A42,0)))</f>
        <v/>
      </c>
      <c r="AI64" t="str">
        <f ca="1">IF($A42&gt;AI$34,"",IF(OFFSET(Tippabgabe!$DB$177,SUM(tipps!$A$34:AH$34)+tipps!$A42,0)&lt;0,"",OFFSET(Tippabgabe!$DB$177,SUM(tipps!$A$34:AH$34)+tipps!$A42,0)))</f>
        <v/>
      </c>
      <c r="AJ64" t="str">
        <f ca="1">IF($A42&gt;AJ$34,"",IF(OFFSET(Tippabgabe!$DB$177,SUM(tipps!$A$34:AI$34)+tipps!$A42,0)&lt;0,"",OFFSET(Tippabgabe!$DB$177,SUM(tipps!$A$34:AI$34)+tipps!$A42,0)))</f>
        <v/>
      </c>
      <c r="AK64" t="str">
        <f ca="1">IF($A42&gt;AK$34,"",IF(OFFSET(Tippabgabe!$DB$177,SUM(tipps!$A$34:AJ$34)+tipps!$A42,0)&lt;0,"",OFFSET(Tippabgabe!$DB$177,SUM(tipps!$A$34:AJ$34)+tipps!$A42,0)))</f>
        <v/>
      </c>
      <c r="AL64" t="str">
        <f ca="1">IF($A42&gt;AL$34,"",IF(OFFSET(Tippabgabe!$DB$177,SUM(tipps!$A$34:AK$34)+tipps!$A42,0)&lt;0,"",OFFSET(Tippabgabe!$DB$177,SUM(tipps!$A$34:AK$34)+tipps!$A42,0)))</f>
        <v/>
      </c>
      <c r="AM64" t="str">
        <f ca="1">IF($A42&gt;AM$34,"",IF(OFFSET(Tippabgabe!$DB$177,SUM(tipps!$A$34:AL$34)+tipps!$A42,0)&lt;0,"",OFFSET(Tippabgabe!$DB$177,SUM(tipps!$A$34:AL$34)+tipps!$A42,0)))</f>
        <v/>
      </c>
      <c r="AN64" t="str">
        <f ca="1">IF($A42&gt;AN$34,"",IF(OFFSET(Tippabgabe!$DB$177,SUM(tipps!$A$34:AM$34)+tipps!$A42,0)&lt;0,"",OFFSET(Tippabgabe!$DB$177,SUM(tipps!$A$34:AM$34)+tipps!$A42,0)))</f>
        <v/>
      </c>
      <c r="AO64" t="str">
        <f ca="1">IF($A42&gt;AO$34,"",IF(OFFSET(Tippabgabe!$DB$177,SUM(tipps!$A$34:AN$34)+tipps!$A42,0)&lt;0,"",OFFSET(Tippabgabe!$DB$177,SUM(tipps!$A$34:AN$34)+tipps!$A42,0)))</f>
        <v/>
      </c>
      <c r="AP64" t="str">
        <f ca="1">IF($A42&gt;AP$34,"",IF(OFFSET(Tippabgabe!$DB$177,SUM(tipps!$A$34:AO$34)+tipps!$A42,0)&lt;0,"",OFFSET(Tippabgabe!$DB$177,SUM(tipps!$A$34:AO$34)+tipps!$A42,0)))</f>
        <v/>
      </c>
      <c r="AQ64" t="str">
        <f ca="1">IF($A42&gt;AQ$34,"",IF(OFFSET(Tippabgabe!$DB$177,SUM(tipps!$A$34:AP$34)+tipps!$A42,0)&lt;0,"",OFFSET(Tippabgabe!$DB$177,SUM(tipps!$A$34:AP$34)+tipps!$A42,0)))</f>
        <v/>
      </c>
      <c r="AR64" t="str">
        <f ca="1">IF($A42&gt;AR$34,"",IF(OFFSET(Tippabgabe!$DB$177,SUM(tipps!$A$34:AQ$34)+tipps!$A42,0)&lt;0,"",OFFSET(Tippabgabe!$DB$177,SUM(tipps!$A$34:AQ$34)+tipps!$A42,0)))</f>
        <v/>
      </c>
      <c r="AS64" t="str">
        <f ca="1">IF($A42&gt;AS$34,"",IF(OFFSET(Tippabgabe!$DB$177,SUM(tipps!$A$34:AR$34)+tipps!$A42,0)&lt;0,"",OFFSET(Tippabgabe!$DB$177,SUM(tipps!$A$34:AR$34)+tipps!$A42,0)))</f>
        <v/>
      </c>
      <c r="AT64" t="str">
        <f ca="1">IF($A42&gt;AT$34,"",IF(OFFSET(Tippabgabe!$DB$177,SUM(tipps!$A$34:AS$34)+tipps!$A42,0)&lt;0,"",OFFSET(Tippabgabe!$DB$177,SUM(tipps!$A$34:AS$34)+tipps!$A42,0)))</f>
        <v/>
      </c>
      <c r="AU64" t="str">
        <f ca="1">IF($A42&gt;AU$34,"",IF(OFFSET(Tippabgabe!$DB$177,SUM(tipps!$A$34:AT$34)+tipps!$A42,0)&lt;0,"",OFFSET(Tippabgabe!$DB$177,SUM(tipps!$A$34:AT$34)+tipps!$A42,0)))</f>
        <v/>
      </c>
      <c r="AV64" t="str">
        <f ca="1">IF($A42&gt;AV$34,"",IF(OFFSET(Tippabgabe!$DB$177,SUM(tipps!$A$34:AU$34)+tipps!$A42,0)&lt;0,"",OFFSET(Tippabgabe!$DB$177,SUM(tipps!$A$34:AU$34)+tipps!$A42,0)))</f>
        <v/>
      </c>
      <c r="AW64" t="str">
        <f ca="1">IF($A42&gt;AW$34,"",IF(OFFSET(Tippabgabe!$DB$177,SUM(tipps!$A$34:AV$34)+tipps!$A42,0)&lt;0,"",OFFSET(Tippabgabe!$DB$177,SUM(tipps!$A$34:AV$34)+tipps!$A42,0)))</f>
        <v/>
      </c>
      <c r="AX64" t="str">
        <f ca="1">IF($A42&gt;AX$34,"",IF(OFFSET(Tippabgabe!$DB$177,SUM(tipps!$A$34:AW$34)+tipps!$A42,0)&lt;0,"",OFFSET(Tippabgabe!$DB$177,SUM(tipps!$A$34:AW$34)+tipps!$A42,0)))</f>
        <v/>
      </c>
      <c r="AY64" t="str">
        <f ca="1">IF($A42&gt;AY$34,"",IF(OFFSET(Tippabgabe!$DB$177,SUM(tipps!$A$34:AX$34)+tipps!$A42,0)&lt;0,"",OFFSET(Tippabgabe!$DB$177,SUM(tipps!$A$34:AX$34)+tipps!$A42,0)))</f>
        <v/>
      </c>
      <c r="AZ64" t="str">
        <f ca="1">IF($A42&gt;AZ$34,"",IF(OFFSET(Tippabgabe!$DB$177,SUM(tipps!$A$34:AY$34)+tipps!$A42,0)&lt;0,"",OFFSET(Tippabgabe!$DB$177,SUM(tipps!$A$34:AY$34)+tipps!$A42,0)))</f>
        <v/>
      </c>
      <c r="BA64" t="str">
        <f ca="1">IF($A42&gt;BA$34,"",IF(OFFSET(Tippabgabe!$DB$177,SUM(tipps!$A$34:AZ$34)+tipps!$A42,0)&lt;0,"",OFFSET(Tippabgabe!$DB$177,SUM(tipps!$A$34:AZ$34)+tipps!$A42,0)))</f>
        <v/>
      </c>
      <c r="BB64" t="str">
        <f ca="1">IF($A42&gt;BB$34,"",IF(OFFSET(Tippabgabe!$DB$177,SUM(tipps!$A$34:BA$34)+tipps!$A42,0)&lt;0,"",OFFSET(Tippabgabe!$DB$177,SUM(tipps!$A$34:BA$34)+tipps!$A42,0)))</f>
        <v/>
      </c>
      <c r="BC64" t="str">
        <f ca="1">IF($A42&gt;BC$34,"",IF(OFFSET(Tippabgabe!$DB$177,SUM(tipps!$A$34:BB$34)+tipps!$A42,0)&lt;0,"",OFFSET(Tippabgabe!$DB$177,SUM(tipps!$A$34:BB$34)+tipps!$A42,0)))</f>
        <v/>
      </c>
      <c r="BD64" t="str">
        <f ca="1">IF($A42&gt;BD$34,"",IF(OFFSET(Tippabgabe!$DB$177,SUM(tipps!$A$34:BC$34)+tipps!$A42,0)&lt;0,"",OFFSET(Tippabgabe!$DB$177,SUM(tipps!$A$34:BC$34)+tipps!$A42,0)))</f>
        <v/>
      </c>
      <c r="BE64" t="str">
        <f ca="1">IF($A42&gt;BE$34,"",IF(OFFSET(Tippabgabe!$DB$177,SUM(tipps!$A$34:BD$34)+tipps!$A42,0)&lt;0,"",OFFSET(Tippabgabe!$DB$177,SUM(tipps!$A$34:BD$34)+tipps!$A42,0)))</f>
        <v/>
      </c>
      <c r="BF64" t="str">
        <f ca="1">IF($A42&gt;BF$34,"",IF(OFFSET(Tippabgabe!$DB$177,SUM(tipps!$A$34:BE$34)+tipps!$A42,0)&lt;0,"",OFFSET(Tippabgabe!$DB$177,SUM(tipps!$A$34:BE$34)+tipps!$A42,0)))</f>
        <v/>
      </c>
      <c r="BG64" t="str">
        <f ca="1">IF($A42&gt;BG$34,"",IF(OFFSET(Tippabgabe!$DB$177,SUM(tipps!$A$34:BF$34)+tipps!$A42,0)&lt;0,"",OFFSET(Tippabgabe!$DB$177,SUM(tipps!$A$34:BF$34)+tipps!$A42,0)))</f>
        <v/>
      </c>
      <c r="BH64" t="str">
        <f ca="1">IF($A42&gt;BH$34,"",IF(OFFSET(Tippabgabe!$DB$177,SUM(tipps!$A$34:BG$34)+tipps!$A42,0)&lt;0,"",OFFSET(Tippabgabe!$DB$177,SUM(tipps!$A$34:BG$34)+tipps!$A42,0)))</f>
        <v/>
      </c>
      <c r="BI64" t="str">
        <f ca="1">IF($A42&gt;BI$34,"",IF(OFFSET(Tippabgabe!$DB$177,SUM(tipps!$A$34:BH$34)+tipps!$A42,0)&lt;0,"",OFFSET(Tippabgabe!$DB$177,SUM(tipps!$A$34:BH$34)+tipps!$A42,0)))</f>
        <v/>
      </c>
      <c r="BJ64" t="str">
        <f ca="1">IF($A42&gt;BJ$34,"",IF(OFFSET(Tippabgabe!$DB$177,SUM(tipps!$A$34:BI$34)+tipps!$A42,0)&lt;0,"",OFFSET(Tippabgabe!$DB$177,SUM(tipps!$A$34:BI$34)+tipps!$A42,0)))</f>
        <v/>
      </c>
      <c r="BK64" t="str">
        <f ca="1">IF($A42&gt;BK$34,"",IF(OFFSET(Tippabgabe!$DB$177,SUM(tipps!$A$34:BJ$34)+tipps!$A42,0)&lt;0,"",OFFSET(Tippabgabe!$DB$177,SUM(tipps!$A$34:BJ$34)+tipps!$A42,0)))</f>
        <v/>
      </c>
      <c r="BL64" t="str">
        <f ca="1">IF($A42&gt;BL$34,"",IF(OFFSET(Tippabgabe!$DB$177,SUM(tipps!$A$34:BK$34)+tipps!$A42,0)&lt;0,"",OFFSET(Tippabgabe!$DB$177,SUM(tipps!$A$34:BK$34)+tipps!$A42,0)))</f>
        <v/>
      </c>
      <c r="BM64" t="str">
        <f ca="1">IF($A42&gt;BM$34,"",IF(OFFSET(Tippabgabe!$DB$177,SUM(tipps!$A$34:BL$34)+tipps!$A42,0)&lt;0,"",OFFSET(Tippabgabe!$DB$177,SUM(tipps!$A$34:BL$34)+tipps!$A42,0)))</f>
        <v/>
      </c>
      <c r="BN64" t="str">
        <f ca="1">IF($A42&gt;BN$34,"",IF(OFFSET(Tippabgabe!$DB$177,SUM(tipps!$A$34:BM$34)+tipps!$A42,0)&lt;0,"",OFFSET(Tippabgabe!$DB$177,SUM(tipps!$A$34:BM$34)+tipps!$A42,0)))</f>
        <v/>
      </c>
      <c r="BO64" t="str">
        <f ca="1">IF($A42&gt;BO$34,"",IF(OFFSET(Tippabgabe!$DB$177,SUM(tipps!$A$34:BN$34)+tipps!$A42,0)&lt;0,"",OFFSET(Tippabgabe!$DB$177,SUM(tipps!$A$34:BN$34)+tipps!$A42,0)))</f>
        <v/>
      </c>
      <c r="BP64" t="str">
        <f ca="1">IF($A42&gt;BP$34,"",IF(OFFSET(Tippabgabe!$DB$177,SUM(tipps!$A$34:BO$34)+tipps!$A42,0)&lt;0,"",OFFSET(Tippabgabe!$DB$177,SUM(tipps!$A$34:BO$34)+tipps!$A42,0)))</f>
        <v/>
      </c>
      <c r="BQ64" t="str">
        <f ca="1">IF($A42&gt;BQ$34,"",IF(OFFSET(Tippabgabe!$DB$177,SUM(tipps!$A$34:BP$34)+tipps!$A42,0)&lt;0,"",OFFSET(Tippabgabe!$DB$177,SUM(tipps!$A$34:BP$34)+tipps!$A42,0)))</f>
        <v/>
      </c>
      <c r="BR64" t="str">
        <f ca="1">IF($A42&gt;BR$34,"",IF(OFFSET(Tippabgabe!$DB$177,SUM(tipps!$A$34:BQ$34)+tipps!$A42,0)&lt;0,"",OFFSET(Tippabgabe!$DB$177,SUM(tipps!$A$34:BQ$34)+tipps!$A42,0)))</f>
        <v/>
      </c>
      <c r="BS64" t="str">
        <f ca="1">IF($A42&gt;BS$34,"",IF(OFFSET(Tippabgabe!$DB$177,SUM(tipps!$A$34:BR$34)+tipps!$A42,0)&lt;0,"",OFFSET(Tippabgabe!$DB$177,SUM(tipps!$A$34:BR$34)+tipps!$A42,0)))</f>
        <v/>
      </c>
      <c r="BT64" t="str">
        <f ca="1">IF($A42&gt;BT$34,"",IF(OFFSET(Tippabgabe!$DB$177,SUM(tipps!$A$34:BS$34)+tipps!$A42,0)&lt;0,"",OFFSET(Tippabgabe!$DB$177,SUM(tipps!$A$34:BS$34)+tipps!$A42,0)))</f>
        <v/>
      </c>
      <c r="BU64" t="str">
        <f ca="1">IF($A42&gt;BU$34,"",IF(OFFSET(Tippabgabe!$DB$177,SUM(tipps!$A$34:BT$34)+tipps!$A42,0)&lt;0,"",OFFSET(Tippabgabe!$DB$177,SUM(tipps!$A$34:BT$34)+tipps!$A42,0)))</f>
        <v/>
      </c>
      <c r="BV64" t="str">
        <f ca="1">IF($A42&gt;BV$34,"",IF(OFFSET(Tippabgabe!$DB$177,SUM(tipps!$A$34:BU$34)+tipps!$A42,0)&lt;0,"",OFFSET(Tippabgabe!$DB$177,SUM(tipps!$A$34:BU$34)+tipps!$A42,0)))</f>
        <v/>
      </c>
      <c r="BW64" t="str">
        <f ca="1">IF($A42&gt;BW$34,"",IF(OFFSET(Tippabgabe!$DB$177,SUM(tipps!$A$34:BV$34)+tipps!$A42,0)&lt;0,"",OFFSET(Tippabgabe!$DB$177,SUM(tipps!$A$34:BV$34)+tipps!$A42,0)))</f>
        <v/>
      </c>
    </row>
    <row r="65" spans="1:75" x14ac:dyDescent="0.2">
      <c r="A65">
        <v>8</v>
      </c>
      <c r="B65" t="str">
        <f ca="1">IF($A43&gt;B$34,"",IF(OFFSET(Tippabgabe!$DB$177,SUM(tipps!$A$34:A$34)+tipps!$A43,0)&lt;0,"",OFFSET(Tippabgabe!$DB$177,SUM(tipps!$A$34:A$34)+tipps!$A43,0)))</f>
        <v/>
      </c>
      <c r="C65" t="str">
        <f ca="1">IF($A43&gt;C$34,"",IF(OFFSET(Tippabgabe!$DB$177,SUM(tipps!$A$34:B$34)+tipps!$A43,0)&lt;0,"",OFFSET(Tippabgabe!$DB$177,SUM(tipps!$A$34:B$34)+tipps!$A43,0)))</f>
        <v/>
      </c>
      <c r="D65" t="str">
        <f ca="1">IF($A43&gt;D$34,"",IF(OFFSET(Tippabgabe!$DB$177,SUM(tipps!$A$34:C$34)+tipps!$A43,0)&lt;0,"",OFFSET(Tippabgabe!$DB$177,SUM(tipps!$A$34:C$34)+tipps!$A43,0)))</f>
        <v/>
      </c>
      <c r="E65" t="str">
        <f ca="1">IF($A43&gt;E$34,"",IF(OFFSET(Tippabgabe!$DB$177,SUM(tipps!$A$34:D$34)+tipps!$A43,0)&lt;0,"",OFFSET(Tippabgabe!$DB$177,SUM(tipps!$A$34:D$34)+tipps!$A43,0)))</f>
        <v/>
      </c>
      <c r="F65" t="str">
        <f ca="1">IF($A43&gt;F$34,"",IF(OFFSET(Tippabgabe!$DB$177,SUM(tipps!$A$34:E$34)+tipps!$A43,0)&lt;0,"",OFFSET(Tippabgabe!$DB$177,SUM(tipps!$A$34:E$34)+tipps!$A43,0)))</f>
        <v/>
      </c>
      <c r="G65" t="str">
        <f ca="1">IF($A43&gt;G$34,"",IF(OFFSET(Tippabgabe!$DB$177,SUM(tipps!$A$34:F$34)+tipps!$A43,0)&lt;0,"",OFFSET(Tippabgabe!$DB$177,SUM(tipps!$A$34:F$34)+tipps!$A43,0)))</f>
        <v/>
      </c>
      <c r="H65" t="str">
        <f ca="1">IF($A43&gt;H$34,"",IF(OFFSET(Tippabgabe!$DB$177,SUM(tipps!$A$34:G$34)+tipps!$A43,0)&lt;0,"",OFFSET(Tippabgabe!$DB$177,SUM(tipps!$A$34:G$34)+tipps!$A43,0)))</f>
        <v/>
      </c>
      <c r="I65" t="str">
        <f ca="1">IF($A43&gt;I$34,"",IF(OFFSET(Tippabgabe!$DB$177,SUM(tipps!$A$34:H$34)+tipps!$A43,0)&lt;0,"",OFFSET(Tippabgabe!$DB$177,SUM(tipps!$A$34:H$34)+tipps!$A43,0)))</f>
        <v/>
      </c>
      <c r="J65" t="str">
        <f ca="1">IF($A43&gt;J$34,"",IF(OFFSET(Tippabgabe!$DB$177,SUM(tipps!$A$34:I$34)+tipps!$A43,0)&lt;0,"",OFFSET(Tippabgabe!$DB$177,SUM(tipps!$A$34:I$34)+tipps!$A43,0)))</f>
        <v/>
      </c>
      <c r="K65">
        <f ca="1">IF($A43&gt;K$34,"",IF(OFFSET(Tippabgabe!$DB$177,SUM(tipps!$A$34:J$34)+tipps!$A43,0)&lt;0,"",OFFSET(Tippabgabe!$DB$177,SUM(tipps!$A$34:J$34)+tipps!$A43,0)))</f>
        <v>14</v>
      </c>
      <c r="L65" t="str">
        <f ca="1">IF($A43&gt;L$34,"",IF(OFFSET(Tippabgabe!$DB$177,SUM(tipps!$A$34:K$34)+tipps!$A43,0)&lt;0,"",OFFSET(Tippabgabe!$DB$177,SUM(tipps!$A$34:K$34)+tipps!$A43,0)))</f>
        <v/>
      </c>
      <c r="M65" t="str">
        <f ca="1">IF($A43&gt;M$34,"",IF(OFFSET(Tippabgabe!$DB$177,SUM(tipps!$A$34:L$34)+tipps!$A43,0)&lt;0,"",OFFSET(Tippabgabe!$DB$177,SUM(tipps!$A$34:L$34)+tipps!$A43,0)))</f>
        <v/>
      </c>
      <c r="N65" t="str">
        <f ca="1">IF($A43&gt;N$34,"",IF(OFFSET(Tippabgabe!$DB$177,SUM(tipps!$A$34:M$34)+tipps!$A43,0)&lt;0,"",OFFSET(Tippabgabe!$DB$177,SUM(tipps!$A$34:M$34)+tipps!$A43,0)))</f>
        <v/>
      </c>
      <c r="O65" t="str">
        <f ca="1">IF($A43&gt;O$34,"",IF(OFFSET(Tippabgabe!$DB$177,SUM(tipps!$A$34:N$34)+tipps!$A43,0)&lt;0,"",OFFSET(Tippabgabe!$DB$177,SUM(tipps!$A$34:N$34)+tipps!$A43,0)))</f>
        <v/>
      </c>
      <c r="P65" t="str">
        <f ca="1">IF($A43&gt;P$34,"",IF(OFFSET(Tippabgabe!$DB$177,SUM(tipps!$A$34:O$34)+tipps!$A43,0)&lt;0,"",OFFSET(Tippabgabe!$DB$177,SUM(tipps!$A$34:O$34)+tipps!$A43,0)))</f>
        <v/>
      </c>
      <c r="Q65" t="str">
        <f ca="1">IF($A43&gt;Q$34,"",IF(OFFSET(Tippabgabe!$DB$177,SUM(tipps!$A$34:P$34)+tipps!$A43,0)&lt;0,"",OFFSET(Tippabgabe!$DB$177,SUM(tipps!$A$34:P$34)+tipps!$A43,0)))</f>
        <v/>
      </c>
      <c r="R65" t="str">
        <f ca="1">IF($A43&gt;R$34,"",IF(OFFSET(Tippabgabe!$DB$177,SUM(tipps!$A$34:Q$34)+tipps!$A43,0)&lt;0,"",OFFSET(Tippabgabe!$DB$177,SUM(tipps!$A$34:Q$34)+tipps!$A43,0)))</f>
        <v/>
      </c>
      <c r="S65" t="str">
        <f ca="1">IF($A43&gt;S$34,"",IF(OFFSET(Tippabgabe!$DB$177,SUM(tipps!$A$34:R$34)+tipps!$A43,0)&lt;0,"",OFFSET(Tippabgabe!$DB$177,SUM(tipps!$A$34:R$34)+tipps!$A43,0)))</f>
        <v/>
      </c>
      <c r="T65" t="str">
        <f ca="1">IF($A43&gt;T$34,"",IF(OFFSET(Tippabgabe!$DB$177,SUM(tipps!$A$34:S$34)+tipps!$A43,0)&lt;0,"",OFFSET(Tippabgabe!$DB$177,SUM(tipps!$A$34:S$34)+tipps!$A43,0)))</f>
        <v/>
      </c>
      <c r="U65" t="str">
        <f ca="1">IF($A43&gt;U$34,"",IF(OFFSET(Tippabgabe!$DB$177,SUM(tipps!$A$34:T$34)+tipps!$A43,0)&lt;0,"",OFFSET(Tippabgabe!$DB$177,SUM(tipps!$A$34:T$34)+tipps!$A43,0)))</f>
        <v/>
      </c>
      <c r="V65" t="str">
        <f ca="1">IF($A43&gt;V$34,"",IF(OFFSET(Tippabgabe!$DB$177,SUM(tipps!$A$34:U$34)+tipps!$A43,0)&lt;0,"",OFFSET(Tippabgabe!$DB$177,SUM(tipps!$A$34:U$34)+tipps!$A43,0)))</f>
        <v/>
      </c>
      <c r="W65" t="str">
        <f ca="1">IF($A43&gt;W$34,"",IF(OFFSET(Tippabgabe!$DB$177,SUM(tipps!$A$34:V$34)+tipps!$A43,0)&lt;0,"",OFFSET(Tippabgabe!$DB$177,SUM(tipps!$A$34:V$34)+tipps!$A43,0)))</f>
        <v/>
      </c>
      <c r="X65" t="str">
        <f ca="1">IF($A43&gt;X$34,"",IF(OFFSET(Tippabgabe!$DB$177,SUM(tipps!$A$34:W$34)+tipps!$A43,0)&lt;0,"",OFFSET(Tippabgabe!$DB$177,SUM(tipps!$A$34:W$34)+tipps!$A43,0)))</f>
        <v/>
      </c>
      <c r="Y65" t="str">
        <f ca="1">IF($A43&gt;Y$34,"",IF(OFFSET(Tippabgabe!$DB$177,SUM(tipps!$A$34:X$34)+tipps!$A43,0)&lt;0,"",OFFSET(Tippabgabe!$DB$177,SUM(tipps!$A$34:X$34)+tipps!$A43,0)))</f>
        <v/>
      </c>
      <c r="Z65" t="str">
        <f ca="1">IF($A43&gt;Z$34,"",IF(OFFSET(Tippabgabe!$DB$177,SUM(tipps!$A$34:Y$34)+tipps!$A43,0)&lt;0,"",OFFSET(Tippabgabe!$DB$177,SUM(tipps!$A$34:Y$34)+tipps!$A43,0)))</f>
        <v/>
      </c>
      <c r="AA65" t="str">
        <f ca="1">IF($A43&gt;AA$34,"",IF(OFFSET(Tippabgabe!$DB$177,SUM(tipps!$A$34:Z$34)+tipps!$A43,0)&lt;0,"",OFFSET(Tippabgabe!$DB$177,SUM(tipps!$A$34:Z$34)+tipps!$A43,0)))</f>
        <v/>
      </c>
      <c r="AB65" t="str">
        <f ca="1">IF($A43&gt;AB$34,"",IF(OFFSET(Tippabgabe!$DB$177,SUM(tipps!$A$34:AA$34)+tipps!$A43,0)&lt;0,"",OFFSET(Tippabgabe!$DB$177,SUM(tipps!$A$34:AA$34)+tipps!$A43,0)))</f>
        <v/>
      </c>
      <c r="AC65" t="str">
        <f ca="1">IF($A43&gt;AC$34,"",IF(OFFSET(Tippabgabe!$DB$177,SUM(tipps!$A$34:AB$34)+tipps!$A43,0)&lt;0,"",OFFSET(Tippabgabe!$DB$177,SUM(tipps!$A$34:AB$34)+tipps!$A43,0)))</f>
        <v/>
      </c>
      <c r="AD65" t="str">
        <f ca="1">IF($A43&gt;AD$34,"",IF(OFFSET(Tippabgabe!$DB$177,SUM(tipps!$A$34:AC$34)+tipps!$A43,0)&lt;0,"",OFFSET(Tippabgabe!$DB$177,SUM(tipps!$A$34:AC$34)+tipps!$A43,0)))</f>
        <v/>
      </c>
      <c r="AE65" t="str">
        <f ca="1">IF($A43&gt;AE$34,"",IF(OFFSET(Tippabgabe!$DB$177,SUM(tipps!$A$34:AD$34)+tipps!$A43,0)&lt;0,"",OFFSET(Tippabgabe!$DB$177,SUM(tipps!$A$34:AD$34)+tipps!$A43,0)))</f>
        <v/>
      </c>
      <c r="AF65" t="str">
        <f ca="1">IF($A43&gt;AF$34,"",IF(OFFSET(Tippabgabe!$DB$177,SUM(tipps!$A$34:AE$34)+tipps!$A43,0)&lt;0,"",OFFSET(Tippabgabe!$DB$177,SUM(tipps!$A$34:AE$34)+tipps!$A43,0)))</f>
        <v/>
      </c>
      <c r="AG65" t="str">
        <f ca="1">IF($A43&gt;AG$34,"",IF(OFFSET(Tippabgabe!$DB$177,SUM(tipps!$A$34:AF$34)+tipps!$A43,0)&lt;0,"",OFFSET(Tippabgabe!$DB$177,SUM(tipps!$A$34:AF$34)+tipps!$A43,0)))</f>
        <v/>
      </c>
      <c r="AH65" t="str">
        <f ca="1">IF($A43&gt;AH$34,"",IF(OFFSET(Tippabgabe!$DB$177,SUM(tipps!$A$34:AG$34)+tipps!$A43,0)&lt;0,"",OFFSET(Tippabgabe!$DB$177,SUM(tipps!$A$34:AG$34)+tipps!$A43,0)))</f>
        <v/>
      </c>
      <c r="AI65" t="str">
        <f ca="1">IF($A43&gt;AI$34,"",IF(OFFSET(Tippabgabe!$DB$177,SUM(tipps!$A$34:AH$34)+tipps!$A43,0)&lt;0,"",OFFSET(Tippabgabe!$DB$177,SUM(tipps!$A$34:AH$34)+tipps!$A43,0)))</f>
        <v/>
      </c>
      <c r="AJ65" t="str">
        <f ca="1">IF($A43&gt;AJ$34,"",IF(OFFSET(Tippabgabe!$DB$177,SUM(tipps!$A$34:AI$34)+tipps!$A43,0)&lt;0,"",OFFSET(Tippabgabe!$DB$177,SUM(tipps!$A$34:AI$34)+tipps!$A43,0)))</f>
        <v/>
      </c>
      <c r="AK65" t="str">
        <f ca="1">IF($A43&gt;AK$34,"",IF(OFFSET(Tippabgabe!$DB$177,SUM(tipps!$A$34:AJ$34)+tipps!$A43,0)&lt;0,"",OFFSET(Tippabgabe!$DB$177,SUM(tipps!$A$34:AJ$34)+tipps!$A43,0)))</f>
        <v/>
      </c>
      <c r="AL65" t="str">
        <f ca="1">IF($A43&gt;AL$34,"",IF(OFFSET(Tippabgabe!$DB$177,SUM(tipps!$A$34:AK$34)+tipps!$A43,0)&lt;0,"",OFFSET(Tippabgabe!$DB$177,SUM(tipps!$A$34:AK$34)+tipps!$A43,0)))</f>
        <v/>
      </c>
      <c r="AM65" t="str">
        <f ca="1">IF($A43&gt;AM$34,"",IF(OFFSET(Tippabgabe!$DB$177,SUM(tipps!$A$34:AL$34)+tipps!$A43,0)&lt;0,"",OFFSET(Tippabgabe!$DB$177,SUM(tipps!$A$34:AL$34)+tipps!$A43,0)))</f>
        <v/>
      </c>
      <c r="AN65" t="str">
        <f ca="1">IF($A43&gt;AN$34,"",IF(OFFSET(Tippabgabe!$DB$177,SUM(tipps!$A$34:AM$34)+tipps!$A43,0)&lt;0,"",OFFSET(Tippabgabe!$DB$177,SUM(tipps!$A$34:AM$34)+tipps!$A43,0)))</f>
        <v/>
      </c>
      <c r="AO65" t="str">
        <f ca="1">IF($A43&gt;AO$34,"",IF(OFFSET(Tippabgabe!$DB$177,SUM(tipps!$A$34:AN$34)+tipps!$A43,0)&lt;0,"",OFFSET(Tippabgabe!$DB$177,SUM(tipps!$A$34:AN$34)+tipps!$A43,0)))</f>
        <v/>
      </c>
      <c r="AP65" t="str">
        <f ca="1">IF($A43&gt;AP$34,"",IF(OFFSET(Tippabgabe!$DB$177,SUM(tipps!$A$34:AO$34)+tipps!$A43,0)&lt;0,"",OFFSET(Tippabgabe!$DB$177,SUM(tipps!$A$34:AO$34)+tipps!$A43,0)))</f>
        <v/>
      </c>
      <c r="AQ65" t="str">
        <f ca="1">IF($A43&gt;AQ$34,"",IF(OFFSET(Tippabgabe!$DB$177,SUM(tipps!$A$34:AP$34)+tipps!$A43,0)&lt;0,"",OFFSET(Tippabgabe!$DB$177,SUM(tipps!$A$34:AP$34)+tipps!$A43,0)))</f>
        <v/>
      </c>
      <c r="AR65" t="str">
        <f ca="1">IF($A43&gt;AR$34,"",IF(OFFSET(Tippabgabe!$DB$177,SUM(tipps!$A$34:AQ$34)+tipps!$A43,0)&lt;0,"",OFFSET(Tippabgabe!$DB$177,SUM(tipps!$A$34:AQ$34)+tipps!$A43,0)))</f>
        <v/>
      </c>
      <c r="AS65" t="str">
        <f ca="1">IF($A43&gt;AS$34,"",IF(OFFSET(Tippabgabe!$DB$177,SUM(tipps!$A$34:AR$34)+tipps!$A43,0)&lt;0,"",OFFSET(Tippabgabe!$DB$177,SUM(tipps!$A$34:AR$34)+tipps!$A43,0)))</f>
        <v/>
      </c>
      <c r="AT65" t="str">
        <f ca="1">IF($A43&gt;AT$34,"",IF(OFFSET(Tippabgabe!$DB$177,SUM(tipps!$A$34:AS$34)+tipps!$A43,0)&lt;0,"",OFFSET(Tippabgabe!$DB$177,SUM(tipps!$A$34:AS$34)+tipps!$A43,0)))</f>
        <v/>
      </c>
      <c r="AU65" t="str">
        <f ca="1">IF($A43&gt;AU$34,"",IF(OFFSET(Tippabgabe!$DB$177,SUM(tipps!$A$34:AT$34)+tipps!$A43,0)&lt;0,"",OFFSET(Tippabgabe!$DB$177,SUM(tipps!$A$34:AT$34)+tipps!$A43,0)))</f>
        <v/>
      </c>
      <c r="AV65" t="str">
        <f ca="1">IF($A43&gt;AV$34,"",IF(OFFSET(Tippabgabe!$DB$177,SUM(tipps!$A$34:AU$34)+tipps!$A43,0)&lt;0,"",OFFSET(Tippabgabe!$DB$177,SUM(tipps!$A$34:AU$34)+tipps!$A43,0)))</f>
        <v/>
      </c>
      <c r="AW65" t="str">
        <f ca="1">IF($A43&gt;AW$34,"",IF(OFFSET(Tippabgabe!$DB$177,SUM(tipps!$A$34:AV$34)+tipps!$A43,0)&lt;0,"",OFFSET(Tippabgabe!$DB$177,SUM(tipps!$A$34:AV$34)+tipps!$A43,0)))</f>
        <v/>
      </c>
      <c r="AX65" t="str">
        <f ca="1">IF($A43&gt;AX$34,"",IF(OFFSET(Tippabgabe!$DB$177,SUM(tipps!$A$34:AW$34)+tipps!$A43,0)&lt;0,"",OFFSET(Tippabgabe!$DB$177,SUM(tipps!$A$34:AW$34)+tipps!$A43,0)))</f>
        <v/>
      </c>
      <c r="AY65" t="str">
        <f ca="1">IF($A43&gt;AY$34,"",IF(OFFSET(Tippabgabe!$DB$177,SUM(tipps!$A$34:AX$34)+tipps!$A43,0)&lt;0,"",OFFSET(Tippabgabe!$DB$177,SUM(tipps!$A$34:AX$34)+tipps!$A43,0)))</f>
        <v/>
      </c>
      <c r="AZ65" t="str">
        <f ca="1">IF($A43&gt;AZ$34,"",IF(OFFSET(Tippabgabe!$DB$177,SUM(tipps!$A$34:AY$34)+tipps!$A43,0)&lt;0,"",OFFSET(Tippabgabe!$DB$177,SUM(tipps!$A$34:AY$34)+tipps!$A43,0)))</f>
        <v/>
      </c>
      <c r="BA65" t="str">
        <f ca="1">IF($A43&gt;BA$34,"",IF(OFFSET(Tippabgabe!$DB$177,SUM(tipps!$A$34:AZ$34)+tipps!$A43,0)&lt;0,"",OFFSET(Tippabgabe!$DB$177,SUM(tipps!$A$34:AZ$34)+tipps!$A43,0)))</f>
        <v/>
      </c>
      <c r="BB65" t="str">
        <f ca="1">IF($A43&gt;BB$34,"",IF(OFFSET(Tippabgabe!$DB$177,SUM(tipps!$A$34:BA$34)+tipps!$A43,0)&lt;0,"",OFFSET(Tippabgabe!$DB$177,SUM(tipps!$A$34:BA$34)+tipps!$A43,0)))</f>
        <v/>
      </c>
      <c r="BC65" t="str">
        <f ca="1">IF($A43&gt;BC$34,"",IF(OFFSET(Tippabgabe!$DB$177,SUM(tipps!$A$34:BB$34)+tipps!$A43,0)&lt;0,"",OFFSET(Tippabgabe!$DB$177,SUM(tipps!$A$34:BB$34)+tipps!$A43,0)))</f>
        <v/>
      </c>
      <c r="BD65" t="str">
        <f ca="1">IF($A43&gt;BD$34,"",IF(OFFSET(Tippabgabe!$DB$177,SUM(tipps!$A$34:BC$34)+tipps!$A43,0)&lt;0,"",OFFSET(Tippabgabe!$DB$177,SUM(tipps!$A$34:BC$34)+tipps!$A43,0)))</f>
        <v/>
      </c>
      <c r="BE65" t="str">
        <f ca="1">IF($A43&gt;BE$34,"",IF(OFFSET(Tippabgabe!$DB$177,SUM(tipps!$A$34:BD$34)+tipps!$A43,0)&lt;0,"",OFFSET(Tippabgabe!$DB$177,SUM(tipps!$A$34:BD$34)+tipps!$A43,0)))</f>
        <v/>
      </c>
      <c r="BF65" t="str">
        <f ca="1">IF($A43&gt;BF$34,"",IF(OFFSET(Tippabgabe!$DB$177,SUM(tipps!$A$34:BE$34)+tipps!$A43,0)&lt;0,"",OFFSET(Tippabgabe!$DB$177,SUM(tipps!$A$34:BE$34)+tipps!$A43,0)))</f>
        <v/>
      </c>
      <c r="BG65" t="str">
        <f ca="1">IF($A43&gt;BG$34,"",IF(OFFSET(Tippabgabe!$DB$177,SUM(tipps!$A$34:BF$34)+tipps!$A43,0)&lt;0,"",OFFSET(Tippabgabe!$DB$177,SUM(tipps!$A$34:BF$34)+tipps!$A43,0)))</f>
        <v/>
      </c>
      <c r="BH65" t="str">
        <f ca="1">IF($A43&gt;BH$34,"",IF(OFFSET(Tippabgabe!$DB$177,SUM(tipps!$A$34:BG$34)+tipps!$A43,0)&lt;0,"",OFFSET(Tippabgabe!$DB$177,SUM(tipps!$A$34:BG$34)+tipps!$A43,0)))</f>
        <v/>
      </c>
      <c r="BI65" t="str">
        <f ca="1">IF($A43&gt;BI$34,"",IF(OFFSET(Tippabgabe!$DB$177,SUM(tipps!$A$34:BH$34)+tipps!$A43,0)&lt;0,"",OFFSET(Tippabgabe!$DB$177,SUM(tipps!$A$34:BH$34)+tipps!$A43,0)))</f>
        <v/>
      </c>
      <c r="BJ65" t="str">
        <f ca="1">IF($A43&gt;BJ$34,"",IF(OFFSET(Tippabgabe!$DB$177,SUM(tipps!$A$34:BI$34)+tipps!$A43,0)&lt;0,"",OFFSET(Tippabgabe!$DB$177,SUM(tipps!$A$34:BI$34)+tipps!$A43,0)))</f>
        <v/>
      </c>
      <c r="BK65" t="str">
        <f ca="1">IF($A43&gt;BK$34,"",IF(OFFSET(Tippabgabe!$DB$177,SUM(tipps!$A$34:BJ$34)+tipps!$A43,0)&lt;0,"",OFFSET(Tippabgabe!$DB$177,SUM(tipps!$A$34:BJ$34)+tipps!$A43,0)))</f>
        <v/>
      </c>
      <c r="BL65" t="str">
        <f ca="1">IF($A43&gt;BL$34,"",IF(OFFSET(Tippabgabe!$DB$177,SUM(tipps!$A$34:BK$34)+tipps!$A43,0)&lt;0,"",OFFSET(Tippabgabe!$DB$177,SUM(tipps!$A$34:BK$34)+tipps!$A43,0)))</f>
        <v/>
      </c>
      <c r="BM65" t="str">
        <f ca="1">IF($A43&gt;BM$34,"",IF(OFFSET(Tippabgabe!$DB$177,SUM(tipps!$A$34:BL$34)+tipps!$A43,0)&lt;0,"",OFFSET(Tippabgabe!$DB$177,SUM(tipps!$A$34:BL$34)+tipps!$A43,0)))</f>
        <v/>
      </c>
      <c r="BN65" t="str">
        <f ca="1">IF($A43&gt;BN$34,"",IF(OFFSET(Tippabgabe!$DB$177,SUM(tipps!$A$34:BM$34)+tipps!$A43,0)&lt;0,"",OFFSET(Tippabgabe!$DB$177,SUM(tipps!$A$34:BM$34)+tipps!$A43,0)))</f>
        <v/>
      </c>
      <c r="BO65" t="str">
        <f ca="1">IF($A43&gt;BO$34,"",IF(OFFSET(Tippabgabe!$DB$177,SUM(tipps!$A$34:BN$34)+tipps!$A43,0)&lt;0,"",OFFSET(Tippabgabe!$DB$177,SUM(tipps!$A$34:BN$34)+tipps!$A43,0)))</f>
        <v/>
      </c>
      <c r="BP65" t="str">
        <f ca="1">IF($A43&gt;BP$34,"",IF(OFFSET(Tippabgabe!$DB$177,SUM(tipps!$A$34:BO$34)+tipps!$A43,0)&lt;0,"",OFFSET(Tippabgabe!$DB$177,SUM(tipps!$A$34:BO$34)+tipps!$A43,0)))</f>
        <v/>
      </c>
      <c r="BQ65" t="str">
        <f ca="1">IF($A43&gt;BQ$34,"",IF(OFFSET(Tippabgabe!$DB$177,SUM(tipps!$A$34:BP$34)+tipps!$A43,0)&lt;0,"",OFFSET(Tippabgabe!$DB$177,SUM(tipps!$A$34:BP$34)+tipps!$A43,0)))</f>
        <v/>
      </c>
      <c r="BR65" t="str">
        <f ca="1">IF($A43&gt;BR$34,"",IF(OFFSET(Tippabgabe!$DB$177,SUM(tipps!$A$34:BQ$34)+tipps!$A43,0)&lt;0,"",OFFSET(Tippabgabe!$DB$177,SUM(tipps!$A$34:BQ$34)+tipps!$A43,0)))</f>
        <v/>
      </c>
      <c r="BS65" t="str">
        <f ca="1">IF($A43&gt;BS$34,"",IF(OFFSET(Tippabgabe!$DB$177,SUM(tipps!$A$34:BR$34)+tipps!$A43,0)&lt;0,"",OFFSET(Tippabgabe!$DB$177,SUM(tipps!$A$34:BR$34)+tipps!$A43,0)))</f>
        <v/>
      </c>
      <c r="BT65" t="str">
        <f ca="1">IF($A43&gt;BT$34,"",IF(OFFSET(Tippabgabe!$DB$177,SUM(tipps!$A$34:BS$34)+tipps!$A43,0)&lt;0,"",OFFSET(Tippabgabe!$DB$177,SUM(tipps!$A$34:BS$34)+tipps!$A43,0)))</f>
        <v/>
      </c>
      <c r="BU65" t="str">
        <f ca="1">IF($A43&gt;BU$34,"",IF(OFFSET(Tippabgabe!$DB$177,SUM(tipps!$A$34:BT$34)+tipps!$A43,0)&lt;0,"",OFFSET(Tippabgabe!$DB$177,SUM(tipps!$A$34:BT$34)+tipps!$A43,0)))</f>
        <v/>
      </c>
      <c r="BV65" t="str">
        <f ca="1">IF($A43&gt;BV$34,"",IF(OFFSET(Tippabgabe!$DB$177,SUM(tipps!$A$34:BU$34)+tipps!$A43,0)&lt;0,"",OFFSET(Tippabgabe!$DB$177,SUM(tipps!$A$34:BU$34)+tipps!$A43,0)))</f>
        <v/>
      </c>
      <c r="BW65" t="str">
        <f ca="1">IF($A43&gt;BW$34,"",IF(OFFSET(Tippabgabe!$DB$177,SUM(tipps!$A$34:BV$34)+tipps!$A43,0)&lt;0,"",OFFSET(Tippabgabe!$DB$177,SUM(tipps!$A$34:BV$34)+tipps!$A43,0)))</f>
        <v/>
      </c>
    </row>
    <row r="66" spans="1:75" x14ac:dyDescent="0.2">
      <c r="A66">
        <v>9</v>
      </c>
      <c r="B66" t="str">
        <f ca="1">IF($A44&gt;B$34,"",IF(OFFSET(Tippabgabe!$DB$177,SUM(tipps!$A$34:A$34)+tipps!$A44,0)&lt;0,"",OFFSET(Tippabgabe!$DB$177,SUM(tipps!$A$34:A$34)+tipps!$A44,0)))</f>
        <v/>
      </c>
      <c r="C66" t="str">
        <f ca="1">IF($A44&gt;C$34,"",IF(OFFSET(Tippabgabe!$DB$177,SUM(tipps!$A$34:B$34)+tipps!$A44,0)&lt;0,"",OFFSET(Tippabgabe!$DB$177,SUM(tipps!$A$34:B$34)+tipps!$A44,0)))</f>
        <v/>
      </c>
      <c r="D66" t="str">
        <f ca="1">IF($A44&gt;D$34,"",IF(OFFSET(Tippabgabe!$DB$177,SUM(tipps!$A$34:C$34)+tipps!$A44,0)&lt;0,"",OFFSET(Tippabgabe!$DB$177,SUM(tipps!$A$34:C$34)+tipps!$A44,0)))</f>
        <v/>
      </c>
      <c r="E66" t="str">
        <f ca="1">IF($A44&gt;E$34,"",IF(OFFSET(Tippabgabe!$DB$177,SUM(tipps!$A$34:D$34)+tipps!$A44,0)&lt;0,"",OFFSET(Tippabgabe!$DB$177,SUM(tipps!$A$34:D$34)+tipps!$A44,0)))</f>
        <v/>
      </c>
      <c r="F66" t="str">
        <f ca="1">IF($A44&gt;F$34,"",IF(OFFSET(Tippabgabe!$DB$177,SUM(tipps!$A$34:E$34)+tipps!$A44,0)&lt;0,"",OFFSET(Tippabgabe!$DB$177,SUM(tipps!$A$34:E$34)+tipps!$A44,0)))</f>
        <v/>
      </c>
      <c r="G66" t="str">
        <f ca="1">IF($A44&gt;G$34,"",IF(OFFSET(Tippabgabe!$DB$177,SUM(tipps!$A$34:F$34)+tipps!$A44,0)&lt;0,"",OFFSET(Tippabgabe!$DB$177,SUM(tipps!$A$34:F$34)+tipps!$A44,0)))</f>
        <v/>
      </c>
      <c r="H66" t="str">
        <f ca="1">IF($A44&gt;H$34,"",IF(OFFSET(Tippabgabe!$DB$177,SUM(tipps!$A$34:G$34)+tipps!$A44,0)&lt;0,"",OFFSET(Tippabgabe!$DB$177,SUM(tipps!$A$34:G$34)+tipps!$A44,0)))</f>
        <v/>
      </c>
      <c r="I66" t="str">
        <f ca="1">IF($A44&gt;I$34,"",IF(OFFSET(Tippabgabe!$DB$177,SUM(tipps!$A$34:H$34)+tipps!$A44,0)&lt;0,"",OFFSET(Tippabgabe!$DB$177,SUM(tipps!$A$34:H$34)+tipps!$A44,0)))</f>
        <v/>
      </c>
      <c r="J66" t="str">
        <f ca="1">IF($A44&gt;J$34,"",IF(OFFSET(Tippabgabe!$DB$177,SUM(tipps!$A$34:I$34)+tipps!$A44,0)&lt;0,"",OFFSET(Tippabgabe!$DB$177,SUM(tipps!$A$34:I$34)+tipps!$A44,0)))</f>
        <v/>
      </c>
      <c r="K66">
        <f ca="1">IF($A44&gt;K$34,"",IF(OFFSET(Tippabgabe!$DB$177,SUM(tipps!$A$34:J$34)+tipps!$A44,0)&lt;0,"",OFFSET(Tippabgabe!$DB$177,SUM(tipps!$A$34:J$34)+tipps!$A44,0)))</f>
        <v>17</v>
      </c>
      <c r="L66" t="str">
        <f ca="1">IF($A44&gt;L$34,"",IF(OFFSET(Tippabgabe!$DB$177,SUM(tipps!$A$34:K$34)+tipps!$A44,0)&lt;0,"",OFFSET(Tippabgabe!$DB$177,SUM(tipps!$A$34:K$34)+tipps!$A44,0)))</f>
        <v/>
      </c>
      <c r="M66" t="str">
        <f ca="1">IF($A44&gt;M$34,"",IF(OFFSET(Tippabgabe!$DB$177,SUM(tipps!$A$34:L$34)+tipps!$A44,0)&lt;0,"",OFFSET(Tippabgabe!$DB$177,SUM(tipps!$A$34:L$34)+tipps!$A44,0)))</f>
        <v/>
      </c>
      <c r="N66" t="str">
        <f ca="1">IF($A44&gt;N$34,"",IF(OFFSET(Tippabgabe!$DB$177,SUM(tipps!$A$34:M$34)+tipps!$A44,0)&lt;0,"",OFFSET(Tippabgabe!$DB$177,SUM(tipps!$A$34:M$34)+tipps!$A44,0)))</f>
        <v/>
      </c>
      <c r="O66" t="str">
        <f ca="1">IF($A44&gt;O$34,"",IF(OFFSET(Tippabgabe!$DB$177,SUM(tipps!$A$34:N$34)+tipps!$A44,0)&lt;0,"",OFFSET(Tippabgabe!$DB$177,SUM(tipps!$A$34:N$34)+tipps!$A44,0)))</f>
        <v/>
      </c>
      <c r="P66" t="str">
        <f ca="1">IF($A44&gt;P$34,"",IF(OFFSET(Tippabgabe!$DB$177,SUM(tipps!$A$34:O$34)+tipps!$A44,0)&lt;0,"",OFFSET(Tippabgabe!$DB$177,SUM(tipps!$A$34:O$34)+tipps!$A44,0)))</f>
        <v/>
      </c>
      <c r="Q66" t="str">
        <f ca="1">IF($A44&gt;Q$34,"",IF(OFFSET(Tippabgabe!$DB$177,SUM(tipps!$A$34:P$34)+tipps!$A44,0)&lt;0,"",OFFSET(Tippabgabe!$DB$177,SUM(tipps!$A$34:P$34)+tipps!$A44,0)))</f>
        <v/>
      </c>
      <c r="R66" t="str">
        <f ca="1">IF($A44&gt;R$34,"",IF(OFFSET(Tippabgabe!$DB$177,SUM(tipps!$A$34:Q$34)+tipps!$A44,0)&lt;0,"",OFFSET(Tippabgabe!$DB$177,SUM(tipps!$A$34:Q$34)+tipps!$A44,0)))</f>
        <v/>
      </c>
      <c r="S66" t="str">
        <f ca="1">IF($A44&gt;S$34,"",IF(OFFSET(Tippabgabe!$DB$177,SUM(tipps!$A$34:R$34)+tipps!$A44,0)&lt;0,"",OFFSET(Tippabgabe!$DB$177,SUM(tipps!$A$34:R$34)+tipps!$A44,0)))</f>
        <v/>
      </c>
      <c r="T66" t="str">
        <f ca="1">IF($A44&gt;T$34,"",IF(OFFSET(Tippabgabe!$DB$177,SUM(tipps!$A$34:S$34)+tipps!$A44,0)&lt;0,"",OFFSET(Tippabgabe!$DB$177,SUM(tipps!$A$34:S$34)+tipps!$A44,0)))</f>
        <v/>
      </c>
      <c r="U66" t="str">
        <f ca="1">IF($A44&gt;U$34,"",IF(OFFSET(Tippabgabe!$DB$177,SUM(tipps!$A$34:T$34)+tipps!$A44,0)&lt;0,"",OFFSET(Tippabgabe!$DB$177,SUM(tipps!$A$34:T$34)+tipps!$A44,0)))</f>
        <v/>
      </c>
      <c r="V66" t="str">
        <f ca="1">IF($A44&gt;V$34,"",IF(OFFSET(Tippabgabe!$DB$177,SUM(tipps!$A$34:U$34)+tipps!$A44,0)&lt;0,"",OFFSET(Tippabgabe!$DB$177,SUM(tipps!$A$34:U$34)+tipps!$A44,0)))</f>
        <v/>
      </c>
      <c r="W66" t="str">
        <f ca="1">IF($A44&gt;W$34,"",IF(OFFSET(Tippabgabe!$DB$177,SUM(tipps!$A$34:V$34)+tipps!$A44,0)&lt;0,"",OFFSET(Tippabgabe!$DB$177,SUM(tipps!$A$34:V$34)+tipps!$A44,0)))</f>
        <v/>
      </c>
      <c r="X66" t="str">
        <f ca="1">IF($A44&gt;X$34,"",IF(OFFSET(Tippabgabe!$DB$177,SUM(tipps!$A$34:W$34)+tipps!$A44,0)&lt;0,"",OFFSET(Tippabgabe!$DB$177,SUM(tipps!$A$34:W$34)+tipps!$A44,0)))</f>
        <v/>
      </c>
      <c r="Y66" t="str">
        <f ca="1">IF($A44&gt;Y$34,"",IF(OFFSET(Tippabgabe!$DB$177,SUM(tipps!$A$34:X$34)+tipps!$A44,0)&lt;0,"",OFFSET(Tippabgabe!$DB$177,SUM(tipps!$A$34:X$34)+tipps!$A44,0)))</f>
        <v/>
      </c>
      <c r="Z66" t="str">
        <f ca="1">IF($A44&gt;Z$34,"",IF(OFFSET(Tippabgabe!$DB$177,SUM(tipps!$A$34:Y$34)+tipps!$A44,0)&lt;0,"",OFFSET(Tippabgabe!$DB$177,SUM(tipps!$A$34:Y$34)+tipps!$A44,0)))</f>
        <v/>
      </c>
      <c r="AA66" t="str">
        <f ca="1">IF($A44&gt;AA$34,"",IF(OFFSET(Tippabgabe!$DB$177,SUM(tipps!$A$34:Z$34)+tipps!$A44,0)&lt;0,"",OFFSET(Tippabgabe!$DB$177,SUM(tipps!$A$34:Z$34)+tipps!$A44,0)))</f>
        <v/>
      </c>
      <c r="AB66" t="str">
        <f ca="1">IF($A44&gt;AB$34,"",IF(OFFSET(Tippabgabe!$DB$177,SUM(tipps!$A$34:AA$34)+tipps!$A44,0)&lt;0,"",OFFSET(Tippabgabe!$DB$177,SUM(tipps!$A$34:AA$34)+tipps!$A44,0)))</f>
        <v/>
      </c>
      <c r="AC66" t="str">
        <f ca="1">IF($A44&gt;AC$34,"",IF(OFFSET(Tippabgabe!$DB$177,SUM(tipps!$A$34:AB$34)+tipps!$A44,0)&lt;0,"",OFFSET(Tippabgabe!$DB$177,SUM(tipps!$A$34:AB$34)+tipps!$A44,0)))</f>
        <v/>
      </c>
      <c r="AD66" t="str">
        <f ca="1">IF($A44&gt;AD$34,"",IF(OFFSET(Tippabgabe!$DB$177,SUM(tipps!$A$34:AC$34)+tipps!$A44,0)&lt;0,"",OFFSET(Tippabgabe!$DB$177,SUM(tipps!$A$34:AC$34)+tipps!$A44,0)))</f>
        <v/>
      </c>
      <c r="AE66" t="str">
        <f ca="1">IF($A44&gt;AE$34,"",IF(OFFSET(Tippabgabe!$DB$177,SUM(tipps!$A$34:AD$34)+tipps!$A44,0)&lt;0,"",OFFSET(Tippabgabe!$DB$177,SUM(tipps!$A$34:AD$34)+tipps!$A44,0)))</f>
        <v/>
      </c>
      <c r="AF66" t="str">
        <f ca="1">IF($A44&gt;AF$34,"",IF(OFFSET(Tippabgabe!$DB$177,SUM(tipps!$A$34:AE$34)+tipps!$A44,0)&lt;0,"",OFFSET(Tippabgabe!$DB$177,SUM(tipps!$A$34:AE$34)+tipps!$A44,0)))</f>
        <v/>
      </c>
      <c r="AG66" t="str">
        <f ca="1">IF($A44&gt;AG$34,"",IF(OFFSET(Tippabgabe!$DB$177,SUM(tipps!$A$34:AF$34)+tipps!$A44,0)&lt;0,"",OFFSET(Tippabgabe!$DB$177,SUM(tipps!$A$34:AF$34)+tipps!$A44,0)))</f>
        <v/>
      </c>
      <c r="AH66" t="str">
        <f ca="1">IF($A44&gt;AH$34,"",IF(OFFSET(Tippabgabe!$DB$177,SUM(tipps!$A$34:AG$34)+tipps!$A44,0)&lt;0,"",OFFSET(Tippabgabe!$DB$177,SUM(tipps!$A$34:AG$34)+tipps!$A44,0)))</f>
        <v/>
      </c>
      <c r="AI66" t="str">
        <f ca="1">IF($A44&gt;AI$34,"",IF(OFFSET(Tippabgabe!$DB$177,SUM(tipps!$A$34:AH$34)+tipps!$A44,0)&lt;0,"",OFFSET(Tippabgabe!$DB$177,SUM(tipps!$A$34:AH$34)+tipps!$A44,0)))</f>
        <v/>
      </c>
      <c r="AJ66" t="str">
        <f ca="1">IF($A44&gt;AJ$34,"",IF(OFFSET(Tippabgabe!$DB$177,SUM(tipps!$A$34:AI$34)+tipps!$A44,0)&lt;0,"",OFFSET(Tippabgabe!$DB$177,SUM(tipps!$A$34:AI$34)+tipps!$A44,0)))</f>
        <v/>
      </c>
      <c r="AK66" t="str">
        <f ca="1">IF($A44&gt;AK$34,"",IF(OFFSET(Tippabgabe!$DB$177,SUM(tipps!$A$34:AJ$34)+tipps!$A44,0)&lt;0,"",OFFSET(Tippabgabe!$DB$177,SUM(tipps!$A$34:AJ$34)+tipps!$A44,0)))</f>
        <v/>
      </c>
      <c r="AL66" t="str">
        <f ca="1">IF($A44&gt;AL$34,"",IF(OFFSET(Tippabgabe!$DB$177,SUM(tipps!$A$34:AK$34)+tipps!$A44,0)&lt;0,"",OFFSET(Tippabgabe!$DB$177,SUM(tipps!$A$34:AK$34)+tipps!$A44,0)))</f>
        <v/>
      </c>
      <c r="AM66" t="str">
        <f ca="1">IF($A44&gt;AM$34,"",IF(OFFSET(Tippabgabe!$DB$177,SUM(tipps!$A$34:AL$34)+tipps!$A44,0)&lt;0,"",OFFSET(Tippabgabe!$DB$177,SUM(tipps!$A$34:AL$34)+tipps!$A44,0)))</f>
        <v/>
      </c>
      <c r="AN66" t="str">
        <f ca="1">IF($A44&gt;AN$34,"",IF(OFFSET(Tippabgabe!$DB$177,SUM(tipps!$A$34:AM$34)+tipps!$A44,0)&lt;0,"",OFFSET(Tippabgabe!$DB$177,SUM(tipps!$A$34:AM$34)+tipps!$A44,0)))</f>
        <v/>
      </c>
      <c r="AO66" t="str">
        <f ca="1">IF($A44&gt;AO$34,"",IF(OFFSET(Tippabgabe!$DB$177,SUM(tipps!$A$34:AN$34)+tipps!$A44,0)&lt;0,"",OFFSET(Tippabgabe!$DB$177,SUM(tipps!$A$34:AN$34)+tipps!$A44,0)))</f>
        <v/>
      </c>
      <c r="AP66" t="str">
        <f ca="1">IF($A44&gt;AP$34,"",IF(OFFSET(Tippabgabe!$DB$177,SUM(tipps!$A$34:AO$34)+tipps!$A44,0)&lt;0,"",OFFSET(Tippabgabe!$DB$177,SUM(tipps!$A$34:AO$34)+tipps!$A44,0)))</f>
        <v/>
      </c>
      <c r="AQ66" t="str">
        <f ca="1">IF($A44&gt;AQ$34,"",IF(OFFSET(Tippabgabe!$DB$177,SUM(tipps!$A$34:AP$34)+tipps!$A44,0)&lt;0,"",OFFSET(Tippabgabe!$DB$177,SUM(tipps!$A$34:AP$34)+tipps!$A44,0)))</f>
        <v/>
      </c>
      <c r="AR66" t="str">
        <f ca="1">IF($A44&gt;AR$34,"",IF(OFFSET(Tippabgabe!$DB$177,SUM(tipps!$A$34:AQ$34)+tipps!$A44,0)&lt;0,"",OFFSET(Tippabgabe!$DB$177,SUM(tipps!$A$34:AQ$34)+tipps!$A44,0)))</f>
        <v/>
      </c>
      <c r="AS66" t="str">
        <f ca="1">IF($A44&gt;AS$34,"",IF(OFFSET(Tippabgabe!$DB$177,SUM(tipps!$A$34:AR$34)+tipps!$A44,0)&lt;0,"",OFFSET(Tippabgabe!$DB$177,SUM(tipps!$A$34:AR$34)+tipps!$A44,0)))</f>
        <v/>
      </c>
      <c r="AT66" t="str">
        <f ca="1">IF($A44&gt;AT$34,"",IF(OFFSET(Tippabgabe!$DB$177,SUM(tipps!$A$34:AS$34)+tipps!$A44,0)&lt;0,"",OFFSET(Tippabgabe!$DB$177,SUM(tipps!$A$34:AS$34)+tipps!$A44,0)))</f>
        <v/>
      </c>
      <c r="AU66" t="str">
        <f ca="1">IF($A44&gt;AU$34,"",IF(OFFSET(Tippabgabe!$DB$177,SUM(tipps!$A$34:AT$34)+tipps!$A44,0)&lt;0,"",OFFSET(Tippabgabe!$DB$177,SUM(tipps!$A$34:AT$34)+tipps!$A44,0)))</f>
        <v/>
      </c>
      <c r="AV66" t="str">
        <f ca="1">IF($A44&gt;AV$34,"",IF(OFFSET(Tippabgabe!$DB$177,SUM(tipps!$A$34:AU$34)+tipps!$A44,0)&lt;0,"",OFFSET(Tippabgabe!$DB$177,SUM(tipps!$A$34:AU$34)+tipps!$A44,0)))</f>
        <v/>
      </c>
      <c r="AW66" t="str">
        <f ca="1">IF($A44&gt;AW$34,"",IF(OFFSET(Tippabgabe!$DB$177,SUM(tipps!$A$34:AV$34)+tipps!$A44,0)&lt;0,"",OFFSET(Tippabgabe!$DB$177,SUM(tipps!$A$34:AV$34)+tipps!$A44,0)))</f>
        <v/>
      </c>
      <c r="AX66" t="str">
        <f ca="1">IF($A44&gt;AX$34,"",IF(OFFSET(Tippabgabe!$DB$177,SUM(tipps!$A$34:AW$34)+tipps!$A44,0)&lt;0,"",OFFSET(Tippabgabe!$DB$177,SUM(tipps!$A$34:AW$34)+tipps!$A44,0)))</f>
        <v/>
      </c>
      <c r="AY66" t="str">
        <f ca="1">IF($A44&gt;AY$34,"",IF(OFFSET(Tippabgabe!$DB$177,SUM(tipps!$A$34:AX$34)+tipps!$A44,0)&lt;0,"",OFFSET(Tippabgabe!$DB$177,SUM(tipps!$A$34:AX$34)+tipps!$A44,0)))</f>
        <v/>
      </c>
      <c r="AZ66" t="str">
        <f ca="1">IF($A44&gt;AZ$34,"",IF(OFFSET(Tippabgabe!$DB$177,SUM(tipps!$A$34:AY$34)+tipps!$A44,0)&lt;0,"",OFFSET(Tippabgabe!$DB$177,SUM(tipps!$A$34:AY$34)+tipps!$A44,0)))</f>
        <v/>
      </c>
      <c r="BA66" t="str">
        <f ca="1">IF($A44&gt;BA$34,"",IF(OFFSET(Tippabgabe!$DB$177,SUM(tipps!$A$34:AZ$34)+tipps!$A44,0)&lt;0,"",OFFSET(Tippabgabe!$DB$177,SUM(tipps!$A$34:AZ$34)+tipps!$A44,0)))</f>
        <v/>
      </c>
      <c r="BB66" t="str">
        <f ca="1">IF($A44&gt;BB$34,"",IF(OFFSET(Tippabgabe!$DB$177,SUM(tipps!$A$34:BA$34)+tipps!$A44,0)&lt;0,"",OFFSET(Tippabgabe!$DB$177,SUM(tipps!$A$34:BA$34)+tipps!$A44,0)))</f>
        <v/>
      </c>
      <c r="BC66" t="str">
        <f ca="1">IF($A44&gt;BC$34,"",IF(OFFSET(Tippabgabe!$DB$177,SUM(tipps!$A$34:BB$34)+tipps!$A44,0)&lt;0,"",OFFSET(Tippabgabe!$DB$177,SUM(tipps!$A$34:BB$34)+tipps!$A44,0)))</f>
        <v/>
      </c>
      <c r="BD66" t="str">
        <f ca="1">IF($A44&gt;BD$34,"",IF(OFFSET(Tippabgabe!$DB$177,SUM(tipps!$A$34:BC$34)+tipps!$A44,0)&lt;0,"",OFFSET(Tippabgabe!$DB$177,SUM(tipps!$A$34:BC$34)+tipps!$A44,0)))</f>
        <v/>
      </c>
      <c r="BE66" t="str">
        <f ca="1">IF($A44&gt;BE$34,"",IF(OFFSET(Tippabgabe!$DB$177,SUM(tipps!$A$34:BD$34)+tipps!$A44,0)&lt;0,"",OFFSET(Tippabgabe!$DB$177,SUM(tipps!$A$34:BD$34)+tipps!$A44,0)))</f>
        <v/>
      </c>
      <c r="BF66" t="str">
        <f ca="1">IF($A44&gt;BF$34,"",IF(OFFSET(Tippabgabe!$DB$177,SUM(tipps!$A$34:BE$34)+tipps!$A44,0)&lt;0,"",OFFSET(Tippabgabe!$DB$177,SUM(tipps!$A$34:BE$34)+tipps!$A44,0)))</f>
        <v/>
      </c>
      <c r="BG66" t="str">
        <f ca="1">IF($A44&gt;BG$34,"",IF(OFFSET(Tippabgabe!$DB$177,SUM(tipps!$A$34:BF$34)+tipps!$A44,0)&lt;0,"",OFFSET(Tippabgabe!$DB$177,SUM(tipps!$A$34:BF$34)+tipps!$A44,0)))</f>
        <v/>
      </c>
      <c r="BH66" t="str">
        <f ca="1">IF($A44&gt;BH$34,"",IF(OFFSET(Tippabgabe!$DB$177,SUM(tipps!$A$34:BG$34)+tipps!$A44,0)&lt;0,"",OFFSET(Tippabgabe!$DB$177,SUM(tipps!$A$34:BG$34)+tipps!$A44,0)))</f>
        <v/>
      </c>
      <c r="BI66" t="str">
        <f ca="1">IF($A44&gt;BI$34,"",IF(OFFSET(Tippabgabe!$DB$177,SUM(tipps!$A$34:BH$34)+tipps!$A44,0)&lt;0,"",OFFSET(Tippabgabe!$DB$177,SUM(tipps!$A$34:BH$34)+tipps!$A44,0)))</f>
        <v/>
      </c>
      <c r="BJ66" t="str">
        <f ca="1">IF($A44&gt;BJ$34,"",IF(OFFSET(Tippabgabe!$DB$177,SUM(tipps!$A$34:BI$34)+tipps!$A44,0)&lt;0,"",OFFSET(Tippabgabe!$DB$177,SUM(tipps!$A$34:BI$34)+tipps!$A44,0)))</f>
        <v/>
      </c>
      <c r="BK66" t="str">
        <f ca="1">IF($A44&gt;BK$34,"",IF(OFFSET(Tippabgabe!$DB$177,SUM(tipps!$A$34:BJ$34)+tipps!$A44,0)&lt;0,"",OFFSET(Tippabgabe!$DB$177,SUM(tipps!$A$34:BJ$34)+tipps!$A44,0)))</f>
        <v/>
      </c>
      <c r="BL66" t="str">
        <f ca="1">IF($A44&gt;BL$34,"",IF(OFFSET(Tippabgabe!$DB$177,SUM(tipps!$A$34:BK$34)+tipps!$A44,0)&lt;0,"",OFFSET(Tippabgabe!$DB$177,SUM(tipps!$A$34:BK$34)+tipps!$A44,0)))</f>
        <v/>
      </c>
      <c r="BM66" t="str">
        <f ca="1">IF($A44&gt;BM$34,"",IF(OFFSET(Tippabgabe!$DB$177,SUM(tipps!$A$34:BL$34)+tipps!$A44,0)&lt;0,"",OFFSET(Tippabgabe!$DB$177,SUM(tipps!$A$34:BL$34)+tipps!$A44,0)))</f>
        <v/>
      </c>
      <c r="BN66" t="str">
        <f ca="1">IF($A44&gt;BN$34,"",IF(OFFSET(Tippabgabe!$DB$177,SUM(tipps!$A$34:BM$34)+tipps!$A44,0)&lt;0,"",OFFSET(Tippabgabe!$DB$177,SUM(tipps!$A$34:BM$34)+tipps!$A44,0)))</f>
        <v/>
      </c>
      <c r="BO66" t="str">
        <f ca="1">IF($A44&gt;BO$34,"",IF(OFFSET(Tippabgabe!$DB$177,SUM(tipps!$A$34:BN$34)+tipps!$A44,0)&lt;0,"",OFFSET(Tippabgabe!$DB$177,SUM(tipps!$A$34:BN$34)+tipps!$A44,0)))</f>
        <v/>
      </c>
      <c r="BP66" t="str">
        <f ca="1">IF($A44&gt;BP$34,"",IF(OFFSET(Tippabgabe!$DB$177,SUM(tipps!$A$34:BO$34)+tipps!$A44,0)&lt;0,"",OFFSET(Tippabgabe!$DB$177,SUM(tipps!$A$34:BO$34)+tipps!$A44,0)))</f>
        <v/>
      </c>
      <c r="BQ66" t="str">
        <f ca="1">IF($A44&gt;BQ$34,"",IF(OFFSET(Tippabgabe!$DB$177,SUM(tipps!$A$34:BP$34)+tipps!$A44,0)&lt;0,"",OFFSET(Tippabgabe!$DB$177,SUM(tipps!$A$34:BP$34)+tipps!$A44,0)))</f>
        <v/>
      </c>
      <c r="BR66" t="str">
        <f ca="1">IF($A44&gt;BR$34,"",IF(OFFSET(Tippabgabe!$DB$177,SUM(tipps!$A$34:BQ$34)+tipps!$A44,0)&lt;0,"",OFFSET(Tippabgabe!$DB$177,SUM(tipps!$A$34:BQ$34)+tipps!$A44,0)))</f>
        <v/>
      </c>
      <c r="BS66" t="str">
        <f ca="1">IF($A44&gt;BS$34,"",IF(OFFSET(Tippabgabe!$DB$177,SUM(tipps!$A$34:BR$34)+tipps!$A44,0)&lt;0,"",OFFSET(Tippabgabe!$DB$177,SUM(tipps!$A$34:BR$34)+tipps!$A44,0)))</f>
        <v/>
      </c>
      <c r="BT66" t="str">
        <f ca="1">IF($A44&gt;BT$34,"",IF(OFFSET(Tippabgabe!$DB$177,SUM(tipps!$A$34:BS$34)+tipps!$A44,0)&lt;0,"",OFFSET(Tippabgabe!$DB$177,SUM(tipps!$A$34:BS$34)+tipps!$A44,0)))</f>
        <v/>
      </c>
      <c r="BU66" t="str">
        <f ca="1">IF($A44&gt;BU$34,"",IF(OFFSET(Tippabgabe!$DB$177,SUM(tipps!$A$34:BT$34)+tipps!$A44,0)&lt;0,"",OFFSET(Tippabgabe!$DB$177,SUM(tipps!$A$34:BT$34)+tipps!$A44,0)))</f>
        <v/>
      </c>
      <c r="BV66" t="str">
        <f ca="1">IF($A44&gt;BV$34,"",IF(OFFSET(Tippabgabe!$DB$177,SUM(tipps!$A$34:BU$34)+tipps!$A44,0)&lt;0,"",OFFSET(Tippabgabe!$DB$177,SUM(tipps!$A$34:BU$34)+tipps!$A44,0)))</f>
        <v/>
      </c>
      <c r="BW66" t="str">
        <f ca="1">IF($A44&gt;BW$34,"",IF(OFFSET(Tippabgabe!$DB$177,SUM(tipps!$A$34:BV$34)+tipps!$A44,0)&lt;0,"",OFFSET(Tippabgabe!$DB$177,SUM(tipps!$A$34:BV$34)+tipps!$A44,0)))</f>
        <v/>
      </c>
    </row>
    <row r="67" spans="1:75" x14ac:dyDescent="0.2">
      <c r="A67">
        <v>10</v>
      </c>
      <c r="B67" t="str">
        <f ca="1">IF($A45&gt;B$34,"",IF(OFFSET(Tippabgabe!$DB$177,SUM(tipps!$A$34:A$34)+tipps!$A45,0)&lt;0,"",OFFSET(Tippabgabe!$DB$177,SUM(tipps!$A$34:A$34)+tipps!$A45,0)))</f>
        <v/>
      </c>
      <c r="C67" t="str">
        <f ca="1">IF($A45&gt;C$34,"",IF(OFFSET(Tippabgabe!$DB$177,SUM(tipps!$A$34:B$34)+tipps!$A45,0)&lt;0,"",OFFSET(Tippabgabe!$DB$177,SUM(tipps!$A$34:B$34)+tipps!$A45,0)))</f>
        <v/>
      </c>
      <c r="D67" t="str">
        <f ca="1">IF($A45&gt;D$34,"",IF(OFFSET(Tippabgabe!$DB$177,SUM(tipps!$A$34:C$34)+tipps!$A45,0)&lt;0,"",OFFSET(Tippabgabe!$DB$177,SUM(tipps!$A$34:C$34)+tipps!$A45,0)))</f>
        <v/>
      </c>
      <c r="E67" t="str">
        <f ca="1">IF($A45&gt;E$34,"",IF(OFFSET(Tippabgabe!$DB$177,SUM(tipps!$A$34:D$34)+tipps!$A45,0)&lt;0,"",OFFSET(Tippabgabe!$DB$177,SUM(tipps!$A$34:D$34)+tipps!$A45,0)))</f>
        <v/>
      </c>
      <c r="F67" t="str">
        <f ca="1">IF($A45&gt;F$34,"",IF(OFFSET(Tippabgabe!$DB$177,SUM(tipps!$A$34:E$34)+tipps!$A45,0)&lt;0,"",OFFSET(Tippabgabe!$DB$177,SUM(tipps!$A$34:E$34)+tipps!$A45,0)))</f>
        <v/>
      </c>
      <c r="G67" t="str">
        <f ca="1">IF($A45&gt;G$34,"",IF(OFFSET(Tippabgabe!$DB$177,SUM(tipps!$A$34:F$34)+tipps!$A45,0)&lt;0,"",OFFSET(Tippabgabe!$DB$177,SUM(tipps!$A$34:F$34)+tipps!$A45,0)))</f>
        <v/>
      </c>
      <c r="H67" t="str">
        <f ca="1">IF($A45&gt;H$34,"",IF(OFFSET(Tippabgabe!$DB$177,SUM(tipps!$A$34:G$34)+tipps!$A45,0)&lt;0,"",OFFSET(Tippabgabe!$DB$177,SUM(tipps!$A$34:G$34)+tipps!$A45,0)))</f>
        <v/>
      </c>
      <c r="I67" t="str">
        <f ca="1">IF($A45&gt;I$34,"",IF(OFFSET(Tippabgabe!$DB$177,SUM(tipps!$A$34:H$34)+tipps!$A45,0)&lt;0,"",OFFSET(Tippabgabe!$DB$177,SUM(tipps!$A$34:H$34)+tipps!$A45,0)))</f>
        <v/>
      </c>
      <c r="J67" t="str">
        <f ca="1">IF($A45&gt;J$34,"",IF(OFFSET(Tippabgabe!$DB$177,SUM(tipps!$A$34:I$34)+tipps!$A45,0)&lt;0,"",OFFSET(Tippabgabe!$DB$177,SUM(tipps!$A$34:I$34)+tipps!$A45,0)))</f>
        <v/>
      </c>
      <c r="K67">
        <f ca="1">IF($A45&gt;K$34,"",IF(OFFSET(Tippabgabe!$DB$177,SUM(tipps!$A$34:J$34)+tipps!$A45,0)&lt;0,"",OFFSET(Tippabgabe!$DB$177,SUM(tipps!$A$34:J$34)+tipps!$A45,0)))</f>
        <v>18</v>
      </c>
      <c r="L67" t="str">
        <f ca="1">IF($A45&gt;L$34,"",IF(OFFSET(Tippabgabe!$DB$177,SUM(tipps!$A$34:K$34)+tipps!$A45,0)&lt;0,"",OFFSET(Tippabgabe!$DB$177,SUM(tipps!$A$34:K$34)+tipps!$A45,0)))</f>
        <v/>
      </c>
      <c r="M67" t="str">
        <f ca="1">IF($A45&gt;M$34,"",IF(OFFSET(Tippabgabe!$DB$177,SUM(tipps!$A$34:L$34)+tipps!$A45,0)&lt;0,"",OFFSET(Tippabgabe!$DB$177,SUM(tipps!$A$34:L$34)+tipps!$A45,0)))</f>
        <v/>
      </c>
      <c r="N67" t="str">
        <f ca="1">IF($A45&gt;N$34,"",IF(OFFSET(Tippabgabe!$DB$177,SUM(tipps!$A$34:M$34)+tipps!$A45,0)&lt;0,"",OFFSET(Tippabgabe!$DB$177,SUM(tipps!$A$34:M$34)+tipps!$A45,0)))</f>
        <v/>
      </c>
      <c r="O67" t="str">
        <f ca="1">IF($A45&gt;O$34,"",IF(OFFSET(Tippabgabe!$DB$177,SUM(tipps!$A$34:N$34)+tipps!$A45,0)&lt;0,"",OFFSET(Tippabgabe!$DB$177,SUM(tipps!$A$34:N$34)+tipps!$A45,0)))</f>
        <v/>
      </c>
      <c r="P67" t="str">
        <f ca="1">IF($A45&gt;P$34,"",IF(OFFSET(Tippabgabe!$DB$177,SUM(tipps!$A$34:O$34)+tipps!$A45,0)&lt;0,"",OFFSET(Tippabgabe!$DB$177,SUM(tipps!$A$34:O$34)+tipps!$A45,0)))</f>
        <v/>
      </c>
      <c r="Q67" t="str">
        <f ca="1">IF($A45&gt;Q$34,"",IF(OFFSET(Tippabgabe!$DB$177,SUM(tipps!$A$34:P$34)+tipps!$A45,0)&lt;0,"",OFFSET(Tippabgabe!$DB$177,SUM(tipps!$A$34:P$34)+tipps!$A45,0)))</f>
        <v/>
      </c>
      <c r="R67" t="str">
        <f ca="1">IF($A45&gt;R$34,"",IF(OFFSET(Tippabgabe!$DB$177,SUM(tipps!$A$34:Q$34)+tipps!$A45,0)&lt;0,"",OFFSET(Tippabgabe!$DB$177,SUM(tipps!$A$34:Q$34)+tipps!$A45,0)))</f>
        <v/>
      </c>
      <c r="S67" t="str">
        <f ca="1">IF($A45&gt;S$34,"",IF(OFFSET(Tippabgabe!$DB$177,SUM(tipps!$A$34:R$34)+tipps!$A45,0)&lt;0,"",OFFSET(Tippabgabe!$DB$177,SUM(tipps!$A$34:R$34)+tipps!$A45,0)))</f>
        <v/>
      </c>
      <c r="T67" t="str">
        <f ca="1">IF($A45&gt;T$34,"",IF(OFFSET(Tippabgabe!$DB$177,SUM(tipps!$A$34:S$34)+tipps!$A45,0)&lt;0,"",OFFSET(Tippabgabe!$DB$177,SUM(tipps!$A$34:S$34)+tipps!$A45,0)))</f>
        <v/>
      </c>
      <c r="U67" t="str">
        <f ca="1">IF($A45&gt;U$34,"",IF(OFFSET(Tippabgabe!$DB$177,SUM(tipps!$A$34:T$34)+tipps!$A45,0)&lt;0,"",OFFSET(Tippabgabe!$DB$177,SUM(tipps!$A$34:T$34)+tipps!$A45,0)))</f>
        <v/>
      </c>
      <c r="V67" t="str">
        <f ca="1">IF($A45&gt;V$34,"",IF(OFFSET(Tippabgabe!$DB$177,SUM(tipps!$A$34:U$34)+tipps!$A45,0)&lt;0,"",OFFSET(Tippabgabe!$DB$177,SUM(tipps!$A$34:U$34)+tipps!$A45,0)))</f>
        <v/>
      </c>
      <c r="W67" t="str">
        <f ca="1">IF($A45&gt;W$34,"",IF(OFFSET(Tippabgabe!$DB$177,SUM(tipps!$A$34:V$34)+tipps!$A45,0)&lt;0,"",OFFSET(Tippabgabe!$DB$177,SUM(tipps!$A$34:V$34)+tipps!$A45,0)))</f>
        <v/>
      </c>
      <c r="X67" t="str">
        <f ca="1">IF($A45&gt;X$34,"",IF(OFFSET(Tippabgabe!$DB$177,SUM(tipps!$A$34:W$34)+tipps!$A45,0)&lt;0,"",OFFSET(Tippabgabe!$DB$177,SUM(tipps!$A$34:W$34)+tipps!$A45,0)))</f>
        <v/>
      </c>
      <c r="Y67" t="str">
        <f ca="1">IF($A45&gt;Y$34,"",IF(OFFSET(Tippabgabe!$DB$177,SUM(tipps!$A$34:X$34)+tipps!$A45,0)&lt;0,"",OFFSET(Tippabgabe!$DB$177,SUM(tipps!$A$34:X$34)+tipps!$A45,0)))</f>
        <v/>
      </c>
      <c r="Z67" t="str">
        <f ca="1">IF($A45&gt;Z$34,"",IF(OFFSET(Tippabgabe!$DB$177,SUM(tipps!$A$34:Y$34)+tipps!$A45,0)&lt;0,"",OFFSET(Tippabgabe!$DB$177,SUM(tipps!$A$34:Y$34)+tipps!$A45,0)))</f>
        <v/>
      </c>
      <c r="AA67" t="str">
        <f ca="1">IF($A45&gt;AA$34,"",IF(OFFSET(Tippabgabe!$DB$177,SUM(tipps!$A$34:Z$34)+tipps!$A45,0)&lt;0,"",OFFSET(Tippabgabe!$DB$177,SUM(tipps!$A$34:Z$34)+tipps!$A45,0)))</f>
        <v/>
      </c>
      <c r="AB67" t="str">
        <f ca="1">IF($A45&gt;AB$34,"",IF(OFFSET(Tippabgabe!$DB$177,SUM(tipps!$A$34:AA$34)+tipps!$A45,0)&lt;0,"",OFFSET(Tippabgabe!$DB$177,SUM(tipps!$A$34:AA$34)+tipps!$A45,0)))</f>
        <v/>
      </c>
      <c r="AC67" t="str">
        <f ca="1">IF($A45&gt;AC$34,"",IF(OFFSET(Tippabgabe!$DB$177,SUM(tipps!$A$34:AB$34)+tipps!$A45,0)&lt;0,"",OFFSET(Tippabgabe!$DB$177,SUM(tipps!$A$34:AB$34)+tipps!$A45,0)))</f>
        <v/>
      </c>
      <c r="AD67" t="str">
        <f ca="1">IF($A45&gt;AD$34,"",IF(OFFSET(Tippabgabe!$DB$177,SUM(tipps!$A$34:AC$34)+tipps!$A45,0)&lt;0,"",OFFSET(Tippabgabe!$DB$177,SUM(tipps!$A$34:AC$34)+tipps!$A45,0)))</f>
        <v/>
      </c>
      <c r="AE67" t="str">
        <f ca="1">IF($A45&gt;AE$34,"",IF(OFFSET(Tippabgabe!$DB$177,SUM(tipps!$A$34:AD$34)+tipps!$A45,0)&lt;0,"",OFFSET(Tippabgabe!$DB$177,SUM(tipps!$A$34:AD$34)+tipps!$A45,0)))</f>
        <v/>
      </c>
      <c r="AF67" t="str">
        <f ca="1">IF($A45&gt;AF$34,"",IF(OFFSET(Tippabgabe!$DB$177,SUM(tipps!$A$34:AE$34)+tipps!$A45,0)&lt;0,"",OFFSET(Tippabgabe!$DB$177,SUM(tipps!$A$34:AE$34)+tipps!$A45,0)))</f>
        <v/>
      </c>
      <c r="AG67" t="str">
        <f ca="1">IF($A45&gt;AG$34,"",IF(OFFSET(Tippabgabe!$DB$177,SUM(tipps!$A$34:AF$34)+tipps!$A45,0)&lt;0,"",OFFSET(Tippabgabe!$DB$177,SUM(tipps!$A$34:AF$34)+tipps!$A45,0)))</f>
        <v/>
      </c>
      <c r="AH67" t="str">
        <f ca="1">IF($A45&gt;AH$34,"",IF(OFFSET(Tippabgabe!$DB$177,SUM(tipps!$A$34:AG$34)+tipps!$A45,0)&lt;0,"",OFFSET(Tippabgabe!$DB$177,SUM(tipps!$A$34:AG$34)+tipps!$A45,0)))</f>
        <v/>
      </c>
      <c r="AI67" t="str">
        <f ca="1">IF($A45&gt;AI$34,"",IF(OFFSET(Tippabgabe!$DB$177,SUM(tipps!$A$34:AH$34)+tipps!$A45,0)&lt;0,"",OFFSET(Tippabgabe!$DB$177,SUM(tipps!$A$34:AH$34)+tipps!$A45,0)))</f>
        <v/>
      </c>
      <c r="AJ67" t="str">
        <f ca="1">IF($A45&gt;AJ$34,"",IF(OFFSET(Tippabgabe!$DB$177,SUM(tipps!$A$34:AI$34)+tipps!$A45,0)&lt;0,"",OFFSET(Tippabgabe!$DB$177,SUM(tipps!$A$34:AI$34)+tipps!$A45,0)))</f>
        <v/>
      </c>
      <c r="AK67" t="str">
        <f ca="1">IF($A45&gt;AK$34,"",IF(OFFSET(Tippabgabe!$DB$177,SUM(tipps!$A$34:AJ$34)+tipps!$A45,0)&lt;0,"",OFFSET(Tippabgabe!$DB$177,SUM(tipps!$A$34:AJ$34)+tipps!$A45,0)))</f>
        <v/>
      </c>
      <c r="AL67" t="str">
        <f ca="1">IF($A45&gt;AL$34,"",IF(OFFSET(Tippabgabe!$DB$177,SUM(tipps!$A$34:AK$34)+tipps!$A45,0)&lt;0,"",OFFSET(Tippabgabe!$DB$177,SUM(tipps!$A$34:AK$34)+tipps!$A45,0)))</f>
        <v/>
      </c>
      <c r="AM67" t="str">
        <f ca="1">IF($A45&gt;AM$34,"",IF(OFFSET(Tippabgabe!$DB$177,SUM(tipps!$A$34:AL$34)+tipps!$A45,0)&lt;0,"",OFFSET(Tippabgabe!$DB$177,SUM(tipps!$A$34:AL$34)+tipps!$A45,0)))</f>
        <v/>
      </c>
      <c r="AN67" t="str">
        <f ca="1">IF($A45&gt;AN$34,"",IF(OFFSET(Tippabgabe!$DB$177,SUM(tipps!$A$34:AM$34)+tipps!$A45,0)&lt;0,"",OFFSET(Tippabgabe!$DB$177,SUM(tipps!$A$34:AM$34)+tipps!$A45,0)))</f>
        <v/>
      </c>
      <c r="AO67" t="str">
        <f ca="1">IF($A45&gt;AO$34,"",IF(OFFSET(Tippabgabe!$DB$177,SUM(tipps!$A$34:AN$34)+tipps!$A45,0)&lt;0,"",OFFSET(Tippabgabe!$DB$177,SUM(tipps!$A$34:AN$34)+tipps!$A45,0)))</f>
        <v/>
      </c>
      <c r="AP67" t="str">
        <f ca="1">IF($A45&gt;AP$34,"",IF(OFFSET(Tippabgabe!$DB$177,SUM(tipps!$A$34:AO$34)+tipps!$A45,0)&lt;0,"",OFFSET(Tippabgabe!$DB$177,SUM(tipps!$A$34:AO$34)+tipps!$A45,0)))</f>
        <v/>
      </c>
      <c r="AQ67" t="str">
        <f ca="1">IF($A45&gt;AQ$34,"",IF(OFFSET(Tippabgabe!$DB$177,SUM(tipps!$A$34:AP$34)+tipps!$A45,0)&lt;0,"",OFFSET(Tippabgabe!$DB$177,SUM(tipps!$A$34:AP$34)+tipps!$A45,0)))</f>
        <v/>
      </c>
      <c r="AR67" t="str">
        <f ca="1">IF($A45&gt;AR$34,"",IF(OFFSET(Tippabgabe!$DB$177,SUM(tipps!$A$34:AQ$34)+tipps!$A45,0)&lt;0,"",OFFSET(Tippabgabe!$DB$177,SUM(tipps!$A$34:AQ$34)+tipps!$A45,0)))</f>
        <v/>
      </c>
      <c r="AS67" t="str">
        <f ca="1">IF($A45&gt;AS$34,"",IF(OFFSET(Tippabgabe!$DB$177,SUM(tipps!$A$34:AR$34)+tipps!$A45,0)&lt;0,"",OFFSET(Tippabgabe!$DB$177,SUM(tipps!$A$34:AR$34)+tipps!$A45,0)))</f>
        <v/>
      </c>
      <c r="AT67" t="str">
        <f ca="1">IF($A45&gt;AT$34,"",IF(OFFSET(Tippabgabe!$DB$177,SUM(tipps!$A$34:AS$34)+tipps!$A45,0)&lt;0,"",OFFSET(Tippabgabe!$DB$177,SUM(tipps!$A$34:AS$34)+tipps!$A45,0)))</f>
        <v/>
      </c>
      <c r="AU67" t="str">
        <f ca="1">IF($A45&gt;AU$34,"",IF(OFFSET(Tippabgabe!$DB$177,SUM(tipps!$A$34:AT$34)+tipps!$A45,0)&lt;0,"",OFFSET(Tippabgabe!$DB$177,SUM(tipps!$A$34:AT$34)+tipps!$A45,0)))</f>
        <v/>
      </c>
      <c r="AV67" t="str">
        <f ca="1">IF($A45&gt;AV$34,"",IF(OFFSET(Tippabgabe!$DB$177,SUM(tipps!$A$34:AU$34)+tipps!$A45,0)&lt;0,"",OFFSET(Tippabgabe!$DB$177,SUM(tipps!$A$34:AU$34)+tipps!$A45,0)))</f>
        <v/>
      </c>
      <c r="AW67" t="str">
        <f ca="1">IF($A45&gt;AW$34,"",IF(OFFSET(Tippabgabe!$DB$177,SUM(tipps!$A$34:AV$34)+tipps!$A45,0)&lt;0,"",OFFSET(Tippabgabe!$DB$177,SUM(tipps!$A$34:AV$34)+tipps!$A45,0)))</f>
        <v/>
      </c>
      <c r="AX67" t="str">
        <f ca="1">IF($A45&gt;AX$34,"",IF(OFFSET(Tippabgabe!$DB$177,SUM(tipps!$A$34:AW$34)+tipps!$A45,0)&lt;0,"",OFFSET(Tippabgabe!$DB$177,SUM(tipps!$A$34:AW$34)+tipps!$A45,0)))</f>
        <v/>
      </c>
      <c r="AY67" t="str">
        <f ca="1">IF($A45&gt;AY$34,"",IF(OFFSET(Tippabgabe!$DB$177,SUM(tipps!$A$34:AX$34)+tipps!$A45,0)&lt;0,"",OFFSET(Tippabgabe!$DB$177,SUM(tipps!$A$34:AX$34)+tipps!$A45,0)))</f>
        <v/>
      </c>
      <c r="AZ67" t="str">
        <f ca="1">IF($A45&gt;AZ$34,"",IF(OFFSET(Tippabgabe!$DB$177,SUM(tipps!$A$34:AY$34)+tipps!$A45,0)&lt;0,"",OFFSET(Tippabgabe!$DB$177,SUM(tipps!$A$34:AY$34)+tipps!$A45,0)))</f>
        <v/>
      </c>
      <c r="BA67" t="str">
        <f ca="1">IF($A45&gt;BA$34,"",IF(OFFSET(Tippabgabe!$DB$177,SUM(tipps!$A$34:AZ$34)+tipps!$A45,0)&lt;0,"",OFFSET(Tippabgabe!$DB$177,SUM(tipps!$A$34:AZ$34)+tipps!$A45,0)))</f>
        <v/>
      </c>
      <c r="BB67" t="str">
        <f ca="1">IF($A45&gt;BB$34,"",IF(OFFSET(Tippabgabe!$DB$177,SUM(tipps!$A$34:BA$34)+tipps!$A45,0)&lt;0,"",OFFSET(Tippabgabe!$DB$177,SUM(tipps!$A$34:BA$34)+tipps!$A45,0)))</f>
        <v/>
      </c>
      <c r="BC67" t="str">
        <f ca="1">IF($A45&gt;BC$34,"",IF(OFFSET(Tippabgabe!$DB$177,SUM(tipps!$A$34:BB$34)+tipps!$A45,0)&lt;0,"",OFFSET(Tippabgabe!$DB$177,SUM(tipps!$A$34:BB$34)+tipps!$A45,0)))</f>
        <v/>
      </c>
      <c r="BD67" t="str">
        <f ca="1">IF($A45&gt;BD$34,"",IF(OFFSET(Tippabgabe!$DB$177,SUM(tipps!$A$34:BC$34)+tipps!$A45,0)&lt;0,"",OFFSET(Tippabgabe!$DB$177,SUM(tipps!$A$34:BC$34)+tipps!$A45,0)))</f>
        <v/>
      </c>
      <c r="BE67" t="str">
        <f ca="1">IF($A45&gt;BE$34,"",IF(OFFSET(Tippabgabe!$DB$177,SUM(tipps!$A$34:BD$34)+tipps!$A45,0)&lt;0,"",OFFSET(Tippabgabe!$DB$177,SUM(tipps!$A$34:BD$34)+tipps!$A45,0)))</f>
        <v/>
      </c>
      <c r="BF67" t="str">
        <f ca="1">IF($A45&gt;BF$34,"",IF(OFFSET(Tippabgabe!$DB$177,SUM(tipps!$A$34:BE$34)+tipps!$A45,0)&lt;0,"",OFFSET(Tippabgabe!$DB$177,SUM(tipps!$A$34:BE$34)+tipps!$A45,0)))</f>
        <v/>
      </c>
      <c r="BG67" t="str">
        <f ca="1">IF($A45&gt;BG$34,"",IF(OFFSET(Tippabgabe!$DB$177,SUM(tipps!$A$34:BF$34)+tipps!$A45,0)&lt;0,"",OFFSET(Tippabgabe!$DB$177,SUM(tipps!$A$34:BF$34)+tipps!$A45,0)))</f>
        <v/>
      </c>
      <c r="BH67" t="str">
        <f ca="1">IF($A45&gt;BH$34,"",IF(OFFSET(Tippabgabe!$DB$177,SUM(tipps!$A$34:BG$34)+tipps!$A45,0)&lt;0,"",OFFSET(Tippabgabe!$DB$177,SUM(tipps!$A$34:BG$34)+tipps!$A45,0)))</f>
        <v/>
      </c>
      <c r="BI67" t="str">
        <f ca="1">IF($A45&gt;BI$34,"",IF(OFFSET(Tippabgabe!$DB$177,SUM(tipps!$A$34:BH$34)+tipps!$A45,0)&lt;0,"",OFFSET(Tippabgabe!$DB$177,SUM(tipps!$A$34:BH$34)+tipps!$A45,0)))</f>
        <v/>
      </c>
      <c r="BJ67" t="str">
        <f ca="1">IF($A45&gt;BJ$34,"",IF(OFFSET(Tippabgabe!$DB$177,SUM(tipps!$A$34:BI$34)+tipps!$A45,0)&lt;0,"",OFFSET(Tippabgabe!$DB$177,SUM(tipps!$A$34:BI$34)+tipps!$A45,0)))</f>
        <v/>
      </c>
      <c r="BK67" t="str">
        <f ca="1">IF($A45&gt;BK$34,"",IF(OFFSET(Tippabgabe!$DB$177,SUM(tipps!$A$34:BJ$34)+tipps!$A45,0)&lt;0,"",OFFSET(Tippabgabe!$DB$177,SUM(tipps!$A$34:BJ$34)+tipps!$A45,0)))</f>
        <v/>
      </c>
      <c r="BL67" t="str">
        <f ca="1">IF($A45&gt;BL$34,"",IF(OFFSET(Tippabgabe!$DB$177,SUM(tipps!$A$34:BK$34)+tipps!$A45,0)&lt;0,"",OFFSET(Tippabgabe!$DB$177,SUM(tipps!$A$34:BK$34)+tipps!$A45,0)))</f>
        <v/>
      </c>
      <c r="BM67" t="str">
        <f ca="1">IF($A45&gt;BM$34,"",IF(OFFSET(Tippabgabe!$DB$177,SUM(tipps!$A$34:BL$34)+tipps!$A45,0)&lt;0,"",OFFSET(Tippabgabe!$DB$177,SUM(tipps!$A$34:BL$34)+tipps!$A45,0)))</f>
        <v/>
      </c>
      <c r="BN67" t="str">
        <f ca="1">IF($A45&gt;BN$34,"",IF(OFFSET(Tippabgabe!$DB$177,SUM(tipps!$A$34:BM$34)+tipps!$A45,0)&lt;0,"",OFFSET(Tippabgabe!$DB$177,SUM(tipps!$A$34:BM$34)+tipps!$A45,0)))</f>
        <v/>
      </c>
      <c r="BO67" t="str">
        <f ca="1">IF($A45&gt;BO$34,"",IF(OFFSET(Tippabgabe!$DB$177,SUM(tipps!$A$34:BN$34)+tipps!$A45,0)&lt;0,"",OFFSET(Tippabgabe!$DB$177,SUM(tipps!$A$34:BN$34)+tipps!$A45,0)))</f>
        <v/>
      </c>
      <c r="BP67" t="str">
        <f ca="1">IF($A45&gt;BP$34,"",IF(OFFSET(Tippabgabe!$DB$177,SUM(tipps!$A$34:BO$34)+tipps!$A45,0)&lt;0,"",OFFSET(Tippabgabe!$DB$177,SUM(tipps!$A$34:BO$34)+tipps!$A45,0)))</f>
        <v/>
      </c>
      <c r="BQ67" t="str">
        <f ca="1">IF($A45&gt;BQ$34,"",IF(OFFSET(Tippabgabe!$DB$177,SUM(tipps!$A$34:BP$34)+tipps!$A45,0)&lt;0,"",OFFSET(Tippabgabe!$DB$177,SUM(tipps!$A$34:BP$34)+tipps!$A45,0)))</f>
        <v/>
      </c>
      <c r="BR67" t="str">
        <f ca="1">IF($A45&gt;BR$34,"",IF(OFFSET(Tippabgabe!$DB$177,SUM(tipps!$A$34:BQ$34)+tipps!$A45,0)&lt;0,"",OFFSET(Tippabgabe!$DB$177,SUM(tipps!$A$34:BQ$34)+tipps!$A45,0)))</f>
        <v/>
      </c>
      <c r="BS67" t="str">
        <f ca="1">IF($A45&gt;BS$34,"",IF(OFFSET(Tippabgabe!$DB$177,SUM(tipps!$A$34:BR$34)+tipps!$A45,0)&lt;0,"",OFFSET(Tippabgabe!$DB$177,SUM(tipps!$A$34:BR$34)+tipps!$A45,0)))</f>
        <v/>
      </c>
      <c r="BT67" t="str">
        <f ca="1">IF($A45&gt;BT$34,"",IF(OFFSET(Tippabgabe!$DB$177,SUM(tipps!$A$34:BS$34)+tipps!$A45,0)&lt;0,"",OFFSET(Tippabgabe!$DB$177,SUM(tipps!$A$34:BS$34)+tipps!$A45,0)))</f>
        <v/>
      </c>
      <c r="BU67" t="str">
        <f ca="1">IF($A45&gt;BU$34,"",IF(OFFSET(Tippabgabe!$DB$177,SUM(tipps!$A$34:BT$34)+tipps!$A45,0)&lt;0,"",OFFSET(Tippabgabe!$DB$177,SUM(tipps!$A$34:BT$34)+tipps!$A45,0)))</f>
        <v/>
      </c>
      <c r="BV67" t="str">
        <f ca="1">IF($A45&gt;BV$34,"",IF(OFFSET(Tippabgabe!$DB$177,SUM(tipps!$A$34:BU$34)+tipps!$A45,0)&lt;0,"",OFFSET(Tippabgabe!$DB$177,SUM(tipps!$A$34:BU$34)+tipps!$A45,0)))</f>
        <v/>
      </c>
      <c r="BW67" t="str">
        <f ca="1">IF($A45&gt;BW$34,"",IF(OFFSET(Tippabgabe!$DB$177,SUM(tipps!$A$34:BV$34)+tipps!$A45,0)&lt;0,"",OFFSET(Tippabgabe!$DB$177,SUM(tipps!$A$34:BV$34)+tipps!$A45,0)))</f>
        <v/>
      </c>
    </row>
    <row r="68" spans="1:75" x14ac:dyDescent="0.2">
      <c r="A68">
        <v>11</v>
      </c>
      <c r="B68" t="str">
        <f ca="1">IF($A46&gt;B$34,"",IF(OFFSET(Tippabgabe!$DB$177,SUM(tipps!$A$34:A$34)+tipps!$A46,0)&lt;0,"",OFFSET(Tippabgabe!$DB$177,SUM(tipps!$A$34:A$34)+tipps!$A46,0)))</f>
        <v/>
      </c>
      <c r="C68" t="str">
        <f ca="1">IF($A46&gt;C$34,"",IF(OFFSET(Tippabgabe!$DB$177,SUM(tipps!$A$34:B$34)+tipps!$A46,0)&lt;0,"",OFFSET(Tippabgabe!$DB$177,SUM(tipps!$A$34:B$34)+tipps!$A46,0)))</f>
        <v/>
      </c>
      <c r="D68" t="str">
        <f ca="1">IF($A46&gt;D$34,"",IF(OFFSET(Tippabgabe!$DB$177,SUM(tipps!$A$34:C$34)+tipps!$A46,0)&lt;0,"",OFFSET(Tippabgabe!$DB$177,SUM(tipps!$A$34:C$34)+tipps!$A46,0)))</f>
        <v/>
      </c>
      <c r="E68" t="str">
        <f ca="1">IF($A46&gt;E$34,"",IF(OFFSET(Tippabgabe!$DB$177,SUM(tipps!$A$34:D$34)+tipps!$A46,0)&lt;0,"",OFFSET(Tippabgabe!$DB$177,SUM(tipps!$A$34:D$34)+tipps!$A46,0)))</f>
        <v/>
      </c>
      <c r="F68" t="str">
        <f ca="1">IF($A46&gt;F$34,"",IF(OFFSET(Tippabgabe!$DB$177,SUM(tipps!$A$34:E$34)+tipps!$A46,0)&lt;0,"",OFFSET(Tippabgabe!$DB$177,SUM(tipps!$A$34:E$34)+tipps!$A46,0)))</f>
        <v/>
      </c>
      <c r="G68" t="str">
        <f ca="1">IF($A46&gt;G$34,"",IF(OFFSET(Tippabgabe!$DB$177,SUM(tipps!$A$34:F$34)+tipps!$A46,0)&lt;0,"",OFFSET(Tippabgabe!$DB$177,SUM(tipps!$A$34:F$34)+tipps!$A46,0)))</f>
        <v/>
      </c>
      <c r="H68" t="str">
        <f ca="1">IF($A46&gt;H$34,"",IF(OFFSET(Tippabgabe!$DB$177,SUM(tipps!$A$34:G$34)+tipps!$A46,0)&lt;0,"",OFFSET(Tippabgabe!$DB$177,SUM(tipps!$A$34:G$34)+tipps!$A46,0)))</f>
        <v/>
      </c>
      <c r="I68" t="str">
        <f ca="1">IF($A46&gt;I$34,"",IF(OFFSET(Tippabgabe!$DB$177,SUM(tipps!$A$34:H$34)+tipps!$A46,0)&lt;0,"",OFFSET(Tippabgabe!$DB$177,SUM(tipps!$A$34:H$34)+tipps!$A46,0)))</f>
        <v/>
      </c>
      <c r="J68" t="str">
        <f ca="1">IF($A46&gt;J$34,"",IF(OFFSET(Tippabgabe!$DB$177,SUM(tipps!$A$34:I$34)+tipps!$A46,0)&lt;0,"",OFFSET(Tippabgabe!$DB$177,SUM(tipps!$A$34:I$34)+tipps!$A46,0)))</f>
        <v/>
      </c>
      <c r="K68">
        <f ca="1">IF($A46&gt;K$34,"",IF(OFFSET(Tippabgabe!$DB$177,SUM(tipps!$A$34:J$34)+tipps!$A46,0)&lt;0,"",OFFSET(Tippabgabe!$DB$177,SUM(tipps!$A$34:J$34)+tipps!$A46,0)))</f>
        <v>21</v>
      </c>
      <c r="L68" t="str">
        <f ca="1">IF($A46&gt;L$34,"",IF(OFFSET(Tippabgabe!$DB$177,SUM(tipps!$A$34:K$34)+tipps!$A46,0)&lt;0,"",OFFSET(Tippabgabe!$DB$177,SUM(tipps!$A$34:K$34)+tipps!$A46,0)))</f>
        <v/>
      </c>
      <c r="M68" t="str">
        <f ca="1">IF($A46&gt;M$34,"",IF(OFFSET(Tippabgabe!$DB$177,SUM(tipps!$A$34:L$34)+tipps!$A46,0)&lt;0,"",OFFSET(Tippabgabe!$DB$177,SUM(tipps!$A$34:L$34)+tipps!$A46,0)))</f>
        <v/>
      </c>
      <c r="N68" t="str">
        <f ca="1">IF($A46&gt;N$34,"",IF(OFFSET(Tippabgabe!$DB$177,SUM(tipps!$A$34:M$34)+tipps!$A46,0)&lt;0,"",OFFSET(Tippabgabe!$DB$177,SUM(tipps!$A$34:M$34)+tipps!$A46,0)))</f>
        <v/>
      </c>
      <c r="O68" t="str">
        <f ca="1">IF($A46&gt;O$34,"",IF(OFFSET(Tippabgabe!$DB$177,SUM(tipps!$A$34:N$34)+tipps!$A46,0)&lt;0,"",OFFSET(Tippabgabe!$DB$177,SUM(tipps!$A$34:N$34)+tipps!$A46,0)))</f>
        <v/>
      </c>
      <c r="P68" t="str">
        <f ca="1">IF($A46&gt;P$34,"",IF(OFFSET(Tippabgabe!$DB$177,SUM(tipps!$A$34:O$34)+tipps!$A46,0)&lt;0,"",OFFSET(Tippabgabe!$DB$177,SUM(tipps!$A$34:O$34)+tipps!$A46,0)))</f>
        <v/>
      </c>
      <c r="Q68" t="str">
        <f ca="1">IF($A46&gt;Q$34,"",IF(OFFSET(Tippabgabe!$DB$177,SUM(tipps!$A$34:P$34)+tipps!$A46,0)&lt;0,"",OFFSET(Tippabgabe!$DB$177,SUM(tipps!$A$34:P$34)+tipps!$A46,0)))</f>
        <v/>
      </c>
      <c r="R68" t="str">
        <f ca="1">IF($A46&gt;R$34,"",IF(OFFSET(Tippabgabe!$DB$177,SUM(tipps!$A$34:Q$34)+tipps!$A46,0)&lt;0,"",OFFSET(Tippabgabe!$DB$177,SUM(tipps!$A$34:Q$34)+tipps!$A46,0)))</f>
        <v/>
      </c>
      <c r="S68" t="str">
        <f ca="1">IF($A46&gt;S$34,"",IF(OFFSET(Tippabgabe!$DB$177,SUM(tipps!$A$34:R$34)+tipps!$A46,0)&lt;0,"",OFFSET(Tippabgabe!$DB$177,SUM(tipps!$A$34:R$34)+tipps!$A46,0)))</f>
        <v/>
      </c>
      <c r="T68" t="str">
        <f ca="1">IF($A46&gt;T$34,"",IF(OFFSET(Tippabgabe!$DB$177,SUM(tipps!$A$34:S$34)+tipps!$A46,0)&lt;0,"",OFFSET(Tippabgabe!$DB$177,SUM(tipps!$A$34:S$34)+tipps!$A46,0)))</f>
        <v/>
      </c>
      <c r="U68" t="str">
        <f ca="1">IF($A46&gt;U$34,"",IF(OFFSET(Tippabgabe!$DB$177,SUM(tipps!$A$34:T$34)+tipps!$A46,0)&lt;0,"",OFFSET(Tippabgabe!$DB$177,SUM(tipps!$A$34:T$34)+tipps!$A46,0)))</f>
        <v/>
      </c>
      <c r="V68" t="str">
        <f ca="1">IF($A46&gt;V$34,"",IF(OFFSET(Tippabgabe!$DB$177,SUM(tipps!$A$34:U$34)+tipps!$A46,0)&lt;0,"",OFFSET(Tippabgabe!$DB$177,SUM(tipps!$A$34:U$34)+tipps!$A46,0)))</f>
        <v/>
      </c>
      <c r="W68" t="str">
        <f ca="1">IF($A46&gt;W$34,"",IF(OFFSET(Tippabgabe!$DB$177,SUM(tipps!$A$34:V$34)+tipps!$A46,0)&lt;0,"",OFFSET(Tippabgabe!$DB$177,SUM(tipps!$A$34:V$34)+tipps!$A46,0)))</f>
        <v/>
      </c>
      <c r="X68" t="str">
        <f ca="1">IF($A46&gt;X$34,"",IF(OFFSET(Tippabgabe!$DB$177,SUM(tipps!$A$34:W$34)+tipps!$A46,0)&lt;0,"",OFFSET(Tippabgabe!$DB$177,SUM(tipps!$A$34:W$34)+tipps!$A46,0)))</f>
        <v/>
      </c>
      <c r="Y68" t="str">
        <f ca="1">IF($A46&gt;Y$34,"",IF(OFFSET(Tippabgabe!$DB$177,SUM(tipps!$A$34:X$34)+tipps!$A46,0)&lt;0,"",OFFSET(Tippabgabe!$DB$177,SUM(tipps!$A$34:X$34)+tipps!$A46,0)))</f>
        <v/>
      </c>
      <c r="Z68" t="str">
        <f ca="1">IF($A46&gt;Z$34,"",IF(OFFSET(Tippabgabe!$DB$177,SUM(tipps!$A$34:Y$34)+tipps!$A46,0)&lt;0,"",OFFSET(Tippabgabe!$DB$177,SUM(tipps!$A$34:Y$34)+tipps!$A46,0)))</f>
        <v/>
      </c>
      <c r="AA68" t="str">
        <f ca="1">IF($A46&gt;AA$34,"",IF(OFFSET(Tippabgabe!$DB$177,SUM(tipps!$A$34:Z$34)+tipps!$A46,0)&lt;0,"",OFFSET(Tippabgabe!$DB$177,SUM(tipps!$A$34:Z$34)+tipps!$A46,0)))</f>
        <v/>
      </c>
      <c r="AB68" t="str">
        <f ca="1">IF($A46&gt;AB$34,"",IF(OFFSET(Tippabgabe!$DB$177,SUM(tipps!$A$34:AA$34)+tipps!$A46,0)&lt;0,"",OFFSET(Tippabgabe!$DB$177,SUM(tipps!$A$34:AA$34)+tipps!$A46,0)))</f>
        <v/>
      </c>
      <c r="AC68" t="str">
        <f ca="1">IF($A46&gt;AC$34,"",IF(OFFSET(Tippabgabe!$DB$177,SUM(tipps!$A$34:AB$34)+tipps!$A46,0)&lt;0,"",OFFSET(Tippabgabe!$DB$177,SUM(tipps!$A$34:AB$34)+tipps!$A46,0)))</f>
        <v/>
      </c>
      <c r="AD68" t="str">
        <f ca="1">IF($A46&gt;AD$34,"",IF(OFFSET(Tippabgabe!$DB$177,SUM(tipps!$A$34:AC$34)+tipps!$A46,0)&lt;0,"",OFFSET(Tippabgabe!$DB$177,SUM(tipps!$A$34:AC$34)+tipps!$A46,0)))</f>
        <v/>
      </c>
      <c r="AE68" t="str">
        <f ca="1">IF($A46&gt;AE$34,"",IF(OFFSET(Tippabgabe!$DB$177,SUM(tipps!$A$34:AD$34)+tipps!$A46,0)&lt;0,"",OFFSET(Tippabgabe!$DB$177,SUM(tipps!$A$34:AD$34)+tipps!$A46,0)))</f>
        <v/>
      </c>
      <c r="AF68" t="str">
        <f ca="1">IF($A46&gt;AF$34,"",IF(OFFSET(Tippabgabe!$DB$177,SUM(tipps!$A$34:AE$34)+tipps!$A46,0)&lt;0,"",OFFSET(Tippabgabe!$DB$177,SUM(tipps!$A$34:AE$34)+tipps!$A46,0)))</f>
        <v/>
      </c>
      <c r="AG68" t="str">
        <f ca="1">IF($A46&gt;AG$34,"",IF(OFFSET(Tippabgabe!$DB$177,SUM(tipps!$A$34:AF$34)+tipps!$A46,0)&lt;0,"",OFFSET(Tippabgabe!$DB$177,SUM(tipps!$A$34:AF$34)+tipps!$A46,0)))</f>
        <v/>
      </c>
      <c r="AH68" t="str">
        <f ca="1">IF($A46&gt;AH$34,"",IF(OFFSET(Tippabgabe!$DB$177,SUM(tipps!$A$34:AG$34)+tipps!$A46,0)&lt;0,"",OFFSET(Tippabgabe!$DB$177,SUM(tipps!$A$34:AG$34)+tipps!$A46,0)))</f>
        <v/>
      </c>
      <c r="AI68" t="str">
        <f ca="1">IF($A46&gt;AI$34,"",IF(OFFSET(Tippabgabe!$DB$177,SUM(tipps!$A$34:AH$34)+tipps!$A46,0)&lt;0,"",OFFSET(Tippabgabe!$DB$177,SUM(tipps!$A$34:AH$34)+tipps!$A46,0)))</f>
        <v/>
      </c>
      <c r="AJ68" t="str">
        <f ca="1">IF($A46&gt;AJ$34,"",IF(OFFSET(Tippabgabe!$DB$177,SUM(tipps!$A$34:AI$34)+tipps!$A46,0)&lt;0,"",OFFSET(Tippabgabe!$DB$177,SUM(tipps!$A$34:AI$34)+tipps!$A46,0)))</f>
        <v/>
      </c>
      <c r="AK68" t="str">
        <f ca="1">IF($A46&gt;AK$34,"",IF(OFFSET(Tippabgabe!$DB$177,SUM(tipps!$A$34:AJ$34)+tipps!$A46,0)&lt;0,"",OFFSET(Tippabgabe!$DB$177,SUM(tipps!$A$34:AJ$34)+tipps!$A46,0)))</f>
        <v/>
      </c>
      <c r="AL68" t="str">
        <f ca="1">IF($A46&gt;AL$34,"",IF(OFFSET(Tippabgabe!$DB$177,SUM(tipps!$A$34:AK$34)+tipps!$A46,0)&lt;0,"",OFFSET(Tippabgabe!$DB$177,SUM(tipps!$A$34:AK$34)+tipps!$A46,0)))</f>
        <v/>
      </c>
      <c r="AM68" t="str">
        <f ca="1">IF($A46&gt;AM$34,"",IF(OFFSET(Tippabgabe!$DB$177,SUM(tipps!$A$34:AL$34)+tipps!$A46,0)&lt;0,"",OFFSET(Tippabgabe!$DB$177,SUM(tipps!$A$34:AL$34)+tipps!$A46,0)))</f>
        <v/>
      </c>
      <c r="AN68" t="str">
        <f ca="1">IF($A46&gt;AN$34,"",IF(OFFSET(Tippabgabe!$DB$177,SUM(tipps!$A$34:AM$34)+tipps!$A46,0)&lt;0,"",OFFSET(Tippabgabe!$DB$177,SUM(tipps!$A$34:AM$34)+tipps!$A46,0)))</f>
        <v/>
      </c>
      <c r="AO68" t="str">
        <f ca="1">IF($A46&gt;AO$34,"",IF(OFFSET(Tippabgabe!$DB$177,SUM(tipps!$A$34:AN$34)+tipps!$A46,0)&lt;0,"",OFFSET(Tippabgabe!$DB$177,SUM(tipps!$A$34:AN$34)+tipps!$A46,0)))</f>
        <v/>
      </c>
      <c r="AP68" t="str">
        <f ca="1">IF($A46&gt;AP$34,"",IF(OFFSET(Tippabgabe!$DB$177,SUM(tipps!$A$34:AO$34)+tipps!$A46,0)&lt;0,"",OFFSET(Tippabgabe!$DB$177,SUM(tipps!$A$34:AO$34)+tipps!$A46,0)))</f>
        <v/>
      </c>
      <c r="AQ68" t="str">
        <f ca="1">IF($A46&gt;AQ$34,"",IF(OFFSET(Tippabgabe!$DB$177,SUM(tipps!$A$34:AP$34)+tipps!$A46,0)&lt;0,"",OFFSET(Tippabgabe!$DB$177,SUM(tipps!$A$34:AP$34)+tipps!$A46,0)))</f>
        <v/>
      </c>
      <c r="AR68" t="str">
        <f ca="1">IF($A46&gt;AR$34,"",IF(OFFSET(Tippabgabe!$DB$177,SUM(tipps!$A$34:AQ$34)+tipps!$A46,0)&lt;0,"",OFFSET(Tippabgabe!$DB$177,SUM(tipps!$A$34:AQ$34)+tipps!$A46,0)))</f>
        <v/>
      </c>
      <c r="AS68" t="str">
        <f ca="1">IF($A46&gt;AS$34,"",IF(OFFSET(Tippabgabe!$DB$177,SUM(tipps!$A$34:AR$34)+tipps!$A46,0)&lt;0,"",OFFSET(Tippabgabe!$DB$177,SUM(tipps!$A$34:AR$34)+tipps!$A46,0)))</f>
        <v/>
      </c>
      <c r="AT68" t="str">
        <f ca="1">IF($A46&gt;AT$34,"",IF(OFFSET(Tippabgabe!$DB$177,SUM(tipps!$A$34:AS$34)+tipps!$A46,0)&lt;0,"",OFFSET(Tippabgabe!$DB$177,SUM(tipps!$A$34:AS$34)+tipps!$A46,0)))</f>
        <v/>
      </c>
      <c r="AU68" t="str">
        <f ca="1">IF($A46&gt;AU$34,"",IF(OFFSET(Tippabgabe!$DB$177,SUM(tipps!$A$34:AT$34)+tipps!$A46,0)&lt;0,"",OFFSET(Tippabgabe!$DB$177,SUM(tipps!$A$34:AT$34)+tipps!$A46,0)))</f>
        <v/>
      </c>
      <c r="AV68" t="str">
        <f ca="1">IF($A46&gt;AV$34,"",IF(OFFSET(Tippabgabe!$DB$177,SUM(tipps!$A$34:AU$34)+tipps!$A46,0)&lt;0,"",OFFSET(Tippabgabe!$DB$177,SUM(tipps!$A$34:AU$34)+tipps!$A46,0)))</f>
        <v/>
      </c>
      <c r="AW68" t="str">
        <f ca="1">IF($A46&gt;AW$34,"",IF(OFFSET(Tippabgabe!$DB$177,SUM(tipps!$A$34:AV$34)+tipps!$A46,0)&lt;0,"",OFFSET(Tippabgabe!$DB$177,SUM(tipps!$A$34:AV$34)+tipps!$A46,0)))</f>
        <v/>
      </c>
      <c r="AX68" t="str">
        <f ca="1">IF($A46&gt;AX$34,"",IF(OFFSET(Tippabgabe!$DB$177,SUM(tipps!$A$34:AW$34)+tipps!$A46,0)&lt;0,"",OFFSET(Tippabgabe!$DB$177,SUM(tipps!$A$34:AW$34)+tipps!$A46,0)))</f>
        <v/>
      </c>
      <c r="AY68" t="str">
        <f ca="1">IF($A46&gt;AY$34,"",IF(OFFSET(Tippabgabe!$DB$177,SUM(tipps!$A$34:AX$34)+tipps!$A46,0)&lt;0,"",OFFSET(Tippabgabe!$DB$177,SUM(tipps!$A$34:AX$34)+tipps!$A46,0)))</f>
        <v/>
      </c>
      <c r="AZ68" t="str">
        <f ca="1">IF($A46&gt;AZ$34,"",IF(OFFSET(Tippabgabe!$DB$177,SUM(tipps!$A$34:AY$34)+tipps!$A46,0)&lt;0,"",OFFSET(Tippabgabe!$DB$177,SUM(tipps!$A$34:AY$34)+tipps!$A46,0)))</f>
        <v/>
      </c>
      <c r="BA68" t="str">
        <f ca="1">IF($A46&gt;BA$34,"",IF(OFFSET(Tippabgabe!$DB$177,SUM(tipps!$A$34:AZ$34)+tipps!$A46,0)&lt;0,"",OFFSET(Tippabgabe!$DB$177,SUM(tipps!$A$34:AZ$34)+tipps!$A46,0)))</f>
        <v/>
      </c>
      <c r="BB68" t="str">
        <f ca="1">IF($A46&gt;BB$34,"",IF(OFFSET(Tippabgabe!$DB$177,SUM(tipps!$A$34:BA$34)+tipps!$A46,0)&lt;0,"",OFFSET(Tippabgabe!$DB$177,SUM(tipps!$A$34:BA$34)+tipps!$A46,0)))</f>
        <v/>
      </c>
      <c r="BC68" t="str">
        <f ca="1">IF($A46&gt;BC$34,"",IF(OFFSET(Tippabgabe!$DB$177,SUM(tipps!$A$34:BB$34)+tipps!$A46,0)&lt;0,"",OFFSET(Tippabgabe!$DB$177,SUM(tipps!$A$34:BB$34)+tipps!$A46,0)))</f>
        <v/>
      </c>
      <c r="BD68" t="str">
        <f ca="1">IF($A46&gt;BD$34,"",IF(OFFSET(Tippabgabe!$DB$177,SUM(tipps!$A$34:BC$34)+tipps!$A46,0)&lt;0,"",OFFSET(Tippabgabe!$DB$177,SUM(tipps!$A$34:BC$34)+tipps!$A46,0)))</f>
        <v/>
      </c>
      <c r="BE68" t="str">
        <f ca="1">IF($A46&gt;BE$34,"",IF(OFFSET(Tippabgabe!$DB$177,SUM(tipps!$A$34:BD$34)+tipps!$A46,0)&lt;0,"",OFFSET(Tippabgabe!$DB$177,SUM(tipps!$A$34:BD$34)+tipps!$A46,0)))</f>
        <v/>
      </c>
      <c r="BF68" t="str">
        <f ca="1">IF($A46&gt;BF$34,"",IF(OFFSET(Tippabgabe!$DB$177,SUM(tipps!$A$34:BE$34)+tipps!$A46,0)&lt;0,"",OFFSET(Tippabgabe!$DB$177,SUM(tipps!$A$34:BE$34)+tipps!$A46,0)))</f>
        <v/>
      </c>
      <c r="BG68" t="str">
        <f ca="1">IF($A46&gt;BG$34,"",IF(OFFSET(Tippabgabe!$DB$177,SUM(tipps!$A$34:BF$34)+tipps!$A46,0)&lt;0,"",OFFSET(Tippabgabe!$DB$177,SUM(tipps!$A$34:BF$34)+tipps!$A46,0)))</f>
        <v/>
      </c>
      <c r="BH68" t="str">
        <f ca="1">IF($A46&gt;BH$34,"",IF(OFFSET(Tippabgabe!$DB$177,SUM(tipps!$A$34:BG$34)+tipps!$A46,0)&lt;0,"",OFFSET(Tippabgabe!$DB$177,SUM(tipps!$A$34:BG$34)+tipps!$A46,0)))</f>
        <v/>
      </c>
      <c r="BI68" t="str">
        <f ca="1">IF($A46&gt;BI$34,"",IF(OFFSET(Tippabgabe!$DB$177,SUM(tipps!$A$34:BH$34)+tipps!$A46,0)&lt;0,"",OFFSET(Tippabgabe!$DB$177,SUM(tipps!$A$34:BH$34)+tipps!$A46,0)))</f>
        <v/>
      </c>
      <c r="BJ68" t="str">
        <f ca="1">IF($A46&gt;BJ$34,"",IF(OFFSET(Tippabgabe!$DB$177,SUM(tipps!$A$34:BI$34)+tipps!$A46,0)&lt;0,"",OFFSET(Tippabgabe!$DB$177,SUM(tipps!$A$34:BI$34)+tipps!$A46,0)))</f>
        <v/>
      </c>
      <c r="BK68" t="str">
        <f ca="1">IF($A46&gt;BK$34,"",IF(OFFSET(Tippabgabe!$DB$177,SUM(tipps!$A$34:BJ$34)+tipps!$A46,0)&lt;0,"",OFFSET(Tippabgabe!$DB$177,SUM(tipps!$A$34:BJ$34)+tipps!$A46,0)))</f>
        <v/>
      </c>
      <c r="BL68" t="str">
        <f ca="1">IF($A46&gt;BL$34,"",IF(OFFSET(Tippabgabe!$DB$177,SUM(tipps!$A$34:BK$34)+tipps!$A46,0)&lt;0,"",OFFSET(Tippabgabe!$DB$177,SUM(tipps!$A$34:BK$34)+tipps!$A46,0)))</f>
        <v/>
      </c>
      <c r="BM68" t="str">
        <f ca="1">IF($A46&gt;BM$34,"",IF(OFFSET(Tippabgabe!$DB$177,SUM(tipps!$A$34:BL$34)+tipps!$A46,0)&lt;0,"",OFFSET(Tippabgabe!$DB$177,SUM(tipps!$A$34:BL$34)+tipps!$A46,0)))</f>
        <v/>
      </c>
      <c r="BN68" t="str">
        <f ca="1">IF($A46&gt;BN$34,"",IF(OFFSET(Tippabgabe!$DB$177,SUM(tipps!$A$34:BM$34)+tipps!$A46,0)&lt;0,"",OFFSET(Tippabgabe!$DB$177,SUM(tipps!$A$34:BM$34)+tipps!$A46,0)))</f>
        <v/>
      </c>
      <c r="BO68" t="str">
        <f ca="1">IF($A46&gt;BO$34,"",IF(OFFSET(Tippabgabe!$DB$177,SUM(tipps!$A$34:BN$34)+tipps!$A46,0)&lt;0,"",OFFSET(Tippabgabe!$DB$177,SUM(tipps!$A$34:BN$34)+tipps!$A46,0)))</f>
        <v/>
      </c>
      <c r="BP68" t="str">
        <f ca="1">IF($A46&gt;BP$34,"",IF(OFFSET(Tippabgabe!$DB$177,SUM(tipps!$A$34:BO$34)+tipps!$A46,0)&lt;0,"",OFFSET(Tippabgabe!$DB$177,SUM(tipps!$A$34:BO$34)+tipps!$A46,0)))</f>
        <v/>
      </c>
      <c r="BQ68" t="str">
        <f ca="1">IF($A46&gt;BQ$34,"",IF(OFFSET(Tippabgabe!$DB$177,SUM(tipps!$A$34:BP$34)+tipps!$A46,0)&lt;0,"",OFFSET(Tippabgabe!$DB$177,SUM(tipps!$A$34:BP$34)+tipps!$A46,0)))</f>
        <v/>
      </c>
      <c r="BR68" t="str">
        <f ca="1">IF($A46&gt;BR$34,"",IF(OFFSET(Tippabgabe!$DB$177,SUM(tipps!$A$34:BQ$34)+tipps!$A46,0)&lt;0,"",OFFSET(Tippabgabe!$DB$177,SUM(tipps!$A$34:BQ$34)+tipps!$A46,0)))</f>
        <v/>
      </c>
      <c r="BS68" t="str">
        <f ca="1">IF($A46&gt;BS$34,"",IF(OFFSET(Tippabgabe!$DB$177,SUM(tipps!$A$34:BR$34)+tipps!$A46,0)&lt;0,"",OFFSET(Tippabgabe!$DB$177,SUM(tipps!$A$34:BR$34)+tipps!$A46,0)))</f>
        <v/>
      </c>
      <c r="BT68" t="str">
        <f ca="1">IF($A46&gt;BT$34,"",IF(OFFSET(Tippabgabe!$DB$177,SUM(tipps!$A$34:BS$34)+tipps!$A46,0)&lt;0,"",OFFSET(Tippabgabe!$DB$177,SUM(tipps!$A$34:BS$34)+tipps!$A46,0)))</f>
        <v/>
      </c>
      <c r="BU68" t="str">
        <f ca="1">IF($A46&gt;BU$34,"",IF(OFFSET(Tippabgabe!$DB$177,SUM(tipps!$A$34:BT$34)+tipps!$A46,0)&lt;0,"",OFFSET(Tippabgabe!$DB$177,SUM(tipps!$A$34:BT$34)+tipps!$A46,0)))</f>
        <v/>
      </c>
      <c r="BV68" t="str">
        <f ca="1">IF($A46&gt;BV$34,"",IF(OFFSET(Tippabgabe!$DB$177,SUM(tipps!$A$34:BU$34)+tipps!$A46,0)&lt;0,"",OFFSET(Tippabgabe!$DB$177,SUM(tipps!$A$34:BU$34)+tipps!$A46,0)))</f>
        <v/>
      </c>
      <c r="BW68" t="str">
        <f ca="1">IF($A46&gt;BW$34,"",IF(OFFSET(Tippabgabe!$DB$177,SUM(tipps!$A$34:BV$34)+tipps!$A46,0)&lt;0,"",OFFSET(Tippabgabe!$DB$177,SUM(tipps!$A$34:BV$34)+tipps!$A46,0)))</f>
        <v/>
      </c>
    </row>
    <row r="69" spans="1:75" x14ac:dyDescent="0.2">
      <c r="A69">
        <v>12</v>
      </c>
      <c r="B69" t="str">
        <f ca="1">IF($A47&gt;B$34,"",IF(OFFSET(Tippabgabe!$DB$177,SUM(tipps!$A$34:A$34)+tipps!$A47,0)&lt;0,"",OFFSET(Tippabgabe!$DB$177,SUM(tipps!$A$34:A$34)+tipps!$A47,0)))</f>
        <v/>
      </c>
      <c r="C69" t="str">
        <f ca="1">IF($A47&gt;C$34,"",IF(OFFSET(Tippabgabe!$DB$177,SUM(tipps!$A$34:B$34)+tipps!$A47,0)&lt;0,"",OFFSET(Tippabgabe!$DB$177,SUM(tipps!$A$34:B$34)+tipps!$A47,0)))</f>
        <v/>
      </c>
      <c r="D69" t="str">
        <f ca="1">IF($A47&gt;D$34,"",IF(OFFSET(Tippabgabe!$DB$177,SUM(tipps!$A$34:C$34)+tipps!$A47,0)&lt;0,"",OFFSET(Tippabgabe!$DB$177,SUM(tipps!$A$34:C$34)+tipps!$A47,0)))</f>
        <v/>
      </c>
      <c r="E69" t="str">
        <f ca="1">IF($A47&gt;E$34,"",IF(OFFSET(Tippabgabe!$DB$177,SUM(tipps!$A$34:D$34)+tipps!$A47,0)&lt;0,"",OFFSET(Tippabgabe!$DB$177,SUM(tipps!$A$34:D$34)+tipps!$A47,0)))</f>
        <v/>
      </c>
      <c r="F69" t="str">
        <f ca="1">IF($A47&gt;F$34,"",IF(OFFSET(Tippabgabe!$DB$177,SUM(tipps!$A$34:E$34)+tipps!$A47,0)&lt;0,"",OFFSET(Tippabgabe!$DB$177,SUM(tipps!$A$34:E$34)+tipps!$A47,0)))</f>
        <v/>
      </c>
      <c r="G69" t="str">
        <f ca="1">IF($A47&gt;G$34,"",IF(OFFSET(Tippabgabe!$DB$177,SUM(tipps!$A$34:F$34)+tipps!$A47,0)&lt;0,"",OFFSET(Tippabgabe!$DB$177,SUM(tipps!$A$34:F$34)+tipps!$A47,0)))</f>
        <v/>
      </c>
      <c r="H69" t="str">
        <f ca="1">IF($A47&gt;H$34,"",IF(OFFSET(Tippabgabe!$DB$177,SUM(tipps!$A$34:G$34)+tipps!$A47,0)&lt;0,"",OFFSET(Tippabgabe!$DB$177,SUM(tipps!$A$34:G$34)+tipps!$A47,0)))</f>
        <v/>
      </c>
      <c r="I69" t="str">
        <f ca="1">IF($A47&gt;I$34,"",IF(OFFSET(Tippabgabe!$DB$177,SUM(tipps!$A$34:H$34)+tipps!$A47,0)&lt;0,"",OFFSET(Tippabgabe!$DB$177,SUM(tipps!$A$34:H$34)+tipps!$A47,0)))</f>
        <v/>
      </c>
      <c r="J69" t="str">
        <f ca="1">IF($A47&gt;J$34,"",IF(OFFSET(Tippabgabe!$DB$177,SUM(tipps!$A$34:I$34)+tipps!$A47,0)&lt;0,"",OFFSET(Tippabgabe!$DB$177,SUM(tipps!$A$34:I$34)+tipps!$A47,0)))</f>
        <v/>
      </c>
      <c r="K69">
        <f ca="1">IF($A47&gt;K$34,"",IF(OFFSET(Tippabgabe!$DB$177,SUM(tipps!$A$34:J$34)+tipps!$A47,0)&lt;0,"",OFFSET(Tippabgabe!$DB$177,SUM(tipps!$A$34:J$34)+tipps!$A47,0)))</f>
        <v>22</v>
      </c>
      <c r="L69" t="str">
        <f ca="1">IF($A47&gt;L$34,"",IF(OFFSET(Tippabgabe!$DB$177,SUM(tipps!$A$34:K$34)+tipps!$A47,0)&lt;0,"",OFFSET(Tippabgabe!$DB$177,SUM(tipps!$A$34:K$34)+tipps!$A47,0)))</f>
        <v/>
      </c>
      <c r="M69" t="str">
        <f ca="1">IF($A47&gt;M$34,"",IF(OFFSET(Tippabgabe!$DB$177,SUM(tipps!$A$34:L$34)+tipps!$A47,0)&lt;0,"",OFFSET(Tippabgabe!$DB$177,SUM(tipps!$A$34:L$34)+tipps!$A47,0)))</f>
        <v/>
      </c>
      <c r="N69" t="str">
        <f ca="1">IF($A47&gt;N$34,"",IF(OFFSET(Tippabgabe!$DB$177,SUM(tipps!$A$34:M$34)+tipps!$A47,0)&lt;0,"",OFFSET(Tippabgabe!$DB$177,SUM(tipps!$A$34:M$34)+tipps!$A47,0)))</f>
        <v/>
      </c>
      <c r="O69" t="str">
        <f ca="1">IF($A47&gt;O$34,"",IF(OFFSET(Tippabgabe!$DB$177,SUM(tipps!$A$34:N$34)+tipps!$A47,0)&lt;0,"",OFFSET(Tippabgabe!$DB$177,SUM(tipps!$A$34:N$34)+tipps!$A47,0)))</f>
        <v/>
      </c>
      <c r="P69" t="str">
        <f ca="1">IF($A47&gt;P$34,"",IF(OFFSET(Tippabgabe!$DB$177,SUM(tipps!$A$34:O$34)+tipps!$A47,0)&lt;0,"",OFFSET(Tippabgabe!$DB$177,SUM(tipps!$A$34:O$34)+tipps!$A47,0)))</f>
        <v/>
      </c>
      <c r="Q69" t="str">
        <f ca="1">IF($A47&gt;Q$34,"",IF(OFFSET(Tippabgabe!$DB$177,SUM(tipps!$A$34:P$34)+tipps!$A47,0)&lt;0,"",OFFSET(Tippabgabe!$DB$177,SUM(tipps!$A$34:P$34)+tipps!$A47,0)))</f>
        <v/>
      </c>
      <c r="R69" t="str">
        <f ca="1">IF($A47&gt;R$34,"",IF(OFFSET(Tippabgabe!$DB$177,SUM(tipps!$A$34:Q$34)+tipps!$A47,0)&lt;0,"",OFFSET(Tippabgabe!$DB$177,SUM(tipps!$A$34:Q$34)+tipps!$A47,0)))</f>
        <v/>
      </c>
      <c r="S69" t="str">
        <f ca="1">IF($A47&gt;S$34,"",IF(OFFSET(Tippabgabe!$DB$177,SUM(tipps!$A$34:R$34)+tipps!$A47,0)&lt;0,"",OFFSET(Tippabgabe!$DB$177,SUM(tipps!$A$34:R$34)+tipps!$A47,0)))</f>
        <v/>
      </c>
      <c r="T69" t="str">
        <f ca="1">IF($A47&gt;T$34,"",IF(OFFSET(Tippabgabe!$DB$177,SUM(tipps!$A$34:S$34)+tipps!$A47,0)&lt;0,"",OFFSET(Tippabgabe!$DB$177,SUM(tipps!$A$34:S$34)+tipps!$A47,0)))</f>
        <v/>
      </c>
      <c r="U69" t="str">
        <f ca="1">IF($A47&gt;U$34,"",IF(OFFSET(Tippabgabe!$DB$177,SUM(tipps!$A$34:T$34)+tipps!$A47,0)&lt;0,"",OFFSET(Tippabgabe!$DB$177,SUM(tipps!$A$34:T$34)+tipps!$A47,0)))</f>
        <v/>
      </c>
      <c r="V69" t="str">
        <f ca="1">IF($A47&gt;V$34,"",IF(OFFSET(Tippabgabe!$DB$177,SUM(tipps!$A$34:U$34)+tipps!$A47,0)&lt;0,"",OFFSET(Tippabgabe!$DB$177,SUM(tipps!$A$34:U$34)+tipps!$A47,0)))</f>
        <v/>
      </c>
      <c r="W69" t="str">
        <f ca="1">IF($A47&gt;W$34,"",IF(OFFSET(Tippabgabe!$DB$177,SUM(tipps!$A$34:V$34)+tipps!$A47,0)&lt;0,"",OFFSET(Tippabgabe!$DB$177,SUM(tipps!$A$34:V$34)+tipps!$A47,0)))</f>
        <v/>
      </c>
      <c r="X69" t="str">
        <f ca="1">IF($A47&gt;X$34,"",IF(OFFSET(Tippabgabe!$DB$177,SUM(tipps!$A$34:W$34)+tipps!$A47,0)&lt;0,"",OFFSET(Tippabgabe!$DB$177,SUM(tipps!$A$34:W$34)+tipps!$A47,0)))</f>
        <v/>
      </c>
      <c r="Y69" t="str">
        <f ca="1">IF($A47&gt;Y$34,"",IF(OFFSET(Tippabgabe!$DB$177,SUM(tipps!$A$34:X$34)+tipps!$A47,0)&lt;0,"",OFFSET(Tippabgabe!$DB$177,SUM(tipps!$A$34:X$34)+tipps!$A47,0)))</f>
        <v/>
      </c>
      <c r="Z69" t="str">
        <f ca="1">IF($A47&gt;Z$34,"",IF(OFFSET(Tippabgabe!$DB$177,SUM(tipps!$A$34:Y$34)+tipps!$A47,0)&lt;0,"",OFFSET(Tippabgabe!$DB$177,SUM(tipps!$A$34:Y$34)+tipps!$A47,0)))</f>
        <v/>
      </c>
      <c r="AA69" t="str">
        <f ca="1">IF($A47&gt;AA$34,"",IF(OFFSET(Tippabgabe!$DB$177,SUM(tipps!$A$34:Z$34)+tipps!$A47,0)&lt;0,"",OFFSET(Tippabgabe!$DB$177,SUM(tipps!$A$34:Z$34)+tipps!$A47,0)))</f>
        <v/>
      </c>
      <c r="AB69" t="str">
        <f ca="1">IF($A47&gt;AB$34,"",IF(OFFSET(Tippabgabe!$DB$177,SUM(tipps!$A$34:AA$34)+tipps!$A47,0)&lt;0,"",OFFSET(Tippabgabe!$DB$177,SUM(tipps!$A$34:AA$34)+tipps!$A47,0)))</f>
        <v/>
      </c>
      <c r="AC69" t="str">
        <f ca="1">IF($A47&gt;AC$34,"",IF(OFFSET(Tippabgabe!$DB$177,SUM(tipps!$A$34:AB$34)+tipps!$A47,0)&lt;0,"",OFFSET(Tippabgabe!$DB$177,SUM(tipps!$A$34:AB$34)+tipps!$A47,0)))</f>
        <v/>
      </c>
      <c r="AD69" t="str">
        <f ca="1">IF($A47&gt;AD$34,"",IF(OFFSET(Tippabgabe!$DB$177,SUM(tipps!$A$34:AC$34)+tipps!$A47,0)&lt;0,"",OFFSET(Tippabgabe!$DB$177,SUM(tipps!$A$34:AC$34)+tipps!$A47,0)))</f>
        <v/>
      </c>
      <c r="AE69" t="str">
        <f ca="1">IF($A47&gt;AE$34,"",IF(OFFSET(Tippabgabe!$DB$177,SUM(tipps!$A$34:AD$34)+tipps!$A47,0)&lt;0,"",OFFSET(Tippabgabe!$DB$177,SUM(tipps!$A$34:AD$34)+tipps!$A47,0)))</f>
        <v/>
      </c>
      <c r="AF69" t="str">
        <f ca="1">IF($A47&gt;AF$34,"",IF(OFFSET(Tippabgabe!$DB$177,SUM(tipps!$A$34:AE$34)+tipps!$A47,0)&lt;0,"",OFFSET(Tippabgabe!$DB$177,SUM(tipps!$A$34:AE$34)+tipps!$A47,0)))</f>
        <v/>
      </c>
      <c r="AG69" t="str">
        <f ca="1">IF($A47&gt;AG$34,"",IF(OFFSET(Tippabgabe!$DB$177,SUM(tipps!$A$34:AF$34)+tipps!$A47,0)&lt;0,"",OFFSET(Tippabgabe!$DB$177,SUM(tipps!$A$34:AF$34)+tipps!$A47,0)))</f>
        <v/>
      </c>
      <c r="AH69" t="str">
        <f ca="1">IF($A47&gt;AH$34,"",IF(OFFSET(Tippabgabe!$DB$177,SUM(tipps!$A$34:AG$34)+tipps!$A47,0)&lt;0,"",OFFSET(Tippabgabe!$DB$177,SUM(tipps!$A$34:AG$34)+tipps!$A47,0)))</f>
        <v/>
      </c>
      <c r="AI69" t="str">
        <f ca="1">IF($A47&gt;AI$34,"",IF(OFFSET(Tippabgabe!$DB$177,SUM(tipps!$A$34:AH$34)+tipps!$A47,0)&lt;0,"",OFFSET(Tippabgabe!$DB$177,SUM(tipps!$A$34:AH$34)+tipps!$A47,0)))</f>
        <v/>
      </c>
      <c r="AJ69" t="str">
        <f ca="1">IF($A47&gt;AJ$34,"",IF(OFFSET(Tippabgabe!$DB$177,SUM(tipps!$A$34:AI$34)+tipps!$A47,0)&lt;0,"",OFFSET(Tippabgabe!$DB$177,SUM(tipps!$A$34:AI$34)+tipps!$A47,0)))</f>
        <v/>
      </c>
      <c r="AK69" t="str">
        <f ca="1">IF($A47&gt;AK$34,"",IF(OFFSET(Tippabgabe!$DB$177,SUM(tipps!$A$34:AJ$34)+tipps!$A47,0)&lt;0,"",OFFSET(Tippabgabe!$DB$177,SUM(tipps!$A$34:AJ$34)+tipps!$A47,0)))</f>
        <v/>
      </c>
      <c r="AL69" t="str">
        <f ca="1">IF($A47&gt;AL$34,"",IF(OFFSET(Tippabgabe!$DB$177,SUM(tipps!$A$34:AK$34)+tipps!$A47,0)&lt;0,"",OFFSET(Tippabgabe!$DB$177,SUM(tipps!$A$34:AK$34)+tipps!$A47,0)))</f>
        <v/>
      </c>
      <c r="AM69" t="str">
        <f ca="1">IF($A47&gt;AM$34,"",IF(OFFSET(Tippabgabe!$DB$177,SUM(tipps!$A$34:AL$34)+tipps!$A47,0)&lt;0,"",OFFSET(Tippabgabe!$DB$177,SUM(tipps!$A$34:AL$34)+tipps!$A47,0)))</f>
        <v/>
      </c>
      <c r="AN69" t="str">
        <f ca="1">IF($A47&gt;AN$34,"",IF(OFFSET(Tippabgabe!$DB$177,SUM(tipps!$A$34:AM$34)+tipps!$A47,0)&lt;0,"",OFFSET(Tippabgabe!$DB$177,SUM(tipps!$A$34:AM$34)+tipps!$A47,0)))</f>
        <v/>
      </c>
      <c r="AO69" t="str">
        <f ca="1">IF($A47&gt;AO$34,"",IF(OFFSET(Tippabgabe!$DB$177,SUM(tipps!$A$34:AN$34)+tipps!$A47,0)&lt;0,"",OFFSET(Tippabgabe!$DB$177,SUM(tipps!$A$34:AN$34)+tipps!$A47,0)))</f>
        <v/>
      </c>
      <c r="AP69" t="str">
        <f ca="1">IF($A47&gt;AP$34,"",IF(OFFSET(Tippabgabe!$DB$177,SUM(tipps!$A$34:AO$34)+tipps!$A47,0)&lt;0,"",OFFSET(Tippabgabe!$DB$177,SUM(tipps!$A$34:AO$34)+tipps!$A47,0)))</f>
        <v/>
      </c>
      <c r="AQ69" t="str">
        <f ca="1">IF($A47&gt;AQ$34,"",IF(OFFSET(Tippabgabe!$DB$177,SUM(tipps!$A$34:AP$34)+tipps!$A47,0)&lt;0,"",OFFSET(Tippabgabe!$DB$177,SUM(tipps!$A$34:AP$34)+tipps!$A47,0)))</f>
        <v/>
      </c>
      <c r="AR69" t="str">
        <f ca="1">IF($A47&gt;AR$34,"",IF(OFFSET(Tippabgabe!$DB$177,SUM(tipps!$A$34:AQ$34)+tipps!$A47,0)&lt;0,"",OFFSET(Tippabgabe!$DB$177,SUM(tipps!$A$34:AQ$34)+tipps!$A47,0)))</f>
        <v/>
      </c>
      <c r="AS69" t="str">
        <f ca="1">IF($A47&gt;AS$34,"",IF(OFFSET(Tippabgabe!$DB$177,SUM(tipps!$A$34:AR$34)+tipps!$A47,0)&lt;0,"",OFFSET(Tippabgabe!$DB$177,SUM(tipps!$A$34:AR$34)+tipps!$A47,0)))</f>
        <v/>
      </c>
      <c r="AT69" t="str">
        <f ca="1">IF($A47&gt;AT$34,"",IF(OFFSET(Tippabgabe!$DB$177,SUM(tipps!$A$34:AS$34)+tipps!$A47,0)&lt;0,"",OFFSET(Tippabgabe!$DB$177,SUM(tipps!$A$34:AS$34)+tipps!$A47,0)))</f>
        <v/>
      </c>
      <c r="AU69" t="str">
        <f ca="1">IF($A47&gt;AU$34,"",IF(OFFSET(Tippabgabe!$DB$177,SUM(tipps!$A$34:AT$34)+tipps!$A47,0)&lt;0,"",OFFSET(Tippabgabe!$DB$177,SUM(tipps!$A$34:AT$34)+tipps!$A47,0)))</f>
        <v/>
      </c>
      <c r="AV69" t="str">
        <f ca="1">IF($A47&gt;AV$34,"",IF(OFFSET(Tippabgabe!$DB$177,SUM(tipps!$A$34:AU$34)+tipps!$A47,0)&lt;0,"",OFFSET(Tippabgabe!$DB$177,SUM(tipps!$A$34:AU$34)+tipps!$A47,0)))</f>
        <v/>
      </c>
      <c r="AW69" t="str">
        <f ca="1">IF($A47&gt;AW$34,"",IF(OFFSET(Tippabgabe!$DB$177,SUM(tipps!$A$34:AV$34)+tipps!$A47,0)&lt;0,"",OFFSET(Tippabgabe!$DB$177,SUM(tipps!$A$34:AV$34)+tipps!$A47,0)))</f>
        <v/>
      </c>
      <c r="AX69" t="str">
        <f ca="1">IF($A47&gt;AX$34,"",IF(OFFSET(Tippabgabe!$DB$177,SUM(tipps!$A$34:AW$34)+tipps!$A47,0)&lt;0,"",OFFSET(Tippabgabe!$DB$177,SUM(tipps!$A$34:AW$34)+tipps!$A47,0)))</f>
        <v/>
      </c>
      <c r="AY69" t="str">
        <f ca="1">IF($A47&gt;AY$34,"",IF(OFFSET(Tippabgabe!$DB$177,SUM(tipps!$A$34:AX$34)+tipps!$A47,0)&lt;0,"",OFFSET(Tippabgabe!$DB$177,SUM(tipps!$A$34:AX$34)+tipps!$A47,0)))</f>
        <v/>
      </c>
      <c r="AZ69" t="str">
        <f ca="1">IF($A47&gt;AZ$34,"",IF(OFFSET(Tippabgabe!$DB$177,SUM(tipps!$A$34:AY$34)+tipps!$A47,0)&lt;0,"",OFFSET(Tippabgabe!$DB$177,SUM(tipps!$A$34:AY$34)+tipps!$A47,0)))</f>
        <v/>
      </c>
      <c r="BA69" t="str">
        <f ca="1">IF($A47&gt;BA$34,"",IF(OFFSET(Tippabgabe!$DB$177,SUM(tipps!$A$34:AZ$34)+tipps!$A47,0)&lt;0,"",OFFSET(Tippabgabe!$DB$177,SUM(tipps!$A$34:AZ$34)+tipps!$A47,0)))</f>
        <v/>
      </c>
      <c r="BB69" t="str">
        <f ca="1">IF($A47&gt;BB$34,"",IF(OFFSET(Tippabgabe!$DB$177,SUM(tipps!$A$34:BA$34)+tipps!$A47,0)&lt;0,"",OFFSET(Tippabgabe!$DB$177,SUM(tipps!$A$34:BA$34)+tipps!$A47,0)))</f>
        <v/>
      </c>
      <c r="BC69" t="str">
        <f ca="1">IF($A47&gt;BC$34,"",IF(OFFSET(Tippabgabe!$DB$177,SUM(tipps!$A$34:BB$34)+tipps!$A47,0)&lt;0,"",OFFSET(Tippabgabe!$DB$177,SUM(tipps!$A$34:BB$34)+tipps!$A47,0)))</f>
        <v/>
      </c>
      <c r="BD69" t="str">
        <f ca="1">IF($A47&gt;BD$34,"",IF(OFFSET(Tippabgabe!$DB$177,SUM(tipps!$A$34:BC$34)+tipps!$A47,0)&lt;0,"",OFFSET(Tippabgabe!$DB$177,SUM(tipps!$A$34:BC$34)+tipps!$A47,0)))</f>
        <v/>
      </c>
      <c r="BE69" t="str">
        <f ca="1">IF($A47&gt;BE$34,"",IF(OFFSET(Tippabgabe!$DB$177,SUM(tipps!$A$34:BD$34)+tipps!$A47,0)&lt;0,"",OFFSET(Tippabgabe!$DB$177,SUM(tipps!$A$34:BD$34)+tipps!$A47,0)))</f>
        <v/>
      </c>
      <c r="BF69" t="str">
        <f ca="1">IF($A47&gt;BF$34,"",IF(OFFSET(Tippabgabe!$DB$177,SUM(tipps!$A$34:BE$34)+tipps!$A47,0)&lt;0,"",OFFSET(Tippabgabe!$DB$177,SUM(tipps!$A$34:BE$34)+tipps!$A47,0)))</f>
        <v/>
      </c>
      <c r="BG69" t="str">
        <f ca="1">IF($A47&gt;BG$34,"",IF(OFFSET(Tippabgabe!$DB$177,SUM(tipps!$A$34:BF$34)+tipps!$A47,0)&lt;0,"",OFFSET(Tippabgabe!$DB$177,SUM(tipps!$A$34:BF$34)+tipps!$A47,0)))</f>
        <v/>
      </c>
      <c r="BH69" t="str">
        <f ca="1">IF($A47&gt;BH$34,"",IF(OFFSET(Tippabgabe!$DB$177,SUM(tipps!$A$34:BG$34)+tipps!$A47,0)&lt;0,"",OFFSET(Tippabgabe!$DB$177,SUM(tipps!$A$34:BG$34)+tipps!$A47,0)))</f>
        <v/>
      </c>
      <c r="BI69" t="str">
        <f ca="1">IF($A47&gt;BI$34,"",IF(OFFSET(Tippabgabe!$DB$177,SUM(tipps!$A$34:BH$34)+tipps!$A47,0)&lt;0,"",OFFSET(Tippabgabe!$DB$177,SUM(tipps!$A$34:BH$34)+tipps!$A47,0)))</f>
        <v/>
      </c>
      <c r="BJ69" t="str">
        <f ca="1">IF($A47&gt;BJ$34,"",IF(OFFSET(Tippabgabe!$DB$177,SUM(tipps!$A$34:BI$34)+tipps!$A47,0)&lt;0,"",OFFSET(Tippabgabe!$DB$177,SUM(tipps!$A$34:BI$34)+tipps!$A47,0)))</f>
        <v/>
      </c>
      <c r="BK69" t="str">
        <f ca="1">IF($A47&gt;BK$34,"",IF(OFFSET(Tippabgabe!$DB$177,SUM(tipps!$A$34:BJ$34)+tipps!$A47,0)&lt;0,"",OFFSET(Tippabgabe!$DB$177,SUM(tipps!$A$34:BJ$34)+tipps!$A47,0)))</f>
        <v/>
      </c>
      <c r="BL69" t="str">
        <f ca="1">IF($A47&gt;BL$34,"",IF(OFFSET(Tippabgabe!$DB$177,SUM(tipps!$A$34:BK$34)+tipps!$A47,0)&lt;0,"",OFFSET(Tippabgabe!$DB$177,SUM(tipps!$A$34:BK$34)+tipps!$A47,0)))</f>
        <v/>
      </c>
      <c r="BM69" t="str">
        <f ca="1">IF($A47&gt;BM$34,"",IF(OFFSET(Tippabgabe!$DB$177,SUM(tipps!$A$34:BL$34)+tipps!$A47,0)&lt;0,"",OFFSET(Tippabgabe!$DB$177,SUM(tipps!$A$34:BL$34)+tipps!$A47,0)))</f>
        <v/>
      </c>
      <c r="BN69" t="str">
        <f ca="1">IF($A47&gt;BN$34,"",IF(OFFSET(Tippabgabe!$DB$177,SUM(tipps!$A$34:BM$34)+tipps!$A47,0)&lt;0,"",OFFSET(Tippabgabe!$DB$177,SUM(tipps!$A$34:BM$34)+tipps!$A47,0)))</f>
        <v/>
      </c>
      <c r="BO69" t="str">
        <f ca="1">IF($A47&gt;BO$34,"",IF(OFFSET(Tippabgabe!$DB$177,SUM(tipps!$A$34:BN$34)+tipps!$A47,0)&lt;0,"",OFFSET(Tippabgabe!$DB$177,SUM(tipps!$A$34:BN$34)+tipps!$A47,0)))</f>
        <v/>
      </c>
      <c r="BP69" t="str">
        <f ca="1">IF($A47&gt;BP$34,"",IF(OFFSET(Tippabgabe!$DB$177,SUM(tipps!$A$34:BO$34)+tipps!$A47,0)&lt;0,"",OFFSET(Tippabgabe!$DB$177,SUM(tipps!$A$34:BO$34)+tipps!$A47,0)))</f>
        <v/>
      </c>
      <c r="BQ69" t="str">
        <f ca="1">IF($A47&gt;BQ$34,"",IF(OFFSET(Tippabgabe!$DB$177,SUM(tipps!$A$34:BP$34)+tipps!$A47,0)&lt;0,"",OFFSET(Tippabgabe!$DB$177,SUM(tipps!$A$34:BP$34)+tipps!$A47,0)))</f>
        <v/>
      </c>
      <c r="BR69" t="str">
        <f ca="1">IF($A47&gt;BR$34,"",IF(OFFSET(Tippabgabe!$DB$177,SUM(tipps!$A$34:BQ$34)+tipps!$A47,0)&lt;0,"",OFFSET(Tippabgabe!$DB$177,SUM(tipps!$A$34:BQ$34)+tipps!$A47,0)))</f>
        <v/>
      </c>
      <c r="BS69" t="str">
        <f ca="1">IF($A47&gt;BS$34,"",IF(OFFSET(Tippabgabe!$DB$177,SUM(tipps!$A$34:BR$34)+tipps!$A47,0)&lt;0,"",OFFSET(Tippabgabe!$DB$177,SUM(tipps!$A$34:BR$34)+tipps!$A47,0)))</f>
        <v/>
      </c>
      <c r="BT69" t="str">
        <f ca="1">IF($A47&gt;BT$34,"",IF(OFFSET(Tippabgabe!$DB$177,SUM(tipps!$A$34:BS$34)+tipps!$A47,0)&lt;0,"",OFFSET(Tippabgabe!$DB$177,SUM(tipps!$A$34:BS$34)+tipps!$A47,0)))</f>
        <v/>
      </c>
      <c r="BU69" t="str">
        <f ca="1">IF($A47&gt;BU$34,"",IF(OFFSET(Tippabgabe!$DB$177,SUM(tipps!$A$34:BT$34)+tipps!$A47,0)&lt;0,"",OFFSET(Tippabgabe!$DB$177,SUM(tipps!$A$34:BT$34)+tipps!$A47,0)))</f>
        <v/>
      </c>
      <c r="BV69" t="str">
        <f ca="1">IF($A47&gt;BV$34,"",IF(OFFSET(Tippabgabe!$DB$177,SUM(tipps!$A$34:BU$34)+tipps!$A47,0)&lt;0,"",OFFSET(Tippabgabe!$DB$177,SUM(tipps!$A$34:BU$34)+tipps!$A47,0)))</f>
        <v/>
      </c>
      <c r="BW69" t="str">
        <f ca="1">IF($A47&gt;BW$34,"",IF(OFFSET(Tippabgabe!$DB$177,SUM(tipps!$A$34:BV$34)+tipps!$A47,0)&lt;0,"",OFFSET(Tippabgabe!$DB$177,SUM(tipps!$A$34:BV$34)+tipps!$A47,0)))</f>
        <v/>
      </c>
    </row>
    <row r="70" spans="1:75" x14ac:dyDescent="0.2">
      <c r="A70">
        <v>13</v>
      </c>
      <c r="B70" t="str">
        <f ca="1">IF($A48&gt;B$34,"",IF(OFFSET(Tippabgabe!$DB$177,SUM(tipps!$A$34:A$34)+tipps!$A48,0)&lt;0,"",OFFSET(Tippabgabe!$DB$177,SUM(tipps!$A$34:A$34)+tipps!$A48,0)))</f>
        <v/>
      </c>
      <c r="C70" t="str">
        <f ca="1">IF($A48&gt;C$34,"",IF(OFFSET(Tippabgabe!$DB$177,SUM(tipps!$A$34:B$34)+tipps!$A48,0)&lt;0,"",OFFSET(Tippabgabe!$DB$177,SUM(tipps!$A$34:B$34)+tipps!$A48,0)))</f>
        <v/>
      </c>
      <c r="D70" t="str">
        <f ca="1">IF($A48&gt;D$34,"",IF(OFFSET(Tippabgabe!$DB$177,SUM(tipps!$A$34:C$34)+tipps!$A48,0)&lt;0,"",OFFSET(Tippabgabe!$DB$177,SUM(tipps!$A$34:C$34)+tipps!$A48,0)))</f>
        <v/>
      </c>
      <c r="E70" t="str">
        <f ca="1">IF($A48&gt;E$34,"",IF(OFFSET(Tippabgabe!$DB$177,SUM(tipps!$A$34:D$34)+tipps!$A48,0)&lt;0,"",OFFSET(Tippabgabe!$DB$177,SUM(tipps!$A$34:D$34)+tipps!$A48,0)))</f>
        <v/>
      </c>
      <c r="F70" t="str">
        <f ca="1">IF($A48&gt;F$34,"",IF(OFFSET(Tippabgabe!$DB$177,SUM(tipps!$A$34:E$34)+tipps!$A48,0)&lt;0,"",OFFSET(Tippabgabe!$DB$177,SUM(tipps!$A$34:E$34)+tipps!$A48,0)))</f>
        <v/>
      </c>
      <c r="G70" t="str">
        <f ca="1">IF($A48&gt;G$34,"",IF(OFFSET(Tippabgabe!$DB$177,SUM(tipps!$A$34:F$34)+tipps!$A48,0)&lt;0,"",OFFSET(Tippabgabe!$DB$177,SUM(tipps!$A$34:F$34)+tipps!$A48,0)))</f>
        <v/>
      </c>
      <c r="H70" t="str">
        <f ca="1">IF($A48&gt;H$34,"",IF(OFFSET(Tippabgabe!$DB$177,SUM(tipps!$A$34:G$34)+tipps!$A48,0)&lt;0,"",OFFSET(Tippabgabe!$DB$177,SUM(tipps!$A$34:G$34)+tipps!$A48,0)))</f>
        <v/>
      </c>
      <c r="I70" t="str">
        <f ca="1">IF($A48&gt;I$34,"",IF(OFFSET(Tippabgabe!$DB$177,SUM(tipps!$A$34:H$34)+tipps!$A48,0)&lt;0,"",OFFSET(Tippabgabe!$DB$177,SUM(tipps!$A$34:H$34)+tipps!$A48,0)))</f>
        <v/>
      </c>
      <c r="J70" t="str">
        <f ca="1">IF($A48&gt;J$34,"",IF(OFFSET(Tippabgabe!$DB$177,SUM(tipps!$A$34:I$34)+tipps!$A48,0)&lt;0,"",OFFSET(Tippabgabe!$DB$177,SUM(tipps!$A$34:I$34)+tipps!$A48,0)))</f>
        <v/>
      </c>
      <c r="K70">
        <f ca="1">IF($A48&gt;K$34,"",IF(OFFSET(Tippabgabe!$DB$177,SUM(tipps!$A$34:J$34)+tipps!$A48,0)&lt;0,"",OFFSET(Tippabgabe!$DB$177,SUM(tipps!$A$34:J$34)+tipps!$A48,0)))</f>
        <v>3</v>
      </c>
      <c r="L70" t="str">
        <f ca="1">IF($A48&gt;L$34,"",IF(OFFSET(Tippabgabe!$DB$177,SUM(tipps!$A$34:K$34)+tipps!$A48,0)&lt;0,"",OFFSET(Tippabgabe!$DB$177,SUM(tipps!$A$34:K$34)+tipps!$A48,0)))</f>
        <v/>
      </c>
      <c r="M70" t="str">
        <f ca="1">IF($A48&gt;M$34,"",IF(OFFSET(Tippabgabe!$DB$177,SUM(tipps!$A$34:L$34)+tipps!$A48,0)&lt;0,"",OFFSET(Tippabgabe!$DB$177,SUM(tipps!$A$34:L$34)+tipps!$A48,0)))</f>
        <v/>
      </c>
      <c r="N70" t="str">
        <f ca="1">IF($A48&gt;N$34,"",IF(OFFSET(Tippabgabe!$DB$177,SUM(tipps!$A$34:M$34)+tipps!$A48,0)&lt;0,"",OFFSET(Tippabgabe!$DB$177,SUM(tipps!$A$34:M$34)+tipps!$A48,0)))</f>
        <v/>
      </c>
      <c r="O70" t="str">
        <f ca="1">IF($A48&gt;O$34,"",IF(OFFSET(Tippabgabe!$DB$177,SUM(tipps!$A$34:N$34)+tipps!$A48,0)&lt;0,"",OFFSET(Tippabgabe!$DB$177,SUM(tipps!$A$34:N$34)+tipps!$A48,0)))</f>
        <v/>
      </c>
      <c r="P70" t="str">
        <f ca="1">IF($A48&gt;P$34,"",IF(OFFSET(Tippabgabe!$DB$177,SUM(tipps!$A$34:O$34)+tipps!$A48,0)&lt;0,"",OFFSET(Tippabgabe!$DB$177,SUM(tipps!$A$34:O$34)+tipps!$A48,0)))</f>
        <v/>
      </c>
      <c r="Q70" t="str">
        <f ca="1">IF($A48&gt;Q$34,"",IF(OFFSET(Tippabgabe!$DB$177,SUM(tipps!$A$34:P$34)+tipps!$A48,0)&lt;0,"",OFFSET(Tippabgabe!$DB$177,SUM(tipps!$A$34:P$34)+tipps!$A48,0)))</f>
        <v/>
      </c>
      <c r="R70" t="str">
        <f ca="1">IF($A48&gt;R$34,"",IF(OFFSET(Tippabgabe!$DB$177,SUM(tipps!$A$34:Q$34)+tipps!$A48,0)&lt;0,"",OFFSET(Tippabgabe!$DB$177,SUM(tipps!$A$34:Q$34)+tipps!$A48,0)))</f>
        <v/>
      </c>
      <c r="S70" t="str">
        <f ca="1">IF($A48&gt;S$34,"",IF(OFFSET(Tippabgabe!$DB$177,SUM(tipps!$A$34:R$34)+tipps!$A48,0)&lt;0,"",OFFSET(Tippabgabe!$DB$177,SUM(tipps!$A$34:R$34)+tipps!$A48,0)))</f>
        <v/>
      </c>
      <c r="T70" t="str">
        <f ca="1">IF($A48&gt;T$34,"",IF(OFFSET(Tippabgabe!$DB$177,SUM(tipps!$A$34:S$34)+tipps!$A48,0)&lt;0,"",OFFSET(Tippabgabe!$DB$177,SUM(tipps!$A$34:S$34)+tipps!$A48,0)))</f>
        <v/>
      </c>
      <c r="U70" t="str">
        <f ca="1">IF($A48&gt;U$34,"",IF(OFFSET(Tippabgabe!$DB$177,SUM(tipps!$A$34:T$34)+tipps!$A48,0)&lt;0,"",OFFSET(Tippabgabe!$DB$177,SUM(tipps!$A$34:T$34)+tipps!$A48,0)))</f>
        <v/>
      </c>
      <c r="V70" t="str">
        <f ca="1">IF($A48&gt;V$34,"",IF(OFFSET(Tippabgabe!$DB$177,SUM(tipps!$A$34:U$34)+tipps!$A48,0)&lt;0,"",OFFSET(Tippabgabe!$DB$177,SUM(tipps!$A$34:U$34)+tipps!$A48,0)))</f>
        <v/>
      </c>
      <c r="W70" t="str">
        <f ca="1">IF($A48&gt;W$34,"",IF(OFFSET(Tippabgabe!$DB$177,SUM(tipps!$A$34:V$34)+tipps!$A48,0)&lt;0,"",OFFSET(Tippabgabe!$DB$177,SUM(tipps!$A$34:V$34)+tipps!$A48,0)))</f>
        <v/>
      </c>
      <c r="X70" t="str">
        <f ca="1">IF($A48&gt;X$34,"",IF(OFFSET(Tippabgabe!$DB$177,SUM(tipps!$A$34:W$34)+tipps!$A48,0)&lt;0,"",OFFSET(Tippabgabe!$DB$177,SUM(tipps!$A$34:W$34)+tipps!$A48,0)))</f>
        <v/>
      </c>
      <c r="Y70" t="str">
        <f ca="1">IF($A48&gt;Y$34,"",IF(OFFSET(Tippabgabe!$DB$177,SUM(tipps!$A$34:X$34)+tipps!$A48,0)&lt;0,"",OFFSET(Tippabgabe!$DB$177,SUM(tipps!$A$34:X$34)+tipps!$A48,0)))</f>
        <v/>
      </c>
      <c r="Z70" t="str">
        <f ca="1">IF($A48&gt;Z$34,"",IF(OFFSET(Tippabgabe!$DB$177,SUM(tipps!$A$34:Y$34)+tipps!$A48,0)&lt;0,"",OFFSET(Tippabgabe!$DB$177,SUM(tipps!$A$34:Y$34)+tipps!$A48,0)))</f>
        <v/>
      </c>
      <c r="AA70" t="str">
        <f ca="1">IF($A48&gt;AA$34,"",IF(OFFSET(Tippabgabe!$DB$177,SUM(tipps!$A$34:Z$34)+tipps!$A48,0)&lt;0,"",OFFSET(Tippabgabe!$DB$177,SUM(tipps!$A$34:Z$34)+tipps!$A48,0)))</f>
        <v/>
      </c>
      <c r="AB70" t="str">
        <f ca="1">IF($A48&gt;AB$34,"",IF(OFFSET(Tippabgabe!$DB$177,SUM(tipps!$A$34:AA$34)+tipps!$A48,0)&lt;0,"",OFFSET(Tippabgabe!$DB$177,SUM(tipps!$A$34:AA$34)+tipps!$A48,0)))</f>
        <v/>
      </c>
      <c r="AC70" t="str">
        <f ca="1">IF($A48&gt;AC$34,"",IF(OFFSET(Tippabgabe!$DB$177,SUM(tipps!$A$34:AB$34)+tipps!$A48,0)&lt;0,"",OFFSET(Tippabgabe!$DB$177,SUM(tipps!$A$34:AB$34)+tipps!$A48,0)))</f>
        <v/>
      </c>
      <c r="AD70" t="str">
        <f ca="1">IF($A48&gt;AD$34,"",IF(OFFSET(Tippabgabe!$DB$177,SUM(tipps!$A$34:AC$34)+tipps!$A48,0)&lt;0,"",OFFSET(Tippabgabe!$DB$177,SUM(tipps!$A$34:AC$34)+tipps!$A48,0)))</f>
        <v/>
      </c>
      <c r="AE70" t="str">
        <f ca="1">IF($A48&gt;AE$34,"",IF(OFFSET(Tippabgabe!$DB$177,SUM(tipps!$A$34:AD$34)+tipps!$A48,0)&lt;0,"",OFFSET(Tippabgabe!$DB$177,SUM(tipps!$A$34:AD$34)+tipps!$A48,0)))</f>
        <v/>
      </c>
      <c r="AF70" t="str">
        <f ca="1">IF($A48&gt;AF$34,"",IF(OFFSET(Tippabgabe!$DB$177,SUM(tipps!$A$34:AE$34)+tipps!$A48,0)&lt;0,"",OFFSET(Tippabgabe!$DB$177,SUM(tipps!$A$34:AE$34)+tipps!$A48,0)))</f>
        <v/>
      </c>
      <c r="AG70" t="str">
        <f ca="1">IF($A48&gt;AG$34,"",IF(OFFSET(Tippabgabe!$DB$177,SUM(tipps!$A$34:AF$34)+tipps!$A48,0)&lt;0,"",OFFSET(Tippabgabe!$DB$177,SUM(tipps!$A$34:AF$34)+tipps!$A48,0)))</f>
        <v/>
      </c>
      <c r="AH70" t="str">
        <f ca="1">IF($A48&gt;AH$34,"",IF(OFFSET(Tippabgabe!$DB$177,SUM(tipps!$A$34:AG$34)+tipps!$A48,0)&lt;0,"",OFFSET(Tippabgabe!$DB$177,SUM(tipps!$A$34:AG$34)+tipps!$A48,0)))</f>
        <v/>
      </c>
      <c r="AI70" t="str">
        <f ca="1">IF($A48&gt;AI$34,"",IF(OFFSET(Tippabgabe!$DB$177,SUM(tipps!$A$34:AH$34)+tipps!$A48,0)&lt;0,"",OFFSET(Tippabgabe!$DB$177,SUM(tipps!$A$34:AH$34)+tipps!$A48,0)))</f>
        <v/>
      </c>
      <c r="AJ70" t="str">
        <f ca="1">IF($A48&gt;AJ$34,"",IF(OFFSET(Tippabgabe!$DB$177,SUM(tipps!$A$34:AI$34)+tipps!$A48,0)&lt;0,"",OFFSET(Tippabgabe!$DB$177,SUM(tipps!$A$34:AI$34)+tipps!$A48,0)))</f>
        <v/>
      </c>
      <c r="AK70" t="str">
        <f ca="1">IF($A48&gt;AK$34,"",IF(OFFSET(Tippabgabe!$DB$177,SUM(tipps!$A$34:AJ$34)+tipps!$A48,0)&lt;0,"",OFFSET(Tippabgabe!$DB$177,SUM(tipps!$A$34:AJ$34)+tipps!$A48,0)))</f>
        <v/>
      </c>
      <c r="AL70" t="str">
        <f ca="1">IF($A48&gt;AL$34,"",IF(OFFSET(Tippabgabe!$DB$177,SUM(tipps!$A$34:AK$34)+tipps!$A48,0)&lt;0,"",OFFSET(Tippabgabe!$DB$177,SUM(tipps!$A$34:AK$34)+tipps!$A48,0)))</f>
        <v/>
      </c>
      <c r="AM70" t="str">
        <f ca="1">IF($A48&gt;AM$34,"",IF(OFFSET(Tippabgabe!$DB$177,SUM(tipps!$A$34:AL$34)+tipps!$A48,0)&lt;0,"",OFFSET(Tippabgabe!$DB$177,SUM(tipps!$A$34:AL$34)+tipps!$A48,0)))</f>
        <v/>
      </c>
      <c r="AN70" t="str">
        <f ca="1">IF($A48&gt;AN$34,"",IF(OFFSET(Tippabgabe!$DB$177,SUM(tipps!$A$34:AM$34)+tipps!$A48,0)&lt;0,"",OFFSET(Tippabgabe!$DB$177,SUM(tipps!$A$34:AM$34)+tipps!$A48,0)))</f>
        <v/>
      </c>
      <c r="AO70" t="str">
        <f ca="1">IF($A48&gt;AO$34,"",IF(OFFSET(Tippabgabe!$DB$177,SUM(tipps!$A$34:AN$34)+tipps!$A48,0)&lt;0,"",OFFSET(Tippabgabe!$DB$177,SUM(tipps!$A$34:AN$34)+tipps!$A48,0)))</f>
        <v/>
      </c>
      <c r="AP70" t="str">
        <f ca="1">IF($A48&gt;AP$34,"",IF(OFFSET(Tippabgabe!$DB$177,SUM(tipps!$A$34:AO$34)+tipps!$A48,0)&lt;0,"",OFFSET(Tippabgabe!$DB$177,SUM(tipps!$A$34:AO$34)+tipps!$A48,0)))</f>
        <v/>
      </c>
      <c r="AQ70" t="str">
        <f ca="1">IF($A48&gt;AQ$34,"",IF(OFFSET(Tippabgabe!$DB$177,SUM(tipps!$A$34:AP$34)+tipps!$A48,0)&lt;0,"",OFFSET(Tippabgabe!$DB$177,SUM(tipps!$A$34:AP$34)+tipps!$A48,0)))</f>
        <v/>
      </c>
      <c r="AR70" t="str">
        <f ca="1">IF($A48&gt;AR$34,"",IF(OFFSET(Tippabgabe!$DB$177,SUM(tipps!$A$34:AQ$34)+tipps!$A48,0)&lt;0,"",OFFSET(Tippabgabe!$DB$177,SUM(tipps!$A$34:AQ$34)+tipps!$A48,0)))</f>
        <v/>
      </c>
      <c r="AS70" t="str">
        <f ca="1">IF($A48&gt;AS$34,"",IF(OFFSET(Tippabgabe!$DB$177,SUM(tipps!$A$34:AR$34)+tipps!$A48,0)&lt;0,"",OFFSET(Tippabgabe!$DB$177,SUM(tipps!$A$34:AR$34)+tipps!$A48,0)))</f>
        <v/>
      </c>
      <c r="AT70" t="str">
        <f ca="1">IF($A48&gt;AT$34,"",IF(OFFSET(Tippabgabe!$DB$177,SUM(tipps!$A$34:AS$34)+tipps!$A48,0)&lt;0,"",OFFSET(Tippabgabe!$DB$177,SUM(tipps!$A$34:AS$34)+tipps!$A48,0)))</f>
        <v/>
      </c>
      <c r="AU70" t="str">
        <f ca="1">IF($A48&gt;AU$34,"",IF(OFFSET(Tippabgabe!$DB$177,SUM(tipps!$A$34:AT$34)+tipps!$A48,0)&lt;0,"",OFFSET(Tippabgabe!$DB$177,SUM(tipps!$A$34:AT$34)+tipps!$A48,0)))</f>
        <v/>
      </c>
      <c r="AV70" t="str">
        <f ca="1">IF($A48&gt;AV$34,"",IF(OFFSET(Tippabgabe!$DB$177,SUM(tipps!$A$34:AU$34)+tipps!$A48,0)&lt;0,"",OFFSET(Tippabgabe!$DB$177,SUM(tipps!$A$34:AU$34)+tipps!$A48,0)))</f>
        <v/>
      </c>
      <c r="AW70" t="str">
        <f ca="1">IF($A48&gt;AW$34,"",IF(OFFSET(Tippabgabe!$DB$177,SUM(tipps!$A$34:AV$34)+tipps!$A48,0)&lt;0,"",OFFSET(Tippabgabe!$DB$177,SUM(tipps!$A$34:AV$34)+tipps!$A48,0)))</f>
        <v/>
      </c>
      <c r="AX70" t="str">
        <f ca="1">IF($A48&gt;AX$34,"",IF(OFFSET(Tippabgabe!$DB$177,SUM(tipps!$A$34:AW$34)+tipps!$A48,0)&lt;0,"",OFFSET(Tippabgabe!$DB$177,SUM(tipps!$A$34:AW$34)+tipps!$A48,0)))</f>
        <v/>
      </c>
      <c r="AY70" t="str">
        <f ca="1">IF($A48&gt;AY$34,"",IF(OFFSET(Tippabgabe!$DB$177,SUM(tipps!$A$34:AX$34)+tipps!$A48,0)&lt;0,"",OFFSET(Tippabgabe!$DB$177,SUM(tipps!$A$34:AX$34)+tipps!$A48,0)))</f>
        <v/>
      </c>
      <c r="AZ70" t="str">
        <f ca="1">IF($A48&gt;AZ$34,"",IF(OFFSET(Tippabgabe!$DB$177,SUM(tipps!$A$34:AY$34)+tipps!$A48,0)&lt;0,"",OFFSET(Tippabgabe!$DB$177,SUM(tipps!$A$34:AY$34)+tipps!$A48,0)))</f>
        <v/>
      </c>
      <c r="BA70" t="str">
        <f ca="1">IF($A48&gt;BA$34,"",IF(OFFSET(Tippabgabe!$DB$177,SUM(tipps!$A$34:AZ$34)+tipps!$A48,0)&lt;0,"",OFFSET(Tippabgabe!$DB$177,SUM(tipps!$A$34:AZ$34)+tipps!$A48,0)))</f>
        <v/>
      </c>
      <c r="BB70" t="str">
        <f ca="1">IF($A48&gt;BB$34,"",IF(OFFSET(Tippabgabe!$DB$177,SUM(tipps!$A$34:BA$34)+tipps!$A48,0)&lt;0,"",OFFSET(Tippabgabe!$DB$177,SUM(tipps!$A$34:BA$34)+tipps!$A48,0)))</f>
        <v/>
      </c>
      <c r="BC70" t="str">
        <f ca="1">IF($A48&gt;BC$34,"",IF(OFFSET(Tippabgabe!$DB$177,SUM(tipps!$A$34:BB$34)+tipps!$A48,0)&lt;0,"",OFFSET(Tippabgabe!$DB$177,SUM(tipps!$A$34:BB$34)+tipps!$A48,0)))</f>
        <v/>
      </c>
      <c r="BD70" t="str">
        <f ca="1">IF($A48&gt;BD$34,"",IF(OFFSET(Tippabgabe!$DB$177,SUM(tipps!$A$34:BC$34)+tipps!$A48,0)&lt;0,"",OFFSET(Tippabgabe!$DB$177,SUM(tipps!$A$34:BC$34)+tipps!$A48,0)))</f>
        <v/>
      </c>
      <c r="BE70" t="str">
        <f ca="1">IF($A48&gt;BE$34,"",IF(OFFSET(Tippabgabe!$DB$177,SUM(tipps!$A$34:BD$34)+tipps!$A48,0)&lt;0,"",OFFSET(Tippabgabe!$DB$177,SUM(tipps!$A$34:BD$34)+tipps!$A48,0)))</f>
        <v/>
      </c>
      <c r="BF70" t="str">
        <f ca="1">IF($A48&gt;BF$34,"",IF(OFFSET(Tippabgabe!$DB$177,SUM(tipps!$A$34:BE$34)+tipps!$A48,0)&lt;0,"",OFFSET(Tippabgabe!$DB$177,SUM(tipps!$A$34:BE$34)+tipps!$A48,0)))</f>
        <v/>
      </c>
      <c r="BG70" t="str">
        <f ca="1">IF($A48&gt;BG$34,"",IF(OFFSET(Tippabgabe!$DB$177,SUM(tipps!$A$34:BF$34)+tipps!$A48,0)&lt;0,"",OFFSET(Tippabgabe!$DB$177,SUM(tipps!$A$34:BF$34)+tipps!$A48,0)))</f>
        <v/>
      </c>
      <c r="BH70" t="str">
        <f ca="1">IF($A48&gt;BH$34,"",IF(OFFSET(Tippabgabe!$DB$177,SUM(tipps!$A$34:BG$34)+tipps!$A48,0)&lt;0,"",OFFSET(Tippabgabe!$DB$177,SUM(tipps!$A$34:BG$34)+tipps!$A48,0)))</f>
        <v/>
      </c>
      <c r="BI70" t="str">
        <f ca="1">IF($A48&gt;BI$34,"",IF(OFFSET(Tippabgabe!$DB$177,SUM(tipps!$A$34:BH$34)+tipps!$A48,0)&lt;0,"",OFFSET(Tippabgabe!$DB$177,SUM(tipps!$A$34:BH$34)+tipps!$A48,0)))</f>
        <v/>
      </c>
      <c r="BJ70" t="str">
        <f ca="1">IF($A48&gt;BJ$34,"",IF(OFFSET(Tippabgabe!$DB$177,SUM(tipps!$A$34:BI$34)+tipps!$A48,0)&lt;0,"",OFFSET(Tippabgabe!$DB$177,SUM(tipps!$A$34:BI$34)+tipps!$A48,0)))</f>
        <v/>
      </c>
      <c r="BK70" t="str">
        <f ca="1">IF($A48&gt;BK$34,"",IF(OFFSET(Tippabgabe!$DB$177,SUM(tipps!$A$34:BJ$34)+tipps!$A48,0)&lt;0,"",OFFSET(Tippabgabe!$DB$177,SUM(tipps!$A$34:BJ$34)+tipps!$A48,0)))</f>
        <v/>
      </c>
      <c r="BL70" t="str">
        <f ca="1">IF($A48&gt;BL$34,"",IF(OFFSET(Tippabgabe!$DB$177,SUM(tipps!$A$34:BK$34)+tipps!$A48,0)&lt;0,"",OFFSET(Tippabgabe!$DB$177,SUM(tipps!$A$34:BK$34)+tipps!$A48,0)))</f>
        <v/>
      </c>
      <c r="BM70" t="str">
        <f ca="1">IF($A48&gt;BM$34,"",IF(OFFSET(Tippabgabe!$DB$177,SUM(tipps!$A$34:BL$34)+tipps!$A48,0)&lt;0,"",OFFSET(Tippabgabe!$DB$177,SUM(tipps!$A$34:BL$34)+tipps!$A48,0)))</f>
        <v/>
      </c>
      <c r="BN70" t="str">
        <f ca="1">IF($A48&gt;BN$34,"",IF(OFFSET(Tippabgabe!$DB$177,SUM(tipps!$A$34:BM$34)+tipps!$A48,0)&lt;0,"",OFFSET(Tippabgabe!$DB$177,SUM(tipps!$A$34:BM$34)+tipps!$A48,0)))</f>
        <v/>
      </c>
      <c r="BO70" t="str">
        <f ca="1">IF($A48&gt;BO$34,"",IF(OFFSET(Tippabgabe!$DB$177,SUM(tipps!$A$34:BN$34)+tipps!$A48,0)&lt;0,"",OFFSET(Tippabgabe!$DB$177,SUM(tipps!$A$34:BN$34)+tipps!$A48,0)))</f>
        <v/>
      </c>
      <c r="BP70" t="str">
        <f ca="1">IF($A48&gt;BP$34,"",IF(OFFSET(Tippabgabe!$DB$177,SUM(tipps!$A$34:BO$34)+tipps!$A48,0)&lt;0,"",OFFSET(Tippabgabe!$DB$177,SUM(tipps!$A$34:BO$34)+tipps!$A48,0)))</f>
        <v/>
      </c>
      <c r="BQ70" t="str">
        <f ca="1">IF($A48&gt;BQ$34,"",IF(OFFSET(Tippabgabe!$DB$177,SUM(tipps!$A$34:BP$34)+tipps!$A48,0)&lt;0,"",OFFSET(Tippabgabe!$DB$177,SUM(tipps!$A$34:BP$34)+tipps!$A48,0)))</f>
        <v/>
      </c>
      <c r="BR70" t="str">
        <f ca="1">IF($A48&gt;BR$34,"",IF(OFFSET(Tippabgabe!$DB$177,SUM(tipps!$A$34:BQ$34)+tipps!$A48,0)&lt;0,"",OFFSET(Tippabgabe!$DB$177,SUM(tipps!$A$34:BQ$34)+tipps!$A48,0)))</f>
        <v/>
      </c>
      <c r="BS70" t="str">
        <f ca="1">IF($A48&gt;BS$34,"",IF(OFFSET(Tippabgabe!$DB$177,SUM(tipps!$A$34:BR$34)+tipps!$A48,0)&lt;0,"",OFFSET(Tippabgabe!$DB$177,SUM(tipps!$A$34:BR$34)+tipps!$A48,0)))</f>
        <v/>
      </c>
      <c r="BT70" t="str">
        <f ca="1">IF($A48&gt;BT$34,"",IF(OFFSET(Tippabgabe!$DB$177,SUM(tipps!$A$34:BS$34)+tipps!$A48,0)&lt;0,"",OFFSET(Tippabgabe!$DB$177,SUM(tipps!$A$34:BS$34)+tipps!$A48,0)))</f>
        <v/>
      </c>
      <c r="BU70" t="str">
        <f ca="1">IF($A48&gt;BU$34,"",IF(OFFSET(Tippabgabe!$DB$177,SUM(tipps!$A$34:BT$34)+tipps!$A48,0)&lt;0,"",OFFSET(Tippabgabe!$DB$177,SUM(tipps!$A$34:BT$34)+tipps!$A48,0)))</f>
        <v/>
      </c>
      <c r="BV70" t="str">
        <f ca="1">IF($A48&gt;BV$34,"",IF(OFFSET(Tippabgabe!$DB$177,SUM(tipps!$A$34:BU$34)+tipps!$A48,0)&lt;0,"",OFFSET(Tippabgabe!$DB$177,SUM(tipps!$A$34:BU$34)+tipps!$A48,0)))</f>
        <v/>
      </c>
      <c r="BW70" t="str">
        <f ca="1">IF($A48&gt;BW$34,"",IF(OFFSET(Tippabgabe!$DB$177,SUM(tipps!$A$34:BV$34)+tipps!$A48,0)&lt;0,"",OFFSET(Tippabgabe!$DB$177,SUM(tipps!$A$34:BV$34)+tipps!$A48,0)))</f>
        <v/>
      </c>
    </row>
    <row r="71" spans="1:75" x14ac:dyDescent="0.2">
      <c r="A71">
        <v>14</v>
      </c>
      <c r="B71" t="str">
        <f ca="1">IF($A49&gt;B$34,"",IF(OFFSET(Tippabgabe!$DB$177,SUM(tipps!$A$34:A$34)+tipps!$A49,0)&lt;0,"",OFFSET(Tippabgabe!$DB$177,SUM(tipps!$A$34:A$34)+tipps!$A49,0)))</f>
        <v/>
      </c>
      <c r="C71" t="str">
        <f ca="1">IF($A49&gt;C$34,"",IF(OFFSET(Tippabgabe!$DB$177,SUM(tipps!$A$34:B$34)+tipps!$A49,0)&lt;0,"",OFFSET(Tippabgabe!$DB$177,SUM(tipps!$A$34:B$34)+tipps!$A49,0)))</f>
        <v/>
      </c>
      <c r="D71" t="str">
        <f ca="1">IF($A49&gt;D$34,"",IF(OFFSET(Tippabgabe!$DB$177,SUM(tipps!$A$34:C$34)+tipps!$A49,0)&lt;0,"",OFFSET(Tippabgabe!$DB$177,SUM(tipps!$A$34:C$34)+tipps!$A49,0)))</f>
        <v/>
      </c>
      <c r="E71" t="str">
        <f ca="1">IF($A49&gt;E$34,"",IF(OFFSET(Tippabgabe!$DB$177,SUM(tipps!$A$34:D$34)+tipps!$A49,0)&lt;0,"",OFFSET(Tippabgabe!$DB$177,SUM(tipps!$A$34:D$34)+tipps!$A49,0)))</f>
        <v/>
      </c>
      <c r="F71" t="str">
        <f ca="1">IF($A49&gt;F$34,"",IF(OFFSET(Tippabgabe!$DB$177,SUM(tipps!$A$34:E$34)+tipps!$A49,0)&lt;0,"",OFFSET(Tippabgabe!$DB$177,SUM(tipps!$A$34:E$34)+tipps!$A49,0)))</f>
        <v/>
      </c>
      <c r="G71" t="str">
        <f ca="1">IF($A49&gt;G$34,"",IF(OFFSET(Tippabgabe!$DB$177,SUM(tipps!$A$34:F$34)+tipps!$A49,0)&lt;0,"",OFFSET(Tippabgabe!$DB$177,SUM(tipps!$A$34:F$34)+tipps!$A49,0)))</f>
        <v/>
      </c>
      <c r="H71" t="str">
        <f ca="1">IF($A49&gt;H$34,"",IF(OFFSET(Tippabgabe!$DB$177,SUM(tipps!$A$34:G$34)+tipps!$A49,0)&lt;0,"",OFFSET(Tippabgabe!$DB$177,SUM(tipps!$A$34:G$34)+tipps!$A49,0)))</f>
        <v/>
      </c>
      <c r="I71" t="str">
        <f ca="1">IF($A49&gt;I$34,"",IF(OFFSET(Tippabgabe!$DB$177,SUM(tipps!$A$34:H$34)+tipps!$A49,0)&lt;0,"",OFFSET(Tippabgabe!$DB$177,SUM(tipps!$A$34:H$34)+tipps!$A49,0)))</f>
        <v/>
      </c>
      <c r="J71" t="str">
        <f ca="1">IF($A49&gt;J$34,"",IF(OFFSET(Tippabgabe!$DB$177,SUM(tipps!$A$34:I$34)+tipps!$A49,0)&lt;0,"",OFFSET(Tippabgabe!$DB$177,SUM(tipps!$A$34:I$34)+tipps!$A49,0)))</f>
        <v/>
      </c>
      <c r="K71">
        <f ca="1">IF($A49&gt;K$34,"",IF(OFFSET(Tippabgabe!$DB$177,SUM(tipps!$A$34:J$34)+tipps!$A49,0)&lt;0,"",OFFSET(Tippabgabe!$DB$177,SUM(tipps!$A$34:J$34)+tipps!$A49,0)))</f>
        <v>15</v>
      </c>
      <c r="L71" t="str">
        <f ca="1">IF($A49&gt;L$34,"",IF(OFFSET(Tippabgabe!$DB$177,SUM(tipps!$A$34:K$34)+tipps!$A49,0)&lt;0,"",OFFSET(Tippabgabe!$DB$177,SUM(tipps!$A$34:K$34)+tipps!$A49,0)))</f>
        <v/>
      </c>
      <c r="M71" t="str">
        <f ca="1">IF($A49&gt;M$34,"",IF(OFFSET(Tippabgabe!$DB$177,SUM(tipps!$A$34:L$34)+tipps!$A49,0)&lt;0,"",OFFSET(Tippabgabe!$DB$177,SUM(tipps!$A$34:L$34)+tipps!$A49,0)))</f>
        <v/>
      </c>
      <c r="N71" t="str">
        <f ca="1">IF($A49&gt;N$34,"",IF(OFFSET(Tippabgabe!$DB$177,SUM(tipps!$A$34:M$34)+tipps!$A49,0)&lt;0,"",OFFSET(Tippabgabe!$DB$177,SUM(tipps!$A$34:M$34)+tipps!$A49,0)))</f>
        <v/>
      </c>
      <c r="O71" t="str">
        <f ca="1">IF($A49&gt;O$34,"",IF(OFFSET(Tippabgabe!$DB$177,SUM(tipps!$A$34:N$34)+tipps!$A49,0)&lt;0,"",OFFSET(Tippabgabe!$DB$177,SUM(tipps!$A$34:N$34)+tipps!$A49,0)))</f>
        <v/>
      </c>
      <c r="P71" t="str">
        <f ca="1">IF($A49&gt;P$34,"",IF(OFFSET(Tippabgabe!$DB$177,SUM(tipps!$A$34:O$34)+tipps!$A49,0)&lt;0,"",OFFSET(Tippabgabe!$DB$177,SUM(tipps!$A$34:O$34)+tipps!$A49,0)))</f>
        <v/>
      </c>
      <c r="Q71" t="str">
        <f ca="1">IF($A49&gt;Q$34,"",IF(OFFSET(Tippabgabe!$DB$177,SUM(tipps!$A$34:P$34)+tipps!$A49,0)&lt;0,"",OFFSET(Tippabgabe!$DB$177,SUM(tipps!$A$34:P$34)+tipps!$A49,0)))</f>
        <v/>
      </c>
      <c r="R71" t="str">
        <f ca="1">IF($A49&gt;R$34,"",IF(OFFSET(Tippabgabe!$DB$177,SUM(tipps!$A$34:Q$34)+tipps!$A49,0)&lt;0,"",OFFSET(Tippabgabe!$DB$177,SUM(tipps!$A$34:Q$34)+tipps!$A49,0)))</f>
        <v/>
      </c>
      <c r="S71" t="str">
        <f ca="1">IF($A49&gt;S$34,"",IF(OFFSET(Tippabgabe!$DB$177,SUM(tipps!$A$34:R$34)+tipps!$A49,0)&lt;0,"",OFFSET(Tippabgabe!$DB$177,SUM(tipps!$A$34:R$34)+tipps!$A49,0)))</f>
        <v/>
      </c>
      <c r="T71" t="str">
        <f ca="1">IF($A49&gt;T$34,"",IF(OFFSET(Tippabgabe!$DB$177,SUM(tipps!$A$34:S$34)+tipps!$A49,0)&lt;0,"",OFFSET(Tippabgabe!$DB$177,SUM(tipps!$A$34:S$34)+tipps!$A49,0)))</f>
        <v/>
      </c>
      <c r="U71" t="str">
        <f ca="1">IF($A49&gt;U$34,"",IF(OFFSET(Tippabgabe!$DB$177,SUM(tipps!$A$34:T$34)+tipps!$A49,0)&lt;0,"",OFFSET(Tippabgabe!$DB$177,SUM(tipps!$A$34:T$34)+tipps!$A49,0)))</f>
        <v/>
      </c>
      <c r="V71" t="str">
        <f ca="1">IF($A49&gt;V$34,"",IF(OFFSET(Tippabgabe!$DB$177,SUM(tipps!$A$34:U$34)+tipps!$A49,0)&lt;0,"",OFFSET(Tippabgabe!$DB$177,SUM(tipps!$A$34:U$34)+tipps!$A49,0)))</f>
        <v/>
      </c>
      <c r="W71" t="str">
        <f ca="1">IF($A49&gt;W$34,"",IF(OFFSET(Tippabgabe!$DB$177,SUM(tipps!$A$34:V$34)+tipps!$A49,0)&lt;0,"",OFFSET(Tippabgabe!$DB$177,SUM(tipps!$A$34:V$34)+tipps!$A49,0)))</f>
        <v/>
      </c>
      <c r="X71" t="str">
        <f ca="1">IF($A49&gt;X$34,"",IF(OFFSET(Tippabgabe!$DB$177,SUM(tipps!$A$34:W$34)+tipps!$A49,0)&lt;0,"",OFFSET(Tippabgabe!$DB$177,SUM(tipps!$A$34:W$34)+tipps!$A49,0)))</f>
        <v/>
      </c>
      <c r="Y71" t="str">
        <f ca="1">IF($A49&gt;Y$34,"",IF(OFFSET(Tippabgabe!$DB$177,SUM(tipps!$A$34:X$34)+tipps!$A49,0)&lt;0,"",OFFSET(Tippabgabe!$DB$177,SUM(tipps!$A$34:X$34)+tipps!$A49,0)))</f>
        <v/>
      </c>
      <c r="Z71" t="str">
        <f ca="1">IF($A49&gt;Z$34,"",IF(OFFSET(Tippabgabe!$DB$177,SUM(tipps!$A$34:Y$34)+tipps!$A49,0)&lt;0,"",OFFSET(Tippabgabe!$DB$177,SUM(tipps!$A$34:Y$34)+tipps!$A49,0)))</f>
        <v/>
      </c>
      <c r="AA71" t="str">
        <f ca="1">IF($A49&gt;AA$34,"",IF(OFFSET(Tippabgabe!$DB$177,SUM(tipps!$A$34:Z$34)+tipps!$A49,0)&lt;0,"",OFFSET(Tippabgabe!$DB$177,SUM(tipps!$A$34:Z$34)+tipps!$A49,0)))</f>
        <v/>
      </c>
      <c r="AB71" t="str">
        <f ca="1">IF($A49&gt;AB$34,"",IF(OFFSET(Tippabgabe!$DB$177,SUM(tipps!$A$34:AA$34)+tipps!$A49,0)&lt;0,"",OFFSET(Tippabgabe!$DB$177,SUM(tipps!$A$34:AA$34)+tipps!$A49,0)))</f>
        <v/>
      </c>
      <c r="AC71" t="str">
        <f ca="1">IF($A49&gt;AC$34,"",IF(OFFSET(Tippabgabe!$DB$177,SUM(tipps!$A$34:AB$34)+tipps!$A49,0)&lt;0,"",OFFSET(Tippabgabe!$DB$177,SUM(tipps!$A$34:AB$34)+tipps!$A49,0)))</f>
        <v/>
      </c>
      <c r="AD71" t="str">
        <f ca="1">IF($A49&gt;AD$34,"",IF(OFFSET(Tippabgabe!$DB$177,SUM(tipps!$A$34:AC$34)+tipps!$A49,0)&lt;0,"",OFFSET(Tippabgabe!$DB$177,SUM(tipps!$A$34:AC$34)+tipps!$A49,0)))</f>
        <v/>
      </c>
      <c r="AE71" t="str">
        <f ca="1">IF($A49&gt;AE$34,"",IF(OFFSET(Tippabgabe!$DB$177,SUM(tipps!$A$34:AD$34)+tipps!$A49,0)&lt;0,"",OFFSET(Tippabgabe!$DB$177,SUM(tipps!$A$34:AD$34)+tipps!$A49,0)))</f>
        <v/>
      </c>
      <c r="AF71" t="str">
        <f ca="1">IF($A49&gt;AF$34,"",IF(OFFSET(Tippabgabe!$DB$177,SUM(tipps!$A$34:AE$34)+tipps!$A49,0)&lt;0,"",OFFSET(Tippabgabe!$DB$177,SUM(tipps!$A$34:AE$34)+tipps!$A49,0)))</f>
        <v/>
      </c>
      <c r="AG71" t="str">
        <f ca="1">IF($A49&gt;AG$34,"",IF(OFFSET(Tippabgabe!$DB$177,SUM(tipps!$A$34:AF$34)+tipps!$A49,0)&lt;0,"",OFFSET(Tippabgabe!$DB$177,SUM(tipps!$A$34:AF$34)+tipps!$A49,0)))</f>
        <v/>
      </c>
      <c r="AH71" t="str">
        <f ca="1">IF($A49&gt;AH$34,"",IF(OFFSET(Tippabgabe!$DB$177,SUM(tipps!$A$34:AG$34)+tipps!$A49,0)&lt;0,"",OFFSET(Tippabgabe!$DB$177,SUM(tipps!$A$34:AG$34)+tipps!$A49,0)))</f>
        <v/>
      </c>
      <c r="AI71" t="str">
        <f ca="1">IF($A49&gt;AI$34,"",IF(OFFSET(Tippabgabe!$DB$177,SUM(tipps!$A$34:AH$34)+tipps!$A49,0)&lt;0,"",OFFSET(Tippabgabe!$DB$177,SUM(tipps!$A$34:AH$34)+tipps!$A49,0)))</f>
        <v/>
      </c>
      <c r="AJ71" t="str">
        <f ca="1">IF($A49&gt;AJ$34,"",IF(OFFSET(Tippabgabe!$DB$177,SUM(tipps!$A$34:AI$34)+tipps!$A49,0)&lt;0,"",OFFSET(Tippabgabe!$DB$177,SUM(tipps!$A$34:AI$34)+tipps!$A49,0)))</f>
        <v/>
      </c>
      <c r="AK71" t="str">
        <f ca="1">IF($A49&gt;AK$34,"",IF(OFFSET(Tippabgabe!$DB$177,SUM(tipps!$A$34:AJ$34)+tipps!$A49,0)&lt;0,"",OFFSET(Tippabgabe!$DB$177,SUM(tipps!$A$34:AJ$34)+tipps!$A49,0)))</f>
        <v/>
      </c>
      <c r="AL71" t="str">
        <f ca="1">IF($A49&gt;AL$34,"",IF(OFFSET(Tippabgabe!$DB$177,SUM(tipps!$A$34:AK$34)+tipps!$A49,0)&lt;0,"",OFFSET(Tippabgabe!$DB$177,SUM(tipps!$A$34:AK$34)+tipps!$A49,0)))</f>
        <v/>
      </c>
      <c r="AM71" t="str">
        <f ca="1">IF($A49&gt;AM$34,"",IF(OFFSET(Tippabgabe!$DB$177,SUM(tipps!$A$34:AL$34)+tipps!$A49,0)&lt;0,"",OFFSET(Tippabgabe!$DB$177,SUM(tipps!$A$34:AL$34)+tipps!$A49,0)))</f>
        <v/>
      </c>
      <c r="AN71" t="str">
        <f ca="1">IF($A49&gt;AN$34,"",IF(OFFSET(Tippabgabe!$DB$177,SUM(tipps!$A$34:AM$34)+tipps!$A49,0)&lt;0,"",OFFSET(Tippabgabe!$DB$177,SUM(tipps!$A$34:AM$34)+tipps!$A49,0)))</f>
        <v/>
      </c>
      <c r="AO71" t="str">
        <f ca="1">IF($A49&gt;AO$34,"",IF(OFFSET(Tippabgabe!$DB$177,SUM(tipps!$A$34:AN$34)+tipps!$A49,0)&lt;0,"",OFFSET(Tippabgabe!$DB$177,SUM(tipps!$A$34:AN$34)+tipps!$A49,0)))</f>
        <v/>
      </c>
      <c r="AP71" t="str">
        <f ca="1">IF($A49&gt;AP$34,"",IF(OFFSET(Tippabgabe!$DB$177,SUM(tipps!$A$34:AO$34)+tipps!$A49,0)&lt;0,"",OFFSET(Tippabgabe!$DB$177,SUM(tipps!$A$34:AO$34)+tipps!$A49,0)))</f>
        <v/>
      </c>
      <c r="AQ71" t="str">
        <f ca="1">IF($A49&gt;AQ$34,"",IF(OFFSET(Tippabgabe!$DB$177,SUM(tipps!$A$34:AP$34)+tipps!$A49,0)&lt;0,"",OFFSET(Tippabgabe!$DB$177,SUM(tipps!$A$34:AP$34)+tipps!$A49,0)))</f>
        <v/>
      </c>
      <c r="AR71" t="str">
        <f ca="1">IF($A49&gt;AR$34,"",IF(OFFSET(Tippabgabe!$DB$177,SUM(tipps!$A$34:AQ$34)+tipps!$A49,0)&lt;0,"",OFFSET(Tippabgabe!$DB$177,SUM(tipps!$A$34:AQ$34)+tipps!$A49,0)))</f>
        <v/>
      </c>
      <c r="AS71" t="str">
        <f ca="1">IF($A49&gt;AS$34,"",IF(OFFSET(Tippabgabe!$DB$177,SUM(tipps!$A$34:AR$34)+tipps!$A49,0)&lt;0,"",OFFSET(Tippabgabe!$DB$177,SUM(tipps!$A$34:AR$34)+tipps!$A49,0)))</f>
        <v/>
      </c>
      <c r="AT71" t="str">
        <f ca="1">IF($A49&gt;AT$34,"",IF(OFFSET(Tippabgabe!$DB$177,SUM(tipps!$A$34:AS$34)+tipps!$A49,0)&lt;0,"",OFFSET(Tippabgabe!$DB$177,SUM(tipps!$A$34:AS$34)+tipps!$A49,0)))</f>
        <v/>
      </c>
      <c r="AU71" t="str">
        <f ca="1">IF($A49&gt;AU$34,"",IF(OFFSET(Tippabgabe!$DB$177,SUM(tipps!$A$34:AT$34)+tipps!$A49,0)&lt;0,"",OFFSET(Tippabgabe!$DB$177,SUM(tipps!$A$34:AT$34)+tipps!$A49,0)))</f>
        <v/>
      </c>
      <c r="AV71" t="str">
        <f ca="1">IF($A49&gt;AV$34,"",IF(OFFSET(Tippabgabe!$DB$177,SUM(tipps!$A$34:AU$34)+tipps!$A49,0)&lt;0,"",OFFSET(Tippabgabe!$DB$177,SUM(tipps!$A$34:AU$34)+tipps!$A49,0)))</f>
        <v/>
      </c>
      <c r="AW71" t="str">
        <f ca="1">IF($A49&gt;AW$34,"",IF(OFFSET(Tippabgabe!$DB$177,SUM(tipps!$A$34:AV$34)+tipps!$A49,0)&lt;0,"",OFFSET(Tippabgabe!$DB$177,SUM(tipps!$A$34:AV$34)+tipps!$A49,0)))</f>
        <v/>
      </c>
      <c r="AX71" t="str">
        <f ca="1">IF($A49&gt;AX$34,"",IF(OFFSET(Tippabgabe!$DB$177,SUM(tipps!$A$34:AW$34)+tipps!$A49,0)&lt;0,"",OFFSET(Tippabgabe!$DB$177,SUM(tipps!$A$34:AW$34)+tipps!$A49,0)))</f>
        <v/>
      </c>
      <c r="AY71" t="str">
        <f ca="1">IF($A49&gt;AY$34,"",IF(OFFSET(Tippabgabe!$DB$177,SUM(tipps!$A$34:AX$34)+tipps!$A49,0)&lt;0,"",OFFSET(Tippabgabe!$DB$177,SUM(tipps!$A$34:AX$34)+tipps!$A49,0)))</f>
        <v/>
      </c>
      <c r="AZ71" t="str">
        <f ca="1">IF($A49&gt;AZ$34,"",IF(OFFSET(Tippabgabe!$DB$177,SUM(tipps!$A$34:AY$34)+tipps!$A49,0)&lt;0,"",OFFSET(Tippabgabe!$DB$177,SUM(tipps!$A$34:AY$34)+tipps!$A49,0)))</f>
        <v/>
      </c>
      <c r="BA71" t="str">
        <f ca="1">IF($A49&gt;BA$34,"",IF(OFFSET(Tippabgabe!$DB$177,SUM(tipps!$A$34:AZ$34)+tipps!$A49,0)&lt;0,"",OFFSET(Tippabgabe!$DB$177,SUM(tipps!$A$34:AZ$34)+tipps!$A49,0)))</f>
        <v/>
      </c>
      <c r="BB71" t="str">
        <f ca="1">IF($A49&gt;BB$34,"",IF(OFFSET(Tippabgabe!$DB$177,SUM(tipps!$A$34:BA$34)+tipps!$A49,0)&lt;0,"",OFFSET(Tippabgabe!$DB$177,SUM(tipps!$A$34:BA$34)+tipps!$A49,0)))</f>
        <v/>
      </c>
      <c r="BC71" t="str">
        <f ca="1">IF($A49&gt;BC$34,"",IF(OFFSET(Tippabgabe!$DB$177,SUM(tipps!$A$34:BB$34)+tipps!$A49,0)&lt;0,"",OFFSET(Tippabgabe!$DB$177,SUM(tipps!$A$34:BB$34)+tipps!$A49,0)))</f>
        <v/>
      </c>
      <c r="BD71" t="str">
        <f ca="1">IF($A49&gt;BD$34,"",IF(OFFSET(Tippabgabe!$DB$177,SUM(tipps!$A$34:BC$34)+tipps!$A49,0)&lt;0,"",OFFSET(Tippabgabe!$DB$177,SUM(tipps!$A$34:BC$34)+tipps!$A49,0)))</f>
        <v/>
      </c>
      <c r="BE71" t="str">
        <f ca="1">IF($A49&gt;BE$34,"",IF(OFFSET(Tippabgabe!$DB$177,SUM(tipps!$A$34:BD$34)+tipps!$A49,0)&lt;0,"",OFFSET(Tippabgabe!$DB$177,SUM(tipps!$A$34:BD$34)+tipps!$A49,0)))</f>
        <v/>
      </c>
      <c r="BF71" t="str">
        <f ca="1">IF($A49&gt;BF$34,"",IF(OFFSET(Tippabgabe!$DB$177,SUM(tipps!$A$34:BE$34)+tipps!$A49,0)&lt;0,"",OFFSET(Tippabgabe!$DB$177,SUM(tipps!$A$34:BE$34)+tipps!$A49,0)))</f>
        <v/>
      </c>
      <c r="BG71" t="str">
        <f ca="1">IF($A49&gt;BG$34,"",IF(OFFSET(Tippabgabe!$DB$177,SUM(tipps!$A$34:BF$34)+tipps!$A49,0)&lt;0,"",OFFSET(Tippabgabe!$DB$177,SUM(tipps!$A$34:BF$34)+tipps!$A49,0)))</f>
        <v/>
      </c>
      <c r="BH71" t="str">
        <f ca="1">IF($A49&gt;BH$34,"",IF(OFFSET(Tippabgabe!$DB$177,SUM(tipps!$A$34:BG$34)+tipps!$A49,0)&lt;0,"",OFFSET(Tippabgabe!$DB$177,SUM(tipps!$A$34:BG$34)+tipps!$A49,0)))</f>
        <v/>
      </c>
      <c r="BI71" t="str">
        <f ca="1">IF($A49&gt;BI$34,"",IF(OFFSET(Tippabgabe!$DB$177,SUM(tipps!$A$34:BH$34)+tipps!$A49,0)&lt;0,"",OFFSET(Tippabgabe!$DB$177,SUM(tipps!$A$34:BH$34)+tipps!$A49,0)))</f>
        <v/>
      </c>
      <c r="BJ71" t="str">
        <f ca="1">IF($A49&gt;BJ$34,"",IF(OFFSET(Tippabgabe!$DB$177,SUM(tipps!$A$34:BI$34)+tipps!$A49,0)&lt;0,"",OFFSET(Tippabgabe!$DB$177,SUM(tipps!$A$34:BI$34)+tipps!$A49,0)))</f>
        <v/>
      </c>
      <c r="BK71" t="str">
        <f ca="1">IF($A49&gt;BK$34,"",IF(OFFSET(Tippabgabe!$DB$177,SUM(tipps!$A$34:BJ$34)+tipps!$A49,0)&lt;0,"",OFFSET(Tippabgabe!$DB$177,SUM(tipps!$A$34:BJ$34)+tipps!$A49,0)))</f>
        <v/>
      </c>
      <c r="BL71" t="str">
        <f ca="1">IF($A49&gt;BL$34,"",IF(OFFSET(Tippabgabe!$DB$177,SUM(tipps!$A$34:BK$34)+tipps!$A49,0)&lt;0,"",OFFSET(Tippabgabe!$DB$177,SUM(tipps!$A$34:BK$34)+tipps!$A49,0)))</f>
        <v/>
      </c>
      <c r="BM71" t="str">
        <f ca="1">IF($A49&gt;BM$34,"",IF(OFFSET(Tippabgabe!$DB$177,SUM(tipps!$A$34:BL$34)+tipps!$A49,0)&lt;0,"",OFFSET(Tippabgabe!$DB$177,SUM(tipps!$A$34:BL$34)+tipps!$A49,0)))</f>
        <v/>
      </c>
      <c r="BN71" t="str">
        <f ca="1">IF($A49&gt;BN$34,"",IF(OFFSET(Tippabgabe!$DB$177,SUM(tipps!$A$34:BM$34)+tipps!$A49,0)&lt;0,"",OFFSET(Tippabgabe!$DB$177,SUM(tipps!$A$34:BM$34)+tipps!$A49,0)))</f>
        <v/>
      </c>
      <c r="BO71" t="str">
        <f ca="1">IF($A49&gt;BO$34,"",IF(OFFSET(Tippabgabe!$DB$177,SUM(tipps!$A$34:BN$34)+tipps!$A49,0)&lt;0,"",OFFSET(Tippabgabe!$DB$177,SUM(tipps!$A$34:BN$34)+tipps!$A49,0)))</f>
        <v/>
      </c>
      <c r="BP71" t="str">
        <f ca="1">IF($A49&gt;BP$34,"",IF(OFFSET(Tippabgabe!$DB$177,SUM(tipps!$A$34:BO$34)+tipps!$A49,0)&lt;0,"",OFFSET(Tippabgabe!$DB$177,SUM(tipps!$A$34:BO$34)+tipps!$A49,0)))</f>
        <v/>
      </c>
      <c r="BQ71" t="str">
        <f ca="1">IF($A49&gt;BQ$34,"",IF(OFFSET(Tippabgabe!$DB$177,SUM(tipps!$A$34:BP$34)+tipps!$A49,0)&lt;0,"",OFFSET(Tippabgabe!$DB$177,SUM(tipps!$A$34:BP$34)+tipps!$A49,0)))</f>
        <v/>
      </c>
      <c r="BR71" t="str">
        <f ca="1">IF($A49&gt;BR$34,"",IF(OFFSET(Tippabgabe!$DB$177,SUM(tipps!$A$34:BQ$34)+tipps!$A49,0)&lt;0,"",OFFSET(Tippabgabe!$DB$177,SUM(tipps!$A$34:BQ$34)+tipps!$A49,0)))</f>
        <v/>
      </c>
      <c r="BS71" t="str">
        <f ca="1">IF($A49&gt;BS$34,"",IF(OFFSET(Tippabgabe!$DB$177,SUM(tipps!$A$34:BR$34)+tipps!$A49,0)&lt;0,"",OFFSET(Tippabgabe!$DB$177,SUM(tipps!$A$34:BR$34)+tipps!$A49,0)))</f>
        <v/>
      </c>
      <c r="BT71" t="str">
        <f ca="1">IF($A49&gt;BT$34,"",IF(OFFSET(Tippabgabe!$DB$177,SUM(tipps!$A$34:BS$34)+tipps!$A49,0)&lt;0,"",OFFSET(Tippabgabe!$DB$177,SUM(tipps!$A$34:BS$34)+tipps!$A49,0)))</f>
        <v/>
      </c>
      <c r="BU71" t="str">
        <f ca="1">IF($A49&gt;BU$34,"",IF(OFFSET(Tippabgabe!$DB$177,SUM(tipps!$A$34:BT$34)+tipps!$A49,0)&lt;0,"",OFFSET(Tippabgabe!$DB$177,SUM(tipps!$A$34:BT$34)+tipps!$A49,0)))</f>
        <v/>
      </c>
      <c r="BV71" t="str">
        <f ca="1">IF($A49&gt;BV$34,"",IF(OFFSET(Tippabgabe!$DB$177,SUM(tipps!$A$34:BU$34)+tipps!$A49,0)&lt;0,"",OFFSET(Tippabgabe!$DB$177,SUM(tipps!$A$34:BU$34)+tipps!$A49,0)))</f>
        <v/>
      </c>
      <c r="BW71" t="str">
        <f ca="1">IF($A49&gt;BW$34,"",IF(OFFSET(Tippabgabe!$DB$177,SUM(tipps!$A$34:BV$34)+tipps!$A49,0)&lt;0,"",OFFSET(Tippabgabe!$DB$177,SUM(tipps!$A$34:BV$34)+tipps!$A49,0)))</f>
        <v/>
      </c>
    </row>
    <row r="72" spans="1:75" x14ac:dyDescent="0.2">
      <c r="A72">
        <v>15</v>
      </c>
      <c r="B72" t="str">
        <f ca="1">IF($A50&gt;B$34,"",IF(OFFSET(Tippabgabe!$DB$177,SUM(tipps!$A$34:A$34)+tipps!$A50,0)&lt;0,"",OFFSET(Tippabgabe!$DB$177,SUM(tipps!$A$34:A$34)+tipps!$A50,0)))</f>
        <v/>
      </c>
      <c r="C72" t="str">
        <f ca="1">IF($A50&gt;C$34,"",IF(OFFSET(Tippabgabe!$DB$177,SUM(tipps!$A$34:B$34)+tipps!$A50,0)&lt;0,"",OFFSET(Tippabgabe!$DB$177,SUM(tipps!$A$34:B$34)+tipps!$A50,0)))</f>
        <v/>
      </c>
      <c r="D72" t="str">
        <f ca="1">IF($A50&gt;D$34,"",IF(OFFSET(Tippabgabe!$DB$177,SUM(tipps!$A$34:C$34)+tipps!$A50,0)&lt;0,"",OFFSET(Tippabgabe!$DB$177,SUM(tipps!$A$34:C$34)+tipps!$A50,0)))</f>
        <v/>
      </c>
      <c r="E72" t="str">
        <f ca="1">IF($A50&gt;E$34,"",IF(OFFSET(Tippabgabe!$DB$177,SUM(tipps!$A$34:D$34)+tipps!$A50,0)&lt;0,"",OFFSET(Tippabgabe!$DB$177,SUM(tipps!$A$34:D$34)+tipps!$A50,0)))</f>
        <v/>
      </c>
      <c r="F72" t="str">
        <f ca="1">IF($A50&gt;F$34,"",IF(OFFSET(Tippabgabe!$DB$177,SUM(tipps!$A$34:E$34)+tipps!$A50,0)&lt;0,"",OFFSET(Tippabgabe!$DB$177,SUM(tipps!$A$34:E$34)+tipps!$A50,0)))</f>
        <v/>
      </c>
      <c r="G72" t="str">
        <f ca="1">IF($A50&gt;G$34,"",IF(OFFSET(Tippabgabe!$DB$177,SUM(tipps!$A$34:F$34)+tipps!$A50,0)&lt;0,"",OFFSET(Tippabgabe!$DB$177,SUM(tipps!$A$34:F$34)+tipps!$A50,0)))</f>
        <v/>
      </c>
      <c r="H72" t="str">
        <f ca="1">IF($A50&gt;H$34,"",IF(OFFSET(Tippabgabe!$DB$177,SUM(tipps!$A$34:G$34)+tipps!$A50,0)&lt;0,"",OFFSET(Tippabgabe!$DB$177,SUM(tipps!$A$34:G$34)+tipps!$A50,0)))</f>
        <v/>
      </c>
      <c r="I72" t="str">
        <f ca="1">IF($A50&gt;I$34,"",IF(OFFSET(Tippabgabe!$DB$177,SUM(tipps!$A$34:H$34)+tipps!$A50,0)&lt;0,"",OFFSET(Tippabgabe!$DB$177,SUM(tipps!$A$34:H$34)+tipps!$A50,0)))</f>
        <v/>
      </c>
      <c r="J72" t="str">
        <f ca="1">IF($A50&gt;J$34,"",IF(OFFSET(Tippabgabe!$DB$177,SUM(tipps!$A$34:I$34)+tipps!$A50,0)&lt;0,"",OFFSET(Tippabgabe!$DB$177,SUM(tipps!$A$34:I$34)+tipps!$A50,0)))</f>
        <v/>
      </c>
      <c r="K72">
        <f ca="1">IF($A50&gt;K$34,"",IF(OFFSET(Tippabgabe!$DB$177,SUM(tipps!$A$34:J$34)+tipps!$A50,0)&lt;0,"",OFFSET(Tippabgabe!$DB$177,SUM(tipps!$A$34:J$34)+tipps!$A50,0)))</f>
        <v>7</v>
      </c>
      <c r="L72" t="str">
        <f ca="1">IF($A50&gt;L$34,"",IF(OFFSET(Tippabgabe!$DB$177,SUM(tipps!$A$34:K$34)+tipps!$A50,0)&lt;0,"",OFFSET(Tippabgabe!$DB$177,SUM(tipps!$A$34:K$34)+tipps!$A50,0)))</f>
        <v/>
      </c>
      <c r="M72" t="str">
        <f ca="1">IF($A50&gt;M$34,"",IF(OFFSET(Tippabgabe!$DB$177,SUM(tipps!$A$34:L$34)+tipps!$A50,0)&lt;0,"",OFFSET(Tippabgabe!$DB$177,SUM(tipps!$A$34:L$34)+tipps!$A50,0)))</f>
        <v/>
      </c>
      <c r="N72" t="str">
        <f ca="1">IF($A50&gt;N$34,"",IF(OFFSET(Tippabgabe!$DB$177,SUM(tipps!$A$34:M$34)+tipps!$A50,0)&lt;0,"",OFFSET(Tippabgabe!$DB$177,SUM(tipps!$A$34:M$34)+tipps!$A50,0)))</f>
        <v/>
      </c>
      <c r="O72" t="str">
        <f ca="1">IF($A50&gt;O$34,"",IF(OFFSET(Tippabgabe!$DB$177,SUM(tipps!$A$34:N$34)+tipps!$A50,0)&lt;0,"",OFFSET(Tippabgabe!$DB$177,SUM(tipps!$A$34:N$34)+tipps!$A50,0)))</f>
        <v/>
      </c>
      <c r="P72" t="str">
        <f ca="1">IF($A50&gt;P$34,"",IF(OFFSET(Tippabgabe!$DB$177,SUM(tipps!$A$34:O$34)+tipps!$A50,0)&lt;0,"",OFFSET(Tippabgabe!$DB$177,SUM(tipps!$A$34:O$34)+tipps!$A50,0)))</f>
        <v/>
      </c>
      <c r="Q72" t="str">
        <f ca="1">IF($A50&gt;Q$34,"",IF(OFFSET(Tippabgabe!$DB$177,SUM(tipps!$A$34:P$34)+tipps!$A50,0)&lt;0,"",OFFSET(Tippabgabe!$DB$177,SUM(tipps!$A$34:P$34)+tipps!$A50,0)))</f>
        <v/>
      </c>
      <c r="R72" t="str">
        <f ca="1">IF($A50&gt;R$34,"",IF(OFFSET(Tippabgabe!$DB$177,SUM(tipps!$A$34:Q$34)+tipps!$A50,0)&lt;0,"",OFFSET(Tippabgabe!$DB$177,SUM(tipps!$A$34:Q$34)+tipps!$A50,0)))</f>
        <v/>
      </c>
      <c r="S72" t="str">
        <f ca="1">IF($A50&gt;S$34,"",IF(OFFSET(Tippabgabe!$DB$177,SUM(tipps!$A$34:R$34)+tipps!$A50,0)&lt;0,"",OFFSET(Tippabgabe!$DB$177,SUM(tipps!$A$34:R$34)+tipps!$A50,0)))</f>
        <v/>
      </c>
      <c r="T72" t="str">
        <f ca="1">IF($A50&gt;T$34,"",IF(OFFSET(Tippabgabe!$DB$177,SUM(tipps!$A$34:S$34)+tipps!$A50,0)&lt;0,"",OFFSET(Tippabgabe!$DB$177,SUM(tipps!$A$34:S$34)+tipps!$A50,0)))</f>
        <v/>
      </c>
      <c r="U72" t="str">
        <f ca="1">IF($A50&gt;U$34,"",IF(OFFSET(Tippabgabe!$DB$177,SUM(tipps!$A$34:T$34)+tipps!$A50,0)&lt;0,"",OFFSET(Tippabgabe!$DB$177,SUM(tipps!$A$34:T$34)+tipps!$A50,0)))</f>
        <v/>
      </c>
      <c r="V72" t="str">
        <f ca="1">IF($A50&gt;V$34,"",IF(OFFSET(Tippabgabe!$DB$177,SUM(tipps!$A$34:U$34)+tipps!$A50,0)&lt;0,"",OFFSET(Tippabgabe!$DB$177,SUM(tipps!$A$34:U$34)+tipps!$A50,0)))</f>
        <v/>
      </c>
      <c r="W72" t="str">
        <f ca="1">IF($A50&gt;W$34,"",IF(OFFSET(Tippabgabe!$DB$177,SUM(tipps!$A$34:V$34)+tipps!$A50,0)&lt;0,"",OFFSET(Tippabgabe!$DB$177,SUM(tipps!$A$34:V$34)+tipps!$A50,0)))</f>
        <v/>
      </c>
      <c r="X72" t="str">
        <f ca="1">IF($A50&gt;X$34,"",IF(OFFSET(Tippabgabe!$DB$177,SUM(tipps!$A$34:W$34)+tipps!$A50,0)&lt;0,"",OFFSET(Tippabgabe!$DB$177,SUM(tipps!$A$34:W$34)+tipps!$A50,0)))</f>
        <v/>
      </c>
      <c r="Y72" t="str">
        <f ca="1">IF($A50&gt;Y$34,"",IF(OFFSET(Tippabgabe!$DB$177,SUM(tipps!$A$34:X$34)+tipps!$A50,0)&lt;0,"",OFFSET(Tippabgabe!$DB$177,SUM(tipps!$A$34:X$34)+tipps!$A50,0)))</f>
        <v/>
      </c>
      <c r="Z72" t="str">
        <f ca="1">IF($A50&gt;Z$34,"",IF(OFFSET(Tippabgabe!$DB$177,SUM(tipps!$A$34:Y$34)+tipps!$A50,0)&lt;0,"",OFFSET(Tippabgabe!$DB$177,SUM(tipps!$A$34:Y$34)+tipps!$A50,0)))</f>
        <v/>
      </c>
      <c r="AA72" t="str">
        <f ca="1">IF($A50&gt;AA$34,"",IF(OFFSET(Tippabgabe!$DB$177,SUM(tipps!$A$34:Z$34)+tipps!$A50,0)&lt;0,"",OFFSET(Tippabgabe!$DB$177,SUM(tipps!$A$34:Z$34)+tipps!$A50,0)))</f>
        <v/>
      </c>
      <c r="AB72" t="str">
        <f ca="1">IF($A50&gt;AB$34,"",IF(OFFSET(Tippabgabe!$DB$177,SUM(tipps!$A$34:AA$34)+tipps!$A50,0)&lt;0,"",OFFSET(Tippabgabe!$DB$177,SUM(tipps!$A$34:AA$34)+tipps!$A50,0)))</f>
        <v/>
      </c>
      <c r="AC72" t="str">
        <f ca="1">IF($A50&gt;AC$34,"",IF(OFFSET(Tippabgabe!$DB$177,SUM(tipps!$A$34:AB$34)+tipps!$A50,0)&lt;0,"",OFFSET(Tippabgabe!$DB$177,SUM(tipps!$A$34:AB$34)+tipps!$A50,0)))</f>
        <v/>
      </c>
      <c r="AD72" t="str">
        <f ca="1">IF($A50&gt;AD$34,"",IF(OFFSET(Tippabgabe!$DB$177,SUM(tipps!$A$34:AC$34)+tipps!$A50,0)&lt;0,"",OFFSET(Tippabgabe!$DB$177,SUM(tipps!$A$34:AC$34)+tipps!$A50,0)))</f>
        <v/>
      </c>
      <c r="AE72" t="str">
        <f ca="1">IF($A50&gt;AE$34,"",IF(OFFSET(Tippabgabe!$DB$177,SUM(tipps!$A$34:AD$34)+tipps!$A50,0)&lt;0,"",OFFSET(Tippabgabe!$DB$177,SUM(tipps!$A$34:AD$34)+tipps!$A50,0)))</f>
        <v/>
      </c>
      <c r="AF72" t="str">
        <f ca="1">IF($A50&gt;AF$34,"",IF(OFFSET(Tippabgabe!$DB$177,SUM(tipps!$A$34:AE$34)+tipps!$A50,0)&lt;0,"",OFFSET(Tippabgabe!$DB$177,SUM(tipps!$A$34:AE$34)+tipps!$A50,0)))</f>
        <v/>
      </c>
      <c r="AG72" t="str">
        <f ca="1">IF($A50&gt;AG$34,"",IF(OFFSET(Tippabgabe!$DB$177,SUM(tipps!$A$34:AF$34)+tipps!$A50,0)&lt;0,"",OFFSET(Tippabgabe!$DB$177,SUM(tipps!$A$34:AF$34)+tipps!$A50,0)))</f>
        <v/>
      </c>
      <c r="AH72" t="str">
        <f ca="1">IF($A50&gt;AH$34,"",IF(OFFSET(Tippabgabe!$DB$177,SUM(tipps!$A$34:AG$34)+tipps!$A50,0)&lt;0,"",OFFSET(Tippabgabe!$DB$177,SUM(tipps!$A$34:AG$34)+tipps!$A50,0)))</f>
        <v/>
      </c>
      <c r="AI72" t="str">
        <f ca="1">IF($A50&gt;AI$34,"",IF(OFFSET(Tippabgabe!$DB$177,SUM(tipps!$A$34:AH$34)+tipps!$A50,0)&lt;0,"",OFFSET(Tippabgabe!$DB$177,SUM(tipps!$A$34:AH$34)+tipps!$A50,0)))</f>
        <v/>
      </c>
      <c r="AJ72" t="str">
        <f ca="1">IF($A50&gt;AJ$34,"",IF(OFFSET(Tippabgabe!$DB$177,SUM(tipps!$A$34:AI$34)+tipps!$A50,0)&lt;0,"",OFFSET(Tippabgabe!$DB$177,SUM(tipps!$A$34:AI$34)+tipps!$A50,0)))</f>
        <v/>
      </c>
      <c r="AK72" t="str">
        <f ca="1">IF($A50&gt;AK$34,"",IF(OFFSET(Tippabgabe!$DB$177,SUM(tipps!$A$34:AJ$34)+tipps!$A50,0)&lt;0,"",OFFSET(Tippabgabe!$DB$177,SUM(tipps!$A$34:AJ$34)+tipps!$A50,0)))</f>
        <v/>
      </c>
      <c r="AL72" t="str">
        <f ca="1">IF($A50&gt;AL$34,"",IF(OFFSET(Tippabgabe!$DB$177,SUM(tipps!$A$34:AK$34)+tipps!$A50,0)&lt;0,"",OFFSET(Tippabgabe!$DB$177,SUM(tipps!$A$34:AK$34)+tipps!$A50,0)))</f>
        <v/>
      </c>
      <c r="AM72" t="str">
        <f ca="1">IF($A50&gt;AM$34,"",IF(OFFSET(Tippabgabe!$DB$177,SUM(tipps!$A$34:AL$34)+tipps!$A50,0)&lt;0,"",OFFSET(Tippabgabe!$DB$177,SUM(tipps!$A$34:AL$34)+tipps!$A50,0)))</f>
        <v/>
      </c>
      <c r="AN72" t="str">
        <f ca="1">IF($A50&gt;AN$34,"",IF(OFFSET(Tippabgabe!$DB$177,SUM(tipps!$A$34:AM$34)+tipps!$A50,0)&lt;0,"",OFFSET(Tippabgabe!$DB$177,SUM(tipps!$A$34:AM$34)+tipps!$A50,0)))</f>
        <v/>
      </c>
      <c r="AO72" t="str">
        <f ca="1">IF($A50&gt;AO$34,"",IF(OFFSET(Tippabgabe!$DB$177,SUM(tipps!$A$34:AN$34)+tipps!$A50,0)&lt;0,"",OFFSET(Tippabgabe!$DB$177,SUM(tipps!$A$34:AN$34)+tipps!$A50,0)))</f>
        <v/>
      </c>
      <c r="AP72" t="str">
        <f ca="1">IF($A50&gt;AP$34,"",IF(OFFSET(Tippabgabe!$DB$177,SUM(tipps!$A$34:AO$34)+tipps!$A50,0)&lt;0,"",OFFSET(Tippabgabe!$DB$177,SUM(tipps!$A$34:AO$34)+tipps!$A50,0)))</f>
        <v/>
      </c>
      <c r="AQ72" t="str">
        <f ca="1">IF($A50&gt;AQ$34,"",IF(OFFSET(Tippabgabe!$DB$177,SUM(tipps!$A$34:AP$34)+tipps!$A50,0)&lt;0,"",OFFSET(Tippabgabe!$DB$177,SUM(tipps!$A$34:AP$34)+tipps!$A50,0)))</f>
        <v/>
      </c>
      <c r="AR72" t="str">
        <f ca="1">IF($A50&gt;AR$34,"",IF(OFFSET(Tippabgabe!$DB$177,SUM(tipps!$A$34:AQ$34)+tipps!$A50,0)&lt;0,"",OFFSET(Tippabgabe!$DB$177,SUM(tipps!$A$34:AQ$34)+tipps!$A50,0)))</f>
        <v/>
      </c>
      <c r="AS72" t="str">
        <f ca="1">IF($A50&gt;AS$34,"",IF(OFFSET(Tippabgabe!$DB$177,SUM(tipps!$A$34:AR$34)+tipps!$A50,0)&lt;0,"",OFFSET(Tippabgabe!$DB$177,SUM(tipps!$A$34:AR$34)+tipps!$A50,0)))</f>
        <v/>
      </c>
      <c r="AT72" t="str">
        <f ca="1">IF($A50&gt;AT$34,"",IF(OFFSET(Tippabgabe!$DB$177,SUM(tipps!$A$34:AS$34)+tipps!$A50,0)&lt;0,"",OFFSET(Tippabgabe!$DB$177,SUM(tipps!$A$34:AS$34)+tipps!$A50,0)))</f>
        <v/>
      </c>
      <c r="AU72" t="str">
        <f ca="1">IF($A50&gt;AU$34,"",IF(OFFSET(Tippabgabe!$DB$177,SUM(tipps!$A$34:AT$34)+tipps!$A50,0)&lt;0,"",OFFSET(Tippabgabe!$DB$177,SUM(tipps!$A$34:AT$34)+tipps!$A50,0)))</f>
        <v/>
      </c>
      <c r="AV72" t="str">
        <f ca="1">IF($A50&gt;AV$34,"",IF(OFFSET(Tippabgabe!$DB$177,SUM(tipps!$A$34:AU$34)+tipps!$A50,0)&lt;0,"",OFFSET(Tippabgabe!$DB$177,SUM(tipps!$A$34:AU$34)+tipps!$A50,0)))</f>
        <v/>
      </c>
      <c r="AW72" t="str">
        <f ca="1">IF($A50&gt;AW$34,"",IF(OFFSET(Tippabgabe!$DB$177,SUM(tipps!$A$34:AV$34)+tipps!$A50,0)&lt;0,"",OFFSET(Tippabgabe!$DB$177,SUM(tipps!$A$34:AV$34)+tipps!$A50,0)))</f>
        <v/>
      </c>
      <c r="AX72" t="str">
        <f ca="1">IF($A50&gt;AX$34,"",IF(OFFSET(Tippabgabe!$DB$177,SUM(tipps!$A$34:AW$34)+tipps!$A50,0)&lt;0,"",OFFSET(Tippabgabe!$DB$177,SUM(tipps!$A$34:AW$34)+tipps!$A50,0)))</f>
        <v/>
      </c>
      <c r="AY72" t="str">
        <f ca="1">IF($A50&gt;AY$34,"",IF(OFFSET(Tippabgabe!$DB$177,SUM(tipps!$A$34:AX$34)+tipps!$A50,0)&lt;0,"",OFFSET(Tippabgabe!$DB$177,SUM(tipps!$A$34:AX$34)+tipps!$A50,0)))</f>
        <v/>
      </c>
      <c r="AZ72" t="str">
        <f ca="1">IF($A50&gt;AZ$34,"",IF(OFFSET(Tippabgabe!$DB$177,SUM(tipps!$A$34:AY$34)+tipps!$A50,0)&lt;0,"",OFFSET(Tippabgabe!$DB$177,SUM(tipps!$A$34:AY$34)+tipps!$A50,0)))</f>
        <v/>
      </c>
      <c r="BA72" t="str">
        <f ca="1">IF($A50&gt;BA$34,"",IF(OFFSET(Tippabgabe!$DB$177,SUM(tipps!$A$34:AZ$34)+tipps!$A50,0)&lt;0,"",OFFSET(Tippabgabe!$DB$177,SUM(tipps!$A$34:AZ$34)+tipps!$A50,0)))</f>
        <v/>
      </c>
      <c r="BB72" t="str">
        <f ca="1">IF($A50&gt;BB$34,"",IF(OFFSET(Tippabgabe!$DB$177,SUM(tipps!$A$34:BA$34)+tipps!$A50,0)&lt;0,"",OFFSET(Tippabgabe!$DB$177,SUM(tipps!$A$34:BA$34)+tipps!$A50,0)))</f>
        <v/>
      </c>
      <c r="BC72" t="str">
        <f ca="1">IF($A50&gt;BC$34,"",IF(OFFSET(Tippabgabe!$DB$177,SUM(tipps!$A$34:BB$34)+tipps!$A50,0)&lt;0,"",OFFSET(Tippabgabe!$DB$177,SUM(tipps!$A$34:BB$34)+tipps!$A50,0)))</f>
        <v/>
      </c>
      <c r="BD72" t="str">
        <f ca="1">IF($A50&gt;BD$34,"",IF(OFFSET(Tippabgabe!$DB$177,SUM(tipps!$A$34:BC$34)+tipps!$A50,0)&lt;0,"",OFFSET(Tippabgabe!$DB$177,SUM(tipps!$A$34:BC$34)+tipps!$A50,0)))</f>
        <v/>
      </c>
      <c r="BE72" t="str">
        <f ca="1">IF($A50&gt;BE$34,"",IF(OFFSET(Tippabgabe!$DB$177,SUM(tipps!$A$34:BD$34)+tipps!$A50,0)&lt;0,"",OFFSET(Tippabgabe!$DB$177,SUM(tipps!$A$34:BD$34)+tipps!$A50,0)))</f>
        <v/>
      </c>
      <c r="BF72" t="str">
        <f ca="1">IF($A50&gt;BF$34,"",IF(OFFSET(Tippabgabe!$DB$177,SUM(tipps!$A$34:BE$34)+tipps!$A50,0)&lt;0,"",OFFSET(Tippabgabe!$DB$177,SUM(tipps!$A$34:BE$34)+tipps!$A50,0)))</f>
        <v/>
      </c>
      <c r="BG72" t="str">
        <f ca="1">IF($A50&gt;BG$34,"",IF(OFFSET(Tippabgabe!$DB$177,SUM(tipps!$A$34:BF$34)+tipps!$A50,0)&lt;0,"",OFFSET(Tippabgabe!$DB$177,SUM(tipps!$A$34:BF$34)+tipps!$A50,0)))</f>
        <v/>
      </c>
      <c r="BH72" t="str">
        <f ca="1">IF($A50&gt;BH$34,"",IF(OFFSET(Tippabgabe!$DB$177,SUM(tipps!$A$34:BG$34)+tipps!$A50,0)&lt;0,"",OFFSET(Tippabgabe!$DB$177,SUM(tipps!$A$34:BG$34)+tipps!$A50,0)))</f>
        <v/>
      </c>
      <c r="BI72" t="str">
        <f ca="1">IF($A50&gt;BI$34,"",IF(OFFSET(Tippabgabe!$DB$177,SUM(tipps!$A$34:BH$34)+tipps!$A50,0)&lt;0,"",OFFSET(Tippabgabe!$DB$177,SUM(tipps!$A$34:BH$34)+tipps!$A50,0)))</f>
        <v/>
      </c>
      <c r="BJ72" t="str">
        <f ca="1">IF($A50&gt;BJ$34,"",IF(OFFSET(Tippabgabe!$DB$177,SUM(tipps!$A$34:BI$34)+tipps!$A50,0)&lt;0,"",OFFSET(Tippabgabe!$DB$177,SUM(tipps!$A$34:BI$34)+tipps!$A50,0)))</f>
        <v/>
      </c>
      <c r="BK72" t="str">
        <f ca="1">IF($A50&gt;BK$34,"",IF(OFFSET(Tippabgabe!$DB$177,SUM(tipps!$A$34:BJ$34)+tipps!$A50,0)&lt;0,"",OFFSET(Tippabgabe!$DB$177,SUM(tipps!$A$34:BJ$34)+tipps!$A50,0)))</f>
        <v/>
      </c>
      <c r="BL72" t="str">
        <f ca="1">IF($A50&gt;BL$34,"",IF(OFFSET(Tippabgabe!$DB$177,SUM(tipps!$A$34:BK$34)+tipps!$A50,0)&lt;0,"",OFFSET(Tippabgabe!$DB$177,SUM(tipps!$A$34:BK$34)+tipps!$A50,0)))</f>
        <v/>
      </c>
      <c r="BM72" t="str">
        <f ca="1">IF($A50&gt;BM$34,"",IF(OFFSET(Tippabgabe!$DB$177,SUM(tipps!$A$34:BL$34)+tipps!$A50,0)&lt;0,"",OFFSET(Tippabgabe!$DB$177,SUM(tipps!$A$34:BL$34)+tipps!$A50,0)))</f>
        <v/>
      </c>
      <c r="BN72" t="str">
        <f ca="1">IF($A50&gt;BN$34,"",IF(OFFSET(Tippabgabe!$DB$177,SUM(tipps!$A$34:BM$34)+tipps!$A50,0)&lt;0,"",OFFSET(Tippabgabe!$DB$177,SUM(tipps!$A$34:BM$34)+tipps!$A50,0)))</f>
        <v/>
      </c>
      <c r="BO72" t="str">
        <f ca="1">IF($A50&gt;BO$34,"",IF(OFFSET(Tippabgabe!$DB$177,SUM(tipps!$A$34:BN$34)+tipps!$A50,0)&lt;0,"",OFFSET(Tippabgabe!$DB$177,SUM(tipps!$A$34:BN$34)+tipps!$A50,0)))</f>
        <v/>
      </c>
      <c r="BP72" t="str">
        <f ca="1">IF($A50&gt;BP$34,"",IF(OFFSET(Tippabgabe!$DB$177,SUM(tipps!$A$34:BO$34)+tipps!$A50,0)&lt;0,"",OFFSET(Tippabgabe!$DB$177,SUM(tipps!$A$34:BO$34)+tipps!$A50,0)))</f>
        <v/>
      </c>
      <c r="BQ72" t="str">
        <f ca="1">IF($A50&gt;BQ$34,"",IF(OFFSET(Tippabgabe!$DB$177,SUM(tipps!$A$34:BP$34)+tipps!$A50,0)&lt;0,"",OFFSET(Tippabgabe!$DB$177,SUM(tipps!$A$34:BP$34)+tipps!$A50,0)))</f>
        <v/>
      </c>
      <c r="BR72" t="str">
        <f ca="1">IF($A50&gt;BR$34,"",IF(OFFSET(Tippabgabe!$DB$177,SUM(tipps!$A$34:BQ$34)+tipps!$A50,0)&lt;0,"",OFFSET(Tippabgabe!$DB$177,SUM(tipps!$A$34:BQ$34)+tipps!$A50,0)))</f>
        <v/>
      </c>
      <c r="BS72" t="str">
        <f ca="1">IF($A50&gt;BS$34,"",IF(OFFSET(Tippabgabe!$DB$177,SUM(tipps!$A$34:BR$34)+tipps!$A50,0)&lt;0,"",OFFSET(Tippabgabe!$DB$177,SUM(tipps!$A$34:BR$34)+tipps!$A50,0)))</f>
        <v/>
      </c>
      <c r="BT72" t="str">
        <f ca="1">IF($A50&gt;BT$34,"",IF(OFFSET(Tippabgabe!$DB$177,SUM(tipps!$A$34:BS$34)+tipps!$A50,0)&lt;0,"",OFFSET(Tippabgabe!$DB$177,SUM(tipps!$A$34:BS$34)+tipps!$A50,0)))</f>
        <v/>
      </c>
      <c r="BU72" t="str">
        <f ca="1">IF($A50&gt;BU$34,"",IF(OFFSET(Tippabgabe!$DB$177,SUM(tipps!$A$34:BT$34)+tipps!$A50,0)&lt;0,"",OFFSET(Tippabgabe!$DB$177,SUM(tipps!$A$34:BT$34)+tipps!$A50,0)))</f>
        <v/>
      </c>
      <c r="BV72" t="str">
        <f ca="1">IF($A50&gt;BV$34,"",IF(OFFSET(Tippabgabe!$DB$177,SUM(tipps!$A$34:BU$34)+tipps!$A50,0)&lt;0,"",OFFSET(Tippabgabe!$DB$177,SUM(tipps!$A$34:BU$34)+tipps!$A50,0)))</f>
        <v/>
      </c>
      <c r="BW72" t="str">
        <f ca="1">IF($A50&gt;BW$34,"",IF(OFFSET(Tippabgabe!$DB$177,SUM(tipps!$A$34:BV$34)+tipps!$A50,0)&lt;0,"",OFFSET(Tippabgabe!$DB$177,SUM(tipps!$A$34:BV$34)+tipps!$A50,0)))</f>
        <v/>
      </c>
    </row>
    <row r="73" spans="1:75" x14ac:dyDescent="0.2">
      <c r="A73">
        <v>16</v>
      </c>
      <c r="B73" t="str">
        <f ca="1">IF($A51&gt;B$34,"",IF(OFFSET(Tippabgabe!$DB$177,SUM(tipps!$A$34:A$34)+tipps!$A51,0)&lt;0,"",OFFSET(Tippabgabe!$DB$177,SUM(tipps!$A$34:A$34)+tipps!$A51,0)))</f>
        <v/>
      </c>
      <c r="C73" t="str">
        <f ca="1">IF($A51&gt;C$34,"",IF(OFFSET(Tippabgabe!$DB$177,SUM(tipps!$A$34:B$34)+tipps!$A51,0)&lt;0,"",OFFSET(Tippabgabe!$DB$177,SUM(tipps!$A$34:B$34)+tipps!$A51,0)))</f>
        <v/>
      </c>
      <c r="D73" t="str">
        <f ca="1">IF($A51&gt;D$34,"",IF(OFFSET(Tippabgabe!$DB$177,SUM(tipps!$A$34:C$34)+tipps!$A51,0)&lt;0,"",OFFSET(Tippabgabe!$DB$177,SUM(tipps!$A$34:C$34)+tipps!$A51,0)))</f>
        <v/>
      </c>
      <c r="E73" t="str">
        <f ca="1">IF($A51&gt;E$34,"",IF(OFFSET(Tippabgabe!$DB$177,SUM(tipps!$A$34:D$34)+tipps!$A51,0)&lt;0,"",OFFSET(Tippabgabe!$DB$177,SUM(tipps!$A$34:D$34)+tipps!$A51,0)))</f>
        <v/>
      </c>
      <c r="F73" t="str">
        <f ca="1">IF($A51&gt;F$34,"",IF(OFFSET(Tippabgabe!$DB$177,SUM(tipps!$A$34:E$34)+tipps!$A51,0)&lt;0,"",OFFSET(Tippabgabe!$DB$177,SUM(tipps!$A$34:E$34)+tipps!$A51,0)))</f>
        <v/>
      </c>
      <c r="G73" t="str">
        <f ca="1">IF($A51&gt;G$34,"",IF(OFFSET(Tippabgabe!$DB$177,SUM(tipps!$A$34:F$34)+tipps!$A51,0)&lt;0,"",OFFSET(Tippabgabe!$DB$177,SUM(tipps!$A$34:F$34)+tipps!$A51,0)))</f>
        <v/>
      </c>
      <c r="H73" t="str">
        <f ca="1">IF($A51&gt;H$34,"",IF(OFFSET(Tippabgabe!$DB$177,SUM(tipps!$A$34:G$34)+tipps!$A51,0)&lt;0,"",OFFSET(Tippabgabe!$DB$177,SUM(tipps!$A$34:G$34)+tipps!$A51,0)))</f>
        <v/>
      </c>
      <c r="I73" t="str">
        <f ca="1">IF($A51&gt;I$34,"",IF(OFFSET(Tippabgabe!$DB$177,SUM(tipps!$A$34:H$34)+tipps!$A51,0)&lt;0,"",OFFSET(Tippabgabe!$DB$177,SUM(tipps!$A$34:H$34)+tipps!$A51,0)))</f>
        <v/>
      </c>
      <c r="J73" t="str">
        <f ca="1">IF($A51&gt;J$34,"",IF(OFFSET(Tippabgabe!$DB$177,SUM(tipps!$A$34:I$34)+tipps!$A51,0)&lt;0,"",OFFSET(Tippabgabe!$DB$177,SUM(tipps!$A$34:I$34)+tipps!$A51,0)))</f>
        <v/>
      </c>
      <c r="K73">
        <f ca="1">IF($A51&gt;K$34,"",IF(OFFSET(Tippabgabe!$DB$177,SUM(tipps!$A$34:J$34)+tipps!$A51,0)&lt;0,"",OFFSET(Tippabgabe!$DB$177,SUM(tipps!$A$34:J$34)+tipps!$A51,0)))</f>
        <v>11</v>
      </c>
      <c r="L73" t="str">
        <f ca="1">IF($A51&gt;L$34,"",IF(OFFSET(Tippabgabe!$DB$177,SUM(tipps!$A$34:K$34)+tipps!$A51,0)&lt;0,"",OFFSET(Tippabgabe!$DB$177,SUM(tipps!$A$34:K$34)+tipps!$A51,0)))</f>
        <v/>
      </c>
      <c r="M73" t="str">
        <f ca="1">IF($A51&gt;M$34,"",IF(OFFSET(Tippabgabe!$DB$177,SUM(tipps!$A$34:L$34)+tipps!$A51,0)&lt;0,"",OFFSET(Tippabgabe!$DB$177,SUM(tipps!$A$34:L$34)+tipps!$A51,0)))</f>
        <v/>
      </c>
      <c r="N73" t="str">
        <f ca="1">IF($A51&gt;N$34,"",IF(OFFSET(Tippabgabe!$DB$177,SUM(tipps!$A$34:M$34)+tipps!$A51,0)&lt;0,"",OFFSET(Tippabgabe!$DB$177,SUM(tipps!$A$34:M$34)+tipps!$A51,0)))</f>
        <v/>
      </c>
      <c r="O73" t="str">
        <f ca="1">IF($A51&gt;O$34,"",IF(OFFSET(Tippabgabe!$DB$177,SUM(tipps!$A$34:N$34)+tipps!$A51,0)&lt;0,"",OFFSET(Tippabgabe!$DB$177,SUM(tipps!$A$34:N$34)+tipps!$A51,0)))</f>
        <v/>
      </c>
      <c r="P73" t="str">
        <f ca="1">IF($A51&gt;P$34,"",IF(OFFSET(Tippabgabe!$DB$177,SUM(tipps!$A$34:O$34)+tipps!$A51,0)&lt;0,"",OFFSET(Tippabgabe!$DB$177,SUM(tipps!$A$34:O$34)+tipps!$A51,0)))</f>
        <v/>
      </c>
      <c r="Q73" t="str">
        <f ca="1">IF($A51&gt;Q$34,"",IF(OFFSET(Tippabgabe!$DB$177,SUM(tipps!$A$34:P$34)+tipps!$A51,0)&lt;0,"",OFFSET(Tippabgabe!$DB$177,SUM(tipps!$A$34:P$34)+tipps!$A51,0)))</f>
        <v/>
      </c>
      <c r="R73" t="str">
        <f ca="1">IF($A51&gt;R$34,"",IF(OFFSET(Tippabgabe!$DB$177,SUM(tipps!$A$34:Q$34)+tipps!$A51,0)&lt;0,"",OFFSET(Tippabgabe!$DB$177,SUM(tipps!$A$34:Q$34)+tipps!$A51,0)))</f>
        <v/>
      </c>
      <c r="S73" t="str">
        <f ca="1">IF($A51&gt;S$34,"",IF(OFFSET(Tippabgabe!$DB$177,SUM(tipps!$A$34:R$34)+tipps!$A51,0)&lt;0,"",OFFSET(Tippabgabe!$DB$177,SUM(tipps!$A$34:R$34)+tipps!$A51,0)))</f>
        <v/>
      </c>
      <c r="T73" t="str">
        <f ca="1">IF($A51&gt;T$34,"",IF(OFFSET(Tippabgabe!$DB$177,SUM(tipps!$A$34:S$34)+tipps!$A51,0)&lt;0,"",OFFSET(Tippabgabe!$DB$177,SUM(tipps!$A$34:S$34)+tipps!$A51,0)))</f>
        <v/>
      </c>
      <c r="U73" t="str">
        <f ca="1">IF($A51&gt;U$34,"",IF(OFFSET(Tippabgabe!$DB$177,SUM(tipps!$A$34:T$34)+tipps!$A51,0)&lt;0,"",OFFSET(Tippabgabe!$DB$177,SUM(tipps!$A$34:T$34)+tipps!$A51,0)))</f>
        <v/>
      </c>
      <c r="V73" t="str">
        <f ca="1">IF($A51&gt;V$34,"",IF(OFFSET(Tippabgabe!$DB$177,SUM(tipps!$A$34:U$34)+tipps!$A51,0)&lt;0,"",OFFSET(Tippabgabe!$DB$177,SUM(tipps!$A$34:U$34)+tipps!$A51,0)))</f>
        <v/>
      </c>
      <c r="W73" t="str">
        <f ca="1">IF($A51&gt;W$34,"",IF(OFFSET(Tippabgabe!$DB$177,SUM(tipps!$A$34:V$34)+tipps!$A51,0)&lt;0,"",OFFSET(Tippabgabe!$DB$177,SUM(tipps!$A$34:V$34)+tipps!$A51,0)))</f>
        <v/>
      </c>
      <c r="X73" t="str">
        <f ca="1">IF($A51&gt;X$34,"",IF(OFFSET(Tippabgabe!$DB$177,SUM(tipps!$A$34:W$34)+tipps!$A51,0)&lt;0,"",OFFSET(Tippabgabe!$DB$177,SUM(tipps!$A$34:W$34)+tipps!$A51,0)))</f>
        <v/>
      </c>
      <c r="Y73" t="str">
        <f ca="1">IF($A51&gt;Y$34,"",IF(OFFSET(Tippabgabe!$DB$177,SUM(tipps!$A$34:X$34)+tipps!$A51,0)&lt;0,"",OFFSET(Tippabgabe!$DB$177,SUM(tipps!$A$34:X$34)+tipps!$A51,0)))</f>
        <v/>
      </c>
      <c r="Z73" t="str">
        <f ca="1">IF($A51&gt;Z$34,"",IF(OFFSET(Tippabgabe!$DB$177,SUM(tipps!$A$34:Y$34)+tipps!$A51,0)&lt;0,"",OFFSET(Tippabgabe!$DB$177,SUM(tipps!$A$34:Y$34)+tipps!$A51,0)))</f>
        <v/>
      </c>
      <c r="AA73" t="str">
        <f ca="1">IF($A51&gt;AA$34,"",IF(OFFSET(Tippabgabe!$DB$177,SUM(tipps!$A$34:Z$34)+tipps!$A51,0)&lt;0,"",OFFSET(Tippabgabe!$DB$177,SUM(tipps!$A$34:Z$34)+tipps!$A51,0)))</f>
        <v/>
      </c>
      <c r="AB73" t="str">
        <f ca="1">IF($A51&gt;AB$34,"",IF(OFFSET(Tippabgabe!$DB$177,SUM(tipps!$A$34:AA$34)+tipps!$A51,0)&lt;0,"",OFFSET(Tippabgabe!$DB$177,SUM(tipps!$A$34:AA$34)+tipps!$A51,0)))</f>
        <v/>
      </c>
      <c r="AC73" t="str">
        <f ca="1">IF($A51&gt;AC$34,"",IF(OFFSET(Tippabgabe!$DB$177,SUM(tipps!$A$34:AB$34)+tipps!$A51,0)&lt;0,"",OFFSET(Tippabgabe!$DB$177,SUM(tipps!$A$34:AB$34)+tipps!$A51,0)))</f>
        <v/>
      </c>
      <c r="AD73" t="str">
        <f ca="1">IF($A51&gt;AD$34,"",IF(OFFSET(Tippabgabe!$DB$177,SUM(tipps!$A$34:AC$34)+tipps!$A51,0)&lt;0,"",OFFSET(Tippabgabe!$DB$177,SUM(tipps!$A$34:AC$34)+tipps!$A51,0)))</f>
        <v/>
      </c>
      <c r="AE73" t="str">
        <f ca="1">IF($A51&gt;AE$34,"",IF(OFFSET(Tippabgabe!$DB$177,SUM(tipps!$A$34:AD$34)+tipps!$A51,0)&lt;0,"",OFFSET(Tippabgabe!$DB$177,SUM(tipps!$A$34:AD$34)+tipps!$A51,0)))</f>
        <v/>
      </c>
      <c r="AF73" t="str">
        <f ca="1">IF($A51&gt;AF$34,"",IF(OFFSET(Tippabgabe!$DB$177,SUM(tipps!$A$34:AE$34)+tipps!$A51,0)&lt;0,"",OFFSET(Tippabgabe!$DB$177,SUM(tipps!$A$34:AE$34)+tipps!$A51,0)))</f>
        <v/>
      </c>
      <c r="AG73" t="str">
        <f ca="1">IF($A51&gt;AG$34,"",IF(OFFSET(Tippabgabe!$DB$177,SUM(tipps!$A$34:AF$34)+tipps!$A51,0)&lt;0,"",OFFSET(Tippabgabe!$DB$177,SUM(tipps!$A$34:AF$34)+tipps!$A51,0)))</f>
        <v/>
      </c>
      <c r="AH73" t="str">
        <f ca="1">IF($A51&gt;AH$34,"",IF(OFFSET(Tippabgabe!$DB$177,SUM(tipps!$A$34:AG$34)+tipps!$A51,0)&lt;0,"",OFFSET(Tippabgabe!$DB$177,SUM(tipps!$A$34:AG$34)+tipps!$A51,0)))</f>
        <v/>
      </c>
      <c r="AI73" t="str">
        <f ca="1">IF($A51&gt;AI$34,"",IF(OFFSET(Tippabgabe!$DB$177,SUM(tipps!$A$34:AH$34)+tipps!$A51,0)&lt;0,"",OFFSET(Tippabgabe!$DB$177,SUM(tipps!$A$34:AH$34)+tipps!$A51,0)))</f>
        <v/>
      </c>
      <c r="AJ73" t="str">
        <f ca="1">IF($A51&gt;AJ$34,"",IF(OFFSET(Tippabgabe!$DB$177,SUM(tipps!$A$34:AI$34)+tipps!$A51,0)&lt;0,"",OFFSET(Tippabgabe!$DB$177,SUM(tipps!$A$34:AI$34)+tipps!$A51,0)))</f>
        <v/>
      </c>
      <c r="AK73" t="str">
        <f ca="1">IF($A51&gt;AK$34,"",IF(OFFSET(Tippabgabe!$DB$177,SUM(tipps!$A$34:AJ$34)+tipps!$A51,0)&lt;0,"",OFFSET(Tippabgabe!$DB$177,SUM(tipps!$A$34:AJ$34)+tipps!$A51,0)))</f>
        <v/>
      </c>
      <c r="AL73" t="str">
        <f ca="1">IF($A51&gt;AL$34,"",IF(OFFSET(Tippabgabe!$DB$177,SUM(tipps!$A$34:AK$34)+tipps!$A51,0)&lt;0,"",OFFSET(Tippabgabe!$DB$177,SUM(tipps!$A$34:AK$34)+tipps!$A51,0)))</f>
        <v/>
      </c>
      <c r="AM73" t="str">
        <f ca="1">IF($A51&gt;AM$34,"",IF(OFFSET(Tippabgabe!$DB$177,SUM(tipps!$A$34:AL$34)+tipps!$A51,0)&lt;0,"",OFFSET(Tippabgabe!$DB$177,SUM(tipps!$A$34:AL$34)+tipps!$A51,0)))</f>
        <v/>
      </c>
      <c r="AN73" t="str">
        <f ca="1">IF($A51&gt;AN$34,"",IF(OFFSET(Tippabgabe!$DB$177,SUM(tipps!$A$34:AM$34)+tipps!$A51,0)&lt;0,"",OFFSET(Tippabgabe!$DB$177,SUM(tipps!$A$34:AM$34)+tipps!$A51,0)))</f>
        <v/>
      </c>
      <c r="AO73" t="str">
        <f ca="1">IF($A51&gt;AO$34,"",IF(OFFSET(Tippabgabe!$DB$177,SUM(tipps!$A$34:AN$34)+tipps!$A51,0)&lt;0,"",OFFSET(Tippabgabe!$DB$177,SUM(tipps!$A$34:AN$34)+tipps!$A51,0)))</f>
        <v/>
      </c>
      <c r="AP73" t="str">
        <f ca="1">IF($A51&gt;AP$34,"",IF(OFFSET(Tippabgabe!$DB$177,SUM(tipps!$A$34:AO$34)+tipps!$A51,0)&lt;0,"",OFFSET(Tippabgabe!$DB$177,SUM(tipps!$A$34:AO$34)+tipps!$A51,0)))</f>
        <v/>
      </c>
      <c r="AQ73" t="str">
        <f ca="1">IF($A51&gt;AQ$34,"",IF(OFFSET(Tippabgabe!$DB$177,SUM(tipps!$A$34:AP$34)+tipps!$A51,0)&lt;0,"",OFFSET(Tippabgabe!$DB$177,SUM(tipps!$A$34:AP$34)+tipps!$A51,0)))</f>
        <v/>
      </c>
      <c r="AR73" t="str">
        <f ca="1">IF($A51&gt;AR$34,"",IF(OFFSET(Tippabgabe!$DB$177,SUM(tipps!$A$34:AQ$34)+tipps!$A51,0)&lt;0,"",OFFSET(Tippabgabe!$DB$177,SUM(tipps!$A$34:AQ$34)+tipps!$A51,0)))</f>
        <v/>
      </c>
      <c r="AS73" t="str">
        <f ca="1">IF($A51&gt;AS$34,"",IF(OFFSET(Tippabgabe!$DB$177,SUM(tipps!$A$34:AR$34)+tipps!$A51,0)&lt;0,"",OFFSET(Tippabgabe!$DB$177,SUM(tipps!$A$34:AR$34)+tipps!$A51,0)))</f>
        <v/>
      </c>
      <c r="AT73" t="str">
        <f ca="1">IF($A51&gt;AT$34,"",IF(OFFSET(Tippabgabe!$DB$177,SUM(tipps!$A$34:AS$34)+tipps!$A51,0)&lt;0,"",OFFSET(Tippabgabe!$DB$177,SUM(tipps!$A$34:AS$34)+tipps!$A51,0)))</f>
        <v/>
      </c>
      <c r="AU73" t="str">
        <f ca="1">IF($A51&gt;AU$34,"",IF(OFFSET(Tippabgabe!$DB$177,SUM(tipps!$A$34:AT$34)+tipps!$A51,0)&lt;0,"",OFFSET(Tippabgabe!$DB$177,SUM(tipps!$A$34:AT$34)+tipps!$A51,0)))</f>
        <v/>
      </c>
      <c r="AV73" t="str">
        <f ca="1">IF($A51&gt;AV$34,"",IF(OFFSET(Tippabgabe!$DB$177,SUM(tipps!$A$34:AU$34)+tipps!$A51,0)&lt;0,"",OFFSET(Tippabgabe!$DB$177,SUM(tipps!$A$34:AU$34)+tipps!$A51,0)))</f>
        <v/>
      </c>
      <c r="AW73" t="str">
        <f ca="1">IF($A51&gt;AW$34,"",IF(OFFSET(Tippabgabe!$DB$177,SUM(tipps!$A$34:AV$34)+tipps!$A51,0)&lt;0,"",OFFSET(Tippabgabe!$DB$177,SUM(tipps!$A$34:AV$34)+tipps!$A51,0)))</f>
        <v/>
      </c>
      <c r="AX73" t="str">
        <f ca="1">IF($A51&gt;AX$34,"",IF(OFFSET(Tippabgabe!$DB$177,SUM(tipps!$A$34:AW$34)+tipps!$A51,0)&lt;0,"",OFFSET(Tippabgabe!$DB$177,SUM(tipps!$A$34:AW$34)+tipps!$A51,0)))</f>
        <v/>
      </c>
      <c r="AY73" t="str">
        <f ca="1">IF($A51&gt;AY$34,"",IF(OFFSET(Tippabgabe!$DB$177,SUM(tipps!$A$34:AX$34)+tipps!$A51,0)&lt;0,"",OFFSET(Tippabgabe!$DB$177,SUM(tipps!$A$34:AX$34)+tipps!$A51,0)))</f>
        <v/>
      </c>
      <c r="AZ73" t="str">
        <f ca="1">IF($A51&gt;AZ$34,"",IF(OFFSET(Tippabgabe!$DB$177,SUM(tipps!$A$34:AY$34)+tipps!$A51,0)&lt;0,"",OFFSET(Tippabgabe!$DB$177,SUM(tipps!$A$34:AY$34)+tipps!$A51,0)))</f>
        <v/>
      </c>
      <c r="BA73" t="str">
        <f ca="1">IF($A51&gt;BA$34,"",IF(OFFSET(Tippabgabe!$DB$177,SUM(tipps!$A$34:AZ$34)+tipps!$A51,0)&lt;0,"",OFFSET(Tippabgabe!$DB$177,SUM(tipps!$A$34:AZ$34)+tipps!$A51,0)))</f>
        <v/>
      </c>
      <c r="BB73" t="str">
        <f ca="1">IF($A51&gt;BB$34,"",IF(OFFSET(Tippabgabe!$DB$177,SUM(tipps!$A$34:BA$34)+tipps!$A51,0)&lt;0,"",OFFSET(Tippabgabe!$DB$177,SUM(tipps!$A$34:BA$34)+tipps!$A51,0)))</f>
        <v/>
      </c>
      <c r="BC73" t="str">
        <f ca="1">IF($A51&gt;BC$34,"",IF(OFFSET(Tippabgabe!$DB$177,SUM(tipps!$A$34:BB$34)+tipps!$A51,0)&lt;0,"",OFFSET(Tippabgabe!$DB$177,SUM(tipps!$A$34:BB$34)+tipps!$A51,0)))</f>
        <v/>
      </c>
      <c r="BD73" t="str">
        <f ca="1">IF($A51&gt;BD$34,"",IF(OFFSET(Tippabgabe!$DB$177,SUM(tipps!$A$34:BC$34)+tipps!$A51,0)&lt;0,"",OFFSET(Tippabgabe!$DB$177,SUM(tipps!$A$34:BC$34)+tipps!$A51,0)))</f>
        <v/>
      </c>
      <c r="BE73" t="str">
        <f ca="1">IF($A51&gt;BE$34,"",IF(OFFSET(Tippabgabe!$DB$177,SUM(tipps!$A$34:BD$34)+tipps!$A51,0)&lt;0,"",OFFSET(Tippabgabe!$DB$177,SUM(tipps!$A$34:BD$34)+tipps!$A51,0)))</f>
        <v/>
      </c>
      <c r="BF73" t="str">
        <f ca="1">IF($A51&gt;BF$34,"",IF(OFFSET(Tippabgabe!$DB$177,SUM(tipps!$A$34:BE$34)+tipps!$A51,0)&lt;0,"",OFFSET(Tippabgabe!$DB$177,SUM(tipps!$A$34:BE$34)+tipps!$A51,0)))</f>
        <v/>
      </c>
      <c r="BG73" t="str">
        <f ca="1">IF($A51&gt;BG$34,"",IF(OFFSET(Tippabgabe!$DB$177,SUM(tipps!$A$34:BF$34)+tipps!$A51,0)&lt;0,"",OFFSET(Tippabgabe!$DB$177,SUM(tipps!$A$34:BF$34)+tipps!$A51,0)))</f>
        <v/>
      </c>
      <c r="BH73" t="str">
        <f ca="1">IF($A51&gt;BH$34,"",IF(OFFSET(Tippabgabe!$DB$177,SUM(tipps!$A$34:BG$34)+tipps!$A51,0)&lt;0,"",OFFSET(Tippabgabe!$DB$177,SUM(tipps!$A$34:BG$34)+tipps!$A51,0)))</f>
        <v/>
      </c>
      <c r="BI73" t="str">
        <f ca="1">IF($A51&gt;BI$34,"",IF(OFFSET(Tippabgabe!$DB$177,SUM(tipps!$A$34:BH$34)+tipps!$A51,0)&lt;0,"",OFFSET(Tippabgabe!$DB$177,SUM(tipps!$A$34:BH$34)+tipps!$A51,0)))</f>
        <v/>
      </c>
      <c r="BJ73" t="str">
        <f ca="1">IF($A51&gt;BJ$34,"",IF(OFFSET(Tippabgabe!$DB$177,SUM(tipps!$A$34:BI$34)+tipps!$A51,0)&lt;0,"",OFFSET(Tippabgabe!$DB$177,SUM(tipps!$A$34:BI$34)+tipps!$A51,0)))</f>
        <v/>
      </c>
      <c r="BK73" t="str">
        <f ca="1">IF($A51&gt;BK$34,"",IF(OFFSET(Tippabgabe!$DB$177,SUM(tipps!$A$34:BJ$34)+tipps!$A51,0)&lt;0,"",OFFSET(Tippabgabe!$DB$177,SUM(tipps!$A$34:BJ$34)+tipps!$A51,0)))</f>
        <v/>
      </c>
      <c r="BL73" t="str">
        <f ca="1">IF($A51&gt;BL$34,"",IF(OFFSET(Tippabgabe!$DB$177,SUM(tipps!$A$34:BK$34)+tipps!$A51,0)&lt;0,"",OFFSET(Tippabgabe!$DB$177,SUM(tipps!$A$34:BK$34)+tipps!$A51,0)))</f>
        <v/>
      </c>
      <c r="BM73" t="str">
        <f ca="1">IF($A51&gt;BM$34,"",IF(OFFSET(Tippabgabe!$DB$177,SUM(tipps!$A$34:BL$34)+tipps!$A51,0)&lt;0,"",OFFSET(Tippabgabe!$DB$177,SUM(tipps!$A$34:BL$34)+tipps!$A51,0)))</f>
        <v/>
      </c>
      <c r="BN73" t="str">
        <f ca="1">IF($A51&gt;BN$34,"",IF(OFFSET(Tippabgabe!$DB$177,SUM(tipps!$A$34:BM$34)+tipps!$A51,0)&lt;0,"",OFFSET(Tippabgabe!$DB$177,SUM(tipps!$A$34:BM$34)+tipps!$A51,0)))</f>
        <v/>
      </c>
      <c r="BO73" t="str">
        <f ca="1">IF($A51&gt;BO$34,"",IF(OFFSET(Tippabgabe!$DB$177,SUM(tipps!$A$34:BN$34)+tipps!$A51,0)&lt;0,"",OFFSET(Tippabgabe!$DB$177,SUM(tipps!$A$34:BN$34)+tipps!$A51,0)))</f>
        <v/>
      </c>
      <c r="BP73" t="str">
        <f ca="1">IF($A51&gt;BP$34,"",IF(OFFSET(Tippabgabe!$DB$177,SUM(tipps!$A$34:BO$34)+tipps!$A51,0)&lt;0,"",OFFSET(Tippabgabe!$DB$177,SUM(tipps!$A$34:BO$34)+tipps!$A51,0)))</f>
        <v/>
      </c>
      <c r="BQ73" t="str">
        <f ca="1">IF($A51&gt;BQ$34,"",IF(OFFSET(Tippabgabe!$DB$177,SUM(tipps!$A$34:BP$34)+tipps!$A51,0)&lt;0,"",OFFSET(Tippabgabe!$DB$177,SUM(tipps!$A$34:BP$34)+tipps!$A51,0)))</f>
        <v/>
      </c>
      <c r="BR73" t="str">
        <f ca="1">IF($A51&gt;BR$34,"",IF(OFFSET(Tippabgabe!$DB$177,SUM(tipps!$A$34:BQ$34)+tipps!$A51,0)&lt;0,"",OFFSET(Tippabgabe!$DB$177,SUM(tipps!$A$34:BQ$34)+tipps!$A51,0)))</f>
        <v/>
      </c>
      <c r="BS73" t="str">
        <f ca="1">IF($A51&gt;BS$34,"",IF(OFFSET(Tippabgabe!$DB$177,SUM(tipps!$A$34:BR$34)+tipps!$A51,0)&lt;0,"",OFFSET(Tippabgabe!$DB$177,SUM(tipps!$A$34:BR$34)+tipps!$A51,0)))</f>
        <v/>
      </c>
      <c r="BT73" t="str">
        <f ca="1">IF($A51&gt;BT$34,"",IF(OFFSET(Tippabgabe!$DB$177,SUM(tipps!$A$34:BS$34)+tipps!$A51,0)&lt;0,"",OFFSET(Tippabgabe!$DB$177,SUM(tipps!$A$34:BS$34)+tipps!$A51,0)))</f>
        <v/>
      </c>
      <c r="BU73" t="str">
        <f ca="1">IF($A51&gt;BU$34,"",IF(OFFSET(Tippabgabe!$DB$177,SUM(tipps!$A$34:BT$34)+tipps!$A51,0)&lt;0,"",OFFSET(Tippabgabe!$DB$177,SUM(tipps!$A$34:BT$34)+tipps!$A51,0)))</f>
        <v/>
      </c>
      <c r="BV73" t="str">
        <f ca="1">IF($A51&gt;BV$34,"",IF(OFFSET(Tippabgabe!$DB$177,SUM(tipps!$A$34:BU$34)+tipps!$A51,0)&lt;0,"",OFFSET(Tippabgabe!$DB$177,SUM(tipps!$A$34:BU$34)+tipps!$A51,0)))</f>
        <v/>
      </c>
      <c r="BW73" t="str">
        <f ca="1">IF($A51&gt;BW$34,"",IF(OFFSET(Tippabgabe!$DB$177,SUM(tipps!$A$34:BV$34)+tipps!$A51,0)&lt;0,"",OFFSET(Tippabgabe!$DB$177,SUM(tipps!$A$34:BV$34)+tipps!$A51,0)))</f>
        <v/>
      </c>
    </row>
    <row r="76" spans="1:75" x14ac:dyDescent="0.2">
      <c r="A76" t="s">
        <v>821</v>
      </c>
      <c r="B76" t="b">
        <f t="shared" ref="B76:AG76" ca="1" si="3">COUNT(B36:B51)=B34</f>
        <v>0</v>
      </c>
      <c r="C76" t="b">
        <f t="shared" ca="1" si="3"/>
        <v>0</v>
      </c>
      <c r="D76" t="b">
        <f t="shared" ca="1" si="3"/>
        <v>0</v>
      </c>
      <c r="E76" t="b">
        <f t="shared" ca="1" si="3"/>
        <v>0</v>
      </c>
      <c r="F76" t="b">
        <f t="shared" ca="1" si="3"/>
        <v>0</v>
      </c>
      <c r="G76" t="b">
        <f t="shared" ca="1" si="3"/>
        <v>0</v>
      </c>
      <c r="H76" t="b">
        <f t="shared" ca="1" si="3"/>
        <v>0</v>
      </c>
      <c r="I76" t="b">
        <f t="shared" ca="1" si="3"/>
        <v>0</v>
      </c>
      <c r="J76" t="b">
        <f t="shared" ca="1" si="3"/>
        <v>0</v>
      </c>
      <c r="K76" t="b">
        <f t="shared" ca="1" si="3"/>
        <v>0</v>
      </c>
      <c r="L76" t="b">
        <f t="shared" ca="1" si="3"/>
        <v>0</v>
      </c>
      <c r="M76" t="b">
        <f t="shared" ca="1" si="3"/>
        <v>0</v>
      </c>
      <c r="N76" t="b">
        <f t="shared" ca="1" si="3"/>
        <v>0</v>
      </c>
      <c r="O76" t="b">
        <f t="shared" ca="1" si="3"/>
        <v>0</v>
      </c>
      <c r="P76" t="b">
        <f t="shared" ca="1" si="3"/>
        <v>0</v>
      </c>
      <c r="Q76" t="b">
        <f t="shared" ca="1" si="3"/>
        <v>0</v>
      </c>
      <c r="R76" t="b">
        <f t="shared" ca="1" si="3"/>
        <v>0</v>
      </c>
      <c r="S76" t="b">
        <f t="shared" ca="1" si="3"/>
        <v>0</v>
      </c>
      <c r="T76" t="b">
        <f t="shared" ca="1" si="3"/>
        <v>0</v>
      </c>
      <c r="U76" t="b">
        <f t="shared" ca="1" si="3"/>
        <v>0</v>
      </c>
      <c r="V76" t="b">
        <f t="shared" ca="1" si="3"/>
        <v>0</v>
      </c>
      <c r="W76" t="b">
        <f t="shared" ca="1" si="3"/>
        <v>0</v>
      </c>
      <c r="X76" t="b">
        <f t="shared" ca="1" si="3"/>
        <v>0</v>
      </c>
      <c r="Y76" t="b">
        <f t="shared" ca="1" si="3"/>
        <v>0</v>
      </c>
      <c r="Z76" t="b">
        <f t="shared" ca="1" si="3"/>
        <v>0</v>
      </c>
      <c r="AA76" t="b">
        <f t="shared" ca="1" si="3"/>
        <v>0</v>
      </c>
      <c r="AB76" t="b">
        <f t="shared" ca="1" si="3"/>
        <v>0</v>
      </c>
      <c r="AC76" t="b">
        <f t="shared" ca="1" si="3"/>
        <v>0</v>
      </c>
      <c r="AD76" t="b">
        <f t="shared" ca="1" si="3"/>
        <v>0</v>
      </c>
      <c r="AE76" t="b">
        <f t="shared" ca="1" si="3"/>
        <v>0</v>
      </c>
      <c r="AF76" t="b">
        <f t="shared" ca="1" si="3"/>
        <v>0</v>
      </c>
      <c r="AG76" t="b">
        <f t="shared" ca="1" si="3"/>
        <v>0</v>
      </c>
      <c r="AH76" t="b">
        <f t="shared" ref="AH76:BM76" ca="1" si="4">COUNT(AH36:AH51)=AH34</f>
        <v>0</v>
      </c>
      <c r="AI76" t="b">
        <f t="shared" ca="1" si="4"/>
        <v>0</v>
      </c>
      <c r="AJ76" t="b">
        <f t="shared" ca="1" si="4"/>
        <v>0</v>
      </c>
      <c r="AK76" t="b">
        <f t="shared" ca="1" si="4"/>
        <v>0</v>
      </c>
      <c r="AL76" t="b">
        <f t="shared" ca="1" si="4"/>
        <v>0</v>
      </c>
      <c r="AM76" t="b">
        <f t="shared" ca="1" si="4"/>
        <v>0</v>
      </c>
      <c r="AN76" t="b">
        <f t="shared" ca="1" si="4"/>
        <v>0</v>
      </c>
      <c r="AO76" t="b">
        <f t="shared" ca="1" si="4"/>
        <v>0</v>
      </c>
      <c r="AP76" t="b">
        <f t="shared" ca="1" si="4"/>
        <v>0</v>
      </c>
      <c r="AQ76" t="b">
        <f t="shared" ca="1" si="4"/>
        <v>0</v>
      </c>
      <c r="AR76" t="b">
        <f t="shared" ca="1" si="4"/>
        <v>0</v>
      </c>
      <c r="AS76" t="b">
        <f t="shared" ca="1" si="4"/>
        <v>0</v>
      </c>
      <c r="AT76" t="b">
        <f t="shared" ca="1" si="4"/>
        <v>0</v>
      </c>
      <c r="AU76" t="b">
        <f t="shared" ca="1" si="4"/>
        <v>0</v>
      </c>
      <c r="AV76" t="b">
        <f t="shared" ca="1" si="4"/>
        <v>0</v>
      </c>
      <c r="AW76" t="b">
        <f t="shared" ca="1" si="4"/>
        <v>0</v>
      </c>
      <c r="AX76" t="b">
        <f t="shared" ca="1" si="4"/>
        <v>0</v>
      </c>
      <c r="AY76" t="b">
        <f t="shared" ca="1" si="4"/>
        <v>0</v>
      </c>
      <c r="AZ76" t="b">
        <f t="shared" ca="1" si="4"/>
        <v>0</v>
      </c>
      <c r="BA76" t="b">
        <f t="shared" ca="1" si="4"/>
        <v>0</v>
      </c>
      <c r="BB76" t="b">
        <f t="shared" ca="1" si="4"/>
        <v>0</v>
      </c>
      <c r="BC76" t="b">
        <f t="shared" ca="1" si="4"/>
        <v>0</v>
      </c>
      <c r="BD76" t="b">
        <f t="shared" ca="1" si="4"/>
        <v>0</v>
      </c>
      <c r="BE76" t="b">
        <f t="shared" ca="1" si="4"/>
        <v>0</v>
      </c>
      <c r="BF76" t="b">
        <f t="shared" ca="1" si="4"/>
        <v>0</v>
      </c>
      <c r="BG76" t="b">
        <f t="shared" ca="1" si="4"/>
        <v>0</v>
      </c>
      <c r="BH76" t="b">
        <f t="shared" ca="1" si="4"/>
        <v>0</v>
      </c>
      <c r="BI76" t="b">
        <f t="shared" ca="1" si="4"/>
        <v>0</v>
      </c>
      <c r="BJ76" t="b">
        <f t="shared" ca="1" si="4"/>
        <v>0</v>
      </c>
      <c r="BK76" t="b">
        <f t="shared" ca="1" si="4"/>
        <v>0</v>
      </c>
      <c r="BL76" t="b">
        <f t="shared" ca="1" si="4"/>
        <v>0</v>
      </c>
      <c r="BM76" t="b">
        <f t="shared" ca="1" si="4"/>
        <v>0</v>
      </c>
      <c r="BN76" t="b">
        <f t="shared" ref="BN76:BW76" ca="1" si="5">COUNT(BN36:BN51)=BN34</f>
        <v>0</v>
      </c>
      <c r="BO76" t="b">
        <f t="shared" ca="1" si="5"/>
        <v>0</v>
      </c>
      <c r="BP76" t="b">
        <f t="shared" ca="1" si="5"/>
        <v>0</v>
      </c>
      <c r="BQ76" t="b">
        <f t="shared" ca="1" si="5"/>
        <v>0</v>
      </c>
      <c r="BR76" t="b">
        <f t="shared" ca="1" si="5"/>
        <v>0</v>
      </c>
      <c r="BS76" t="b">
        <f t="shared" ca="1" si="5"/>
        <v>0</v>
      </c>
      <c r="BT76" t="b">
        <f t="shared" ca="1" si="5"/>
        <v>0</v>
      </c>
      <c r="BU76" t="b">
        <f t="shared" ca="1" si="5"/>
        <v>0</v>
      </c>
      <c r="BV76" t="b">
        <f t="shared" ca="1" si="5"/>
        <v>0</v>
      </c>
      <c r="BW76" t="b">
        <f t="shared" ca="1" si="5"/>
        <v>0</v>
      </c>
    </row>
    <row r="77" spans="1:75" x14ac:dyDescent="0.2">
      <c r="A77" t="s">
        <v>822</v>
      </c>
      <c r="B77" t="b">
        <f t="shared" ref="B77:AG77" ca="1" si="6">COUNT(B58:B73)=B34</f>
        <v>0</v>
      </c>
      <c r="C77" t="b">
        <f t="shared" ca="1" si="6"/>
        <v>0</v>
      </c>
      <c r="D77" t="b">
        <f t="shared" ca="1" si="6"/>
        <v>0</v>
      </c>
      <c r="E77" t="b">
        <f t="shared" ca="1" si="6"/>
        <v>0</v>
      </c>
      <c r="F77" t="b">
        <f t="shared" ca="1" si="6"/>
        <v>0</v>
      </c>
      <c r="G77" t="b">
        <f t="shared" ca="1" si="6"/>
        <v>0</v>
      </c>
      <c r="H77" t="b">
        <f t="shared" ca="1" si="6"/>
        <v>0</v>
      </c>
      <c r="I77" t="b">
        <f t="shared" ca="1" si="6"/>
        <v>0</v>
      </c>
      <c r="J77" t="b">
        <f t="shared" ca="1" si="6"/>
        <v>0</v>
      </c>
      <c r="K77" t="b">
        <f t="shared" ca="1" si="6"/>
        <v>1</v>
      </c>
      <c r="L77" t="b">
        <f t="shared" ca="1" si="6"/>
        <v>1</v>
      </c>
      <c r="M77" t="b">
        <f t="shared" ca="1" si="6"/>
        <v>1</v>
      </c>
      <c r="N77" t="b">
        <f t="shared" ca="1" si="6"/>
        <v>1</v>
      </c>
      <c r="O77" t="b">
        <f t="shared" ca="1" si="6"/>
        <v>1</v>
      </c>
      <c r="P77" t="b">
        <f t="shared" ca="1" si="6"/>
        <v>1</v>
      </c>
      <c r="Q77" t="b">
        <f t="shared" ca="1" si="6"/>
        <v>1</v>
      </c>
      <c r="R77" t="b">
        <f t="shared" ca="1" si="6"/>
        <v>1</v>
      </c>
      <c r="S77" t="b">
        <f t="shared" ca="1" si="6"/>
        <v>1</v>
      </c>
      <c r="T77" t="b">
        <f t="shared" ca="1" si="6"/>
        <v>1</v>
      </c>
      <c r="U77" t="b">
        <f t="shared" ca="1" si="6"/>
        <v>1</v>
      </c>
      <c r="V77" t="b">
        <f t="shared" ca="1" si="6"/>
        <v>1</v>
      </c>
      <c r="W77" t="b">
        <f t="shared" ca="1" si="6"/>
        <v>1</v>
      </c>
      <c r="X77" t="b">
        <f t="shared" ca="1" si="6"/>
        <v>1</v>
      </c>
      <c r="Y77" t="b">
        <f t="shared" ca="1" si="6"/>
        <v>1</v>
      </c>
      <c r="Z77" t="b">
        <f t="shared" ca="1" si="6"/>
        <v>1</v>
      </c>
      <c r="AA77" t="b">
        <f t="shared" ca="1" si="6"/>
        <v>1</v>
      </c>
      <c r="AB77" t="b">
        <f t="shared" ca="1" si="6"/>
        <v>1</v>
      </c>
      <c r="AC77" t="b">
        <f t="shared" ca="1" si="6"/>
        <v>1</v>
      </c>
      <c r="AD77" t="b">
        <f t="shared" ca="1" si="6"/>
        <v>1</v>
      </c>
      <c r="AE77" t="b">
        <f t="shared" ca="1" si="6"/>
        <v>1</v>
      </c>
      <c r="AF77" t="b">
        <f t="shared" ca="1" si="6"/>
        <v>1</v>
      </c>
      <c r="AG77" t="b">
        <f t="shared" ca="1" si="6"/>
        <v>1</v>
      </c>
      <c r="AH77" t="b">
        <f t="shared" ref="AH77:BM77" ca="1" si="7">COUNT(AH58:AH73)=AH34</f>
        <v>1</v>
      </c>
      <c r="AI77" t="b">
        <f t="shared" ca="1" si="7"/>
        <v>1</v>
      </c>
      <c r="AJ77" t="b">
        <f t="shared" ca="1" si="7"/>
        <v>1</v>
      </c>
      <c r="AK77" t="b">
        <f t="shared" ca="1" si="7"/>
        <v>1</v>
      </c>
      <c r="AL77" t="b">
        <f t="shared" ca="1" si="7"/>
        <v>1</v>
      </c>
      <c r="AM77" t="b">
        <f t="shared" ca="1" si="7"/>
        <v>1</v>
      </c>
      <c r="AN77" t="b">
        <f t="shared" ca="1" si="7"/>
        <v>1</v>
      </c>
      <c r="AO77" t="b">
        <f t="shared" ca="1" si="7"/>
        <v>1</v>
      </c>
      <c r="AP77" t="b">
        <f t="shared" ca="1" si="7"/>
        <v>1</v>
      </c>
      <c r="AQ77" t="b">
        <f t="shared" ca="1" si="7"/>
        <v>1</v>
      </c>
      <c r="AR77" t="b">
        <f t="shared" ca="1" si="7"/>
        <v>1</v>
      </c>
      <c r="AS77" t="b">
        <f t="shared" ca="1" si="7"/>
        <v>1</v>
      </c>
      <c r="AT77" t="b">
        <f t="shared" ca="1" si="7"/>
        <v>1</v>
      </c>
      <c r="AU77" t="b">
        <f t="shared" ca="1" si="7"/>
        <v>1</v>
      </c>
      <c r="AV77" t="b">
        <f t="shared" ca="1" si="7"/>
        <v>1</v>
      </c>
      <c r="AW77" t="b">
        <f t="shared" ca="1" si="7"/>
        <v>1</v>
      </c>
      <c r="AX77" t="b">
        <f t="shared" ca="1" si="7"/>
        <v>1</v>
      </c>
      <c r="AY77" t="b">
        <f t="shared" ca="1" si="7"/>
        <v>1</v>
      </c>
      <c r="AZ77" t="b">
        <f t="shared" ca="1" si="7"/>
        <v>1</v>
      </c>
      <c r="BA77" t="b">
        <f t="shared" ca="1" si="7"/>
        <v>1</v>
      </c>
      <c r="BB77" t="b">
        <f t="shared" ca="1" si="7"/>
        <v>1</v>
      </c>
      <c r="BC77" t="b">
        <f t="shared" ca="1" si="7"/>
        <v>1</v>
      </c>
      <c r="BD77" t="b">
        <f t="shared" ca="1" si="7"/>
        <v>1</v>
      </c>
      <c r="BE77" t="b">
        <f t="shared" ca="1" si="7"/>
        <v>1</v>
      </c>
      <c r="BF77" t="b">
        <f t="shared" ca="1" si="7"/>
        <v>1</v>
      </c>
      <c r="BG77" t="b">
        <f t="shared" ca="1" si="7"/>
        <v>1</v>
      </c>
      <c r="BH77" t="b">
        <f t="shared" ca="1" si="7"/>
        <v>1</v>
      </c>
      <c r="BI77" t="b">
        <f t="shared" ca="1" si="7"/>
        <v>1</v>
      </c>
      <c r="BJ77" t="b">
        <f t="shared" ca="1" si="7"/>
        <v>1</v>
      </c>
      <c r="BK77" t="b">
        <f t="shared" ca="1" si="7"/>
        <v>1</v>
      </c>
      <c r="BL77" t="b">
        <f t="shared" ca="1" si="7"/>
        <v>1</v>
      </c>
      <c r="BM77" t="b">
        <f t="shared" ca="1" si="7"/>
        <v>1</v>
      </c>
      <c r="BN77" t="b">
        <f t="shared" ref="BN77:BW77" ca="1" si="8">COUNT(BN58:BN73)=BN34</f>
        <v>1</v>
      </c>
      <c r="BO77" t="b">
        <f t="shared" ca="1" si="8"/>
        <v>1</v>
      </c>
      <c r="BP77" t="b">
        <f t="shared" ca="1" si="8"/>
        <v>1</v>
      </c>
      <c r="BQ77" t="b">
        <f t="shared" ca="1" si="8"/>
        <v>0</v>
      </c>
      <c r="BR77" t="b">
        <f t="shared" ca="1" si="8"/>
        <v>1</v>
      </c>
      <c r="BS77" t="b">
        <f t="shared" ca="1" si="8"/>
        <v>1</v>
      </c>
      <c r="BT77" t="b">
        <f t="shared" ca="1" si="8"/>
        <v>0</v>
      </c>
      <c r="BU77" t="b">
        <f t="shared" ca="1" si="8"/>
        <v>0</v>
      </c>
      <c r="BV77" t="b">
        <f t="shared" ca="1" si="8"/>
        <v>0</v>
      </c>
      <c r="BW77" t="b">
        <f t="shared" ca="1" si="8"/>
        <v>0</v>
      </c>
    </row>
  </sheetData>
  <phoneticPr fontId="0" type="noConversion"/>
  <pageMargins left="0.78740157499999996" right="0.78740157499999996" top="0.984251969" bottom="0.984251969" header="0.4921259845" footer="0.492125984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6ECA2-ACF1-4724-990C-6DEE6A337D01}">
  <sheetPr codeName="Tabelle9"/>
  <dimension ref="A1:Q78"/>
  <sheetViews>
    <sheetView workbookViewId="0"/>
  </sheetViews>
  <sheetFormatPr baseColWidth="10" defaultRowHeight="10.199999999999999" x14ac:dyDescent="0.2"/>
  <sheetData>
    <row r="1" spans="1:17" x14ac:dyDescent="0.2">
      <c r="F1" s="59"/>
      <c r="G1" s="59"/>
      <c r="H1" s="59"/>
      <c r="I1" s="59" t="s">
        <v>823</v>
      </c>
      <c r="J1" s="59" t="b">
        <v>0</v>
      </c>
      <c r="K1" s="59"/>
      <c r="L1" s="59"/>
      <c r="M1" s="59"/>
      <c r="N1" s="59"/>
      <c r="O1" s="59"/>
      <c r="P1" s="59"/>
      <c r="Q1" s="59"/>
    </row>
    <row r="2" spans="1:17" x14ac:dyDescent="0.2">
      <c r="F2" s="59"/>
      <c r="G2" s="59"/>
      <c r="H2" s="59"/>
      <c r="I2" s="59"/>
      <c r="J2" s="59"/>
      <c r="K2" s="59"/>
      <c r="L2" s="59"/>
      <c r="M2" s="59"/>
      <c r="N2" s="59"/>
      <c r="O2" s="59"/>
      <c r="P2" s="59"/>
      <c r="Q2" s="59"/>
    </row>
    <row r="3" spans="1:17" x14ac:dyDescent="0.2">
      <c r="F3" s="59"/>
      <c r="G3" s="59"/>
      <c r="H3" s="59"/>
      <c r="I3" s="59" t="s">
        <v>824</v>
      </c>
      <c r="J3" s="59"/>
      <c r="K3" s="59"/>
      <c r="L3" s="59"/>
      <c r="M3" s="59"/>
      <c r="N3" s="59"/>
      <c r="O3" s="59" t="s">
        <v>566</v>
      </c>
      <c r="P3" s="59"/>
      <c r="Q3" s="59"/>
    </row>
    <row r="4" spans="1:17" x14ac:dyDescent="0.2">
      <c r="A4">
        <v>1</v>
      </c>
      <c r="B4" t="s">
        <v>825</v>
      </c>
      <c r="C4" s="59">
        <v>1</v>
      </c>
      <c r="F4" s="59" t="s">
        <v>747</v>
      </c>
      <c r="G4" s="59" t="s">
        <v>826</v>
      </c>
      <c r="H4" s="59" t="s">
        <v>827</v>
      </c>
      <c r="I4" s="59" t="s">
        <v>828</v>
      </c>
      <c r="J4" s="59" t="s">
        <v>829</v>
      </c>
      <c r="K4" s="59" t="s">
        <v>830</v>
      </c>
      <c r="L4" s="59" t="s">
        <v>424</v>
      </c>
      <c r="M4" s="59" t="s">
        <v>430</v>
      </c>
      <c r="N4" s="59" t="s">
        <v>438</v>
      </c>
      <c r="O4" s="59" t="s">
        <v>567</v>
      </c>
      <c r="P4" s="59" t="s">
        <v>141</v>
      </c>
      <c r="Q4" s="59"/>
    </row>
    <row r="5" spans="1:17" x14ac:dyDescent="0.2">
      <c r="A5">
        <v>2</v>
      </c>
      <c r="B5" t="s">
        <v>374</v>
      </c>
      <c r="C5" s="59">
        <v>1</v>
      </c>
      <c r="F5" s="59">
        <v>1</v>
      </c>
      <c r="G5" s="59" t="s">
        <v>487</v>
      </c>
      <c r="H5" s="59">
        <v>1</v>
      </c>
      <c r="I5" s="59">
        <v>5</v>
      </c>
      <c r="J5" s="59">
        <v>5</v>
      </c>
      <c r="K5" s="59">
        <v>5</v>
      </c>
      <c r="L5" s="59">
        <v>5</v>
      </c>
      <c r="M5" s="59">
        <v>5</v>
      </c>
      <c r="N5" s="59">
        <v>5</v>
      </c>
      <c r="O5" s="59">
        <v>5</v>
      </c>
      <c r="P5" s="59">
        <v>5</v>
      </c>
      <c r="Q5" s="59" t="s">
        <v>487</v>
      </c>
    </row>
    <row r="6" spans="1:17" x14ac:dyDescent="0.2">
      <c r="A6">
        <v>3</v>
      </c>
      <c r="B6" t="s">
        <v>831</v>
      </c>
      <c r="C6" s="59">
        <v>0</v>
      </c>
      <c r="F6" s="59">
        <v>2</v>
      </c>
      <c r="G6" s="59" t="s">
        <v>608</v>
      </c>
      <c r="H6" s="59">
        <v>2</v>
      </c>
      <c r="I6" s="59">
        <v>4</v>
      </c>
      <c r="J6" s="59">
        <v>4</v>
      </c>
      <c r="K6" s="59">
        <v>4</v>
      </c>
      <c r="L6" s="59">
        <v>4</v>
      </c>
      <c r="M6" s="59">
        <v>4</v>
      </c>
      <c r="N6" s="59">
        <v>4</v>
      </c>
      <c r="O6" s="59">
        <v>4</v>
      </c>
      <c r="P6" s="59">
        <v>4</v>
      </c>
      <c r="Q6" s="59" t="s">
        <v>608</v>
      </c>
    </row>
    <row r="7" spans="1:17" x14ac:dyDescent="0.2">
      <c r="A7">
        <v>4</v>
      </c>
      <c r="B7" t="s">
        <v>832</v>
      </c>
      <c r="C7" s="59">
        <v>1</v>
      </c>
      <c r="F7" s="59">
        <v>3</v>
      </c>
      <c r="G7" s="59" t="s">
        <v>505</v>
      </c>
      <c r="H7" s="59">
        <v>2</v>
      </c>
      <c r="I7" s="59">
        <v>4</v>
      </c>
      <c r="J7" s="59">
        <v>4</v>
      </c>
      <c r="K7" s="59">
        <v>4</v>
      </c>
      <c r="L7" s="59">
        <v>4</v>
      </c>
      <c r="M7" s="59">
        <v>4</v>
      </c>
      <c r="N7" s="59">
        <v>4</v>
      </c>
      <c r="O7" s="59">
        <v>4</v>
      </c>
      <c r="P7" s="59">
        <v>4</v>
      </c>
      <c r="Q7" s="59" t="s">
        <v>608</v>
      </c>
    </row>
    <row r="8" spans="1:17" x14ac:dyDescent="0.2">
      <c r="A8">
        <v>5</v>
      </c>
      <c r="B8" t="s">
        <v>833</v>
      </c>
      <c r="C8" s="59">
        <v>1</v>
      </c>
      <c r="F8" s="59">
        <v>4</v>
      </c>
      <c r="G8" s="59" t="s">
        <v>834</v>
      </c>
      <c r="H8" s="59">
        <v>4</v>
      </c>
      <c r="I8" s="59">
        <v>3</v>
      </c>
      <c r="J8" s="59">
        <v>3</v>
      </c>
      <c r="K8" s="59">
        <v>3</v>
      </c>
      <c r="L8" s="59">
        <v>3</v>
      </c>
      <c r="M8" s="59">
        <v>3</v>
      </c>
      <c r="N8" s="59">
        <v>3</v>
      </c>
      <c r="O8" s="59">
        <v>3</v>
      </c>
      <c r="P8" s="59">
        <v>3</v>
      </c>
      <c r="Q8" s="59" t="s">
        <v>834</v>
      </c>
    </row>
    <row r="9" spans="1:17" x14ac:dyDescent="0.2">
      <c r="A9">
        <v>6</v>
      </c>
      <c r="B9" t="s">
        <v>835</v>
      </c>
      <c r="C9" s="59">
        <v>1</v>
      </c>
      <c r="F9" s="59">
        <v>5</v>
      </c>
      <c r="G9" s="59" t="s">
        <v>632</v>
      </c>
      <c r="H9" s="59">
        <v>5</v>
      </c>
      <c r="I9" s="59">
        <v>0</v>
      </c>
      <c r="J9" s="59">
        <v>0</v>
      </c>
      <c r="K9" s="59">
        <v>0</v>
      </c>
      <c r="L9" s="59">
        <v>0</v>
      </c>
      <c r="M9" s="59">
        <v>0</v>
      </c>
      <c r="N9" s="59">
        <v>0</v>
      </c>
      <c r="O9" s="59">
        <v>0</v>
      </c>
      <c r="P9" s="59">
        <v>0</v>
      </c>
      <c r="Q9" s="59" t="s">
        <v>632</v>
      </c>
    </row>
    <row r="10" spans="1:17" x14ac:dyDescent="0.2">
      <c r="A10">
        <v>7</v>
      </c>
      <c r="B10" t="s">
        <v>836</v>
      </c>
      <c r="C10" s="59">
        <v>1</v>
      </c>
      <c r="F10" s="59">
        <v>6</v>
      </c>
      <c r="G10" s="59" t="s">
        <v>837</v>
      </c>
      <c r="H10" s="59">
        <v>1</v>
      </c>
      <c r="I10" s="59">
        <v>5</v>
      </c>
      <c r="J10" s="59">
        <v>5</v>
      </c>
      <c r="K10" s="59">
        <v>5</v>
      </c>
      <c r="L10" s="59">
        <v>5</v>
      </c>
      <c r="M10" s="59">
        <v>5</v>
      </c>
      <c r="N10" s="59">
        <v>5</v>
      </c>
      <c r="O10" s="59">
        <v>5</v>
      </c>
      <c r="P10" s="59">
        <v>5</v>
      </c>
      <c r="Q10" s="59" t="s">
        <v>487</v>
      </c>
    </row>
    <row r="11" spans="1:17" x14ac:dyDescent="0.2">
      <c r="A11">
        <v>8</v>
      </c>
      <c r="B11" t="s">
        <v>838</v>
      </c>
      <c r="C11" s="59">
        <v>0</v>
      </c>
      <c r="F11" s="59">
        <v>7</v>
      </c>
      <c r="G11" s="59" t="s">
        <v>839</v>
      </c>
      <c r="H11" s="59">
        <v>2</v>
      </c>
      <c r="I11" s="59">
        <v>4</v>
      </c>
      <c r="J11" s="59">
        <v>4</v>
      </c>
      <c r="K11" s="59">
        <v>4</v>
      </c>
      <c r="L11" s="59">
        <v>4</v>
      </c>
      <c r="M11" s="59">
        <v>4</v>
      </c>
      <c r="N11" s="59">
        <v>4</v>
      </c>
      <c r="O11" s="59">
        <v>4</v>
      </c>
      <c r="P11" s="59">
        <v>4</v>
      </c>
      <c r="Q11" s="59" t="s">
        <v>608</v>
      </c>
    </row>
    <row r="12" spans="1:17" x14ac:dyDescent="0.2">
      <c r="A12">
        <v>9</v>
      </c>
      <c r="B12" t="s">
        <v>840</v>
      </c>
      <c r="C12" s="59">
        <v>0</v>
      </c>
      <c r="F12" s="59">
        <v>8</v>
      </c>
      <c r="G12" s="59" t="s">
        <v>841</v>
      </c>
      <c r="H12" s="59">
        <v>2</v>
      </c>
      <c r="I12" s="59">
        <v>4</v>
      </c>
      <c r="J12" s="59">
        <v>4</v>
      </c>
      <c r="K12" s="59">
        <v>4</v>
      </c>
      <c r="L12" s="59">
        <v>4</v>
      </c>
      <c r="M12" s="59">
        <v>4</v>
      </c>
      <c r="N12" s="59">
        <v>4</v>
      </c>
      <c r="O12" s="59">
        <v>4</v>
      </c>
      <c r="P12" s="59">
        <v>4</v>
      </c>
      <c r="Q12" s="59" t="s">
        <v>608</v>
      </c>
    </row>
    <row r="13" spans="1:17" x14ac:dyDescent="0.2">
      <c r="A13">
        <v>10</v>
      </c>
      <c r="B13" t="s">
        <v>842</v>
      </c>
      <c r="C13" s="59">
        <v>0</v>
      </c>
      <c r="F13" s="59">
        <v>9</v>
      </c>
      <c r="G13" s="59" t="s">
        <v>843</v>
      </c>
      <c r="H13" s="59">
        <v>4</v>
      </c>
      <c r="I13" s="59">
        <v>3</v>
      </c>
      <c r="J13" s="59">
        <v>3</v>
      </c>
      <c r="K13" s="59">
        <v>3</v>
      </c>
      <c r="L13" s="59">
        <v>3</v>
      </c>
      <c r="M13" s="59">
        <v>3</v>
      </c>
      <c r="N13" s="59">
        <v>3</v>
      </c>
      <c r="O13" s="59">
        <v>3</v>
      </c>
      <c r="P13" s="59">
        <v>3</v>
      </c>
      <c r="Q13" s="59" t="s">
        <v>834</v>
      </c>
    </row>
    <row r="14" spans="1:17" x14ac:dyDescent="0.2">
      <c r="A14">
        <v>11</v>
      </c>
      <c r="B14" t="s">
        <v>844</v>
      </c>
      <c r="C14" s="59">
        <v>0</v>
      </c>
      <c r="F14" s="59">
        <v>10</v>
      </c>
      <c r="G14" s="59" t="s">
        <v>845</v>
      </c>
      <c r="H14" s="59">
        <v>5</v>
      </c>
      <c r="I14" s="59">
        <v>0</v>
      </c>
      <c r="J14" s="59">
        <v>0</v>
      </c>
      <c r="K14" s="59">
        <v>0</v>
      </c>
      <c r="L14" s="59">
        <v>0</v>
      </c>
      <c r="M14" s="59">
        <v>0</v>
      </c>
      <c r="N14" s="59">
        <v>0</v>
      </c>
      <c r="O14" s="59">
        <v>0</v>
      </c>
      <c r="P14" s="59">
        <v>0</v>
      </c>
      <c r="Q14" s="59" t="s">
        <v>632</v>
      </c>
    </row>
    <row r="15" spans="1:17" x14ac:dyDescent="0.2">
      <c r="A15">
        <v>12</v>
      </c>
      <c r="B15" t="s">
        <v>846</v>
      </c>
      <c r="C15" s="59">
        <v>0</v>
      </c>
      <c r="F15" s="59">
        <v>11</v>
      </c>
      <c r="G15" s="59" t="s">
        <v>385</v>
      </c>
      <c r="H15" s="59">
        <v>11</v>
      </c>
      <c r="I15" s="59">
        <v>0</v>
      </c>
      <c r="J15" s="59">
        <v>0</v>
      </c>
      <c r="K15" s="59">
        <v>0</v>
      </c>
      <c r="L15" s="59">
        <v>0</v>
      </c>
      <c r="M15" s="59">
        <v>0</v>
      </c>
      <c r="N15" s="59">
        <v>0</v>
      </c>
      <c r="O15" s="59">
        <v>0</v>
      </c>
      <c r="P15" s="59">
        <v>0</v>
      </c>
      <c r="Q15" s="59" t="s">
        <v>385</v>
      </c>
    </row>
    <row r="16" spans="1:17" x14ac:dyDescent="0.2">
      <c r="A16">
        <v>13</v>
      </c>
      <c r="B16" t="s">
        <v>847</v>
      </c>
      <c r="C16" s="59">
        <v>0</v>
      </c>
      <c r="F16" s="59">
        <v>12</v>
      </c>
      <c r="G16" s="59" t="s">
        <v>848</v>
      </c>
      <c r="H16" s="59">
        <v>12</v>
      </c>
      <c r="I16" s="59">
        <v>0</v>
      </c>
      <c r="J16" s="59">
        <v>0</v>
      </c>
      <c r="K16" s="59">
        <v>0</v>
      </c>
      <c r="L16" s="59">
        <v>0</v>
      </c>
      <c r="M16" s="59">
        <v>0</v>
      </c>
      <c r="N16" s="59">
        <v>0</v>
      </c>
      <c r="O16" s="59">
        <v>0</v>
      </c>
      <c r="P16" s="59">
        <v>0</v>
      </c>
      <c r="Q16" s="59" t="s">
        <v>848</v>
      </c>
    </row>
    <row r="17" spans="1:17" x14ac:dyDescent="0.2">
      <c r="A17">
        <v>14</v>
      </c>
      <c r="B17" t="s">
        <v>849</v>
      </c>
      <c r="C17" s="59">
        <v>0</v>
      </c>
      <c r="F17" s="59">
        <v>13</v>
      </c>
      <c r="G17" s="59" t="s">
        <v>850</v>
      </c>
      <c r="H17" s="59"/>
      <c r="I17" s="59">
        <v>1</v>
      </c>
      <c r="J17" s="59">
        <v>1</v>
      </c>
      <c r="K17" s="59">
        <v>1</v>
      </c>
      <c r="L17" s="59">
        <v>1</v>
      </c>
      <c r="M17" s="59">
        <v>1</v>
      </c>
      <c r="N17" s="59">
        <v>1</v>
      </c>
      <c r="O17" s="59">
        <v>0</v>
      </c>
      <c r="P17" s="59">
        <v>0</v>
      </c>
      <c r="Q17" s="59"/>
    </row>
    <row r="18" spans="1:17" x14ac:dyDescent="0.2">
      <c r="A18">
        <v>15</v>
      </c>
      <c r="B18" t="s">
        <v>851</v>
      </c>
      <c r="C18" s="59">
        <v>0</v>
      </c>
      <c r="F18" s="59">
        <v>14</v>
      </c>
      <c r="G18" s="59" t="s">
        <v>383</v>
      </c>
      <c r="H18" s="59"/>
      <c r="I18" s="59">
        <v>80</v>
      </c>
      <c r="J18" s="59">
        <v>80</v>
      </c>
      <c r="K18" s="59">
        <v>80</v>
      </c>
      <c r="L18" s="59">
        <v>80</v>
      </c>
      <c r="M18" s="59">
        <v>40</v>
      </c>
      <c r="N18" s="59">
        <v>30</v>
      </c>
      <c r="O18" s="59">
        <v>40</v>
      </c>
      <c r="P18" s="59">
        <v>40</v>
      </c>
      <c r="Q18" s="59"/>
    </row>
    <row r="19" spans="1:17" x14ac:dyDescent="0.2">
      <c r="A19">
        <v>16</v>
      </c>
      <c r="B19" t="s">
        <v>852</v>
      </c>
      <c r="C19" s="59">
        <v>0</v>
      </c>
      <c r="F19" s="59">
        <v>15</v>
      </c>
      <c r="G19" s="59" t="s">
        <v>483</v>
      </c>
      <c r="H19" s="59"/>
      <c r="I19" s="59">
        <v>1</v>
      </c>
      <c r="J19" s="59">
        <v>1</v>
      </c>
      <c r="K19" s="59">
        <v>1</v>
      </c>
      <c r="L19" s="59">
        <v>1</v>
      </c>
      <c r="M19" s="59">
        <v>1</v>
      </c>
      <c r="N19" s="59">
        <v>5</v>
      </c>
      <c r="O19" s="59">
        <v>5</v>
      </c>
      <c r="P19" s="59">
        <v>5</v>
      </c>
      <c r="Q19" s="59"/>
    </row>
    <row r="20" spans="1:17" x14ac:dyDescent="0.2">
      <c r="A20">
        <v>17</v>
      </c>
      <c r="B20" t="s">
        <v>853</v>
      </c>
      <c r="C20" s="59">
        <v>0</v>
      </c>
      <c r="F20" s="59">
        <v>16</v>
      </c>
      <c r="G20" s="59" t="s">
        <v>484</v>
      </c>
      <c r="H20" s="59"/>
      <c r="I20" s="59">
        <v>10</v>
      </c>
      <c r="J20" s="59">
        <v>10</v>
      </c>
      <c r="K20" s="59">
        <v>10</v>
      </c>
      <c r="L20" s="59">
        <v>15</v>
      </c>
      <c r="M20" s="59">
        <v>15</v>
      </c>
      <c r="N20" s="59">
        <v>15</v>
      </c>
      <c r="O20" s="59">
        <v>15</v>
      </c>
      <c r="P20" s="59">
        <v>15</v>
      </c>
      <c r="Q20" s="59"/>
    </row>
    <row r="21" spans="1:17" x14ac:dyDescent="0.2">
      <c r="A21">
        <v>18</v>
      </c>
      <c r="C21" s="59"/>
      <c r="F21" s="59">
        <v>17</v>
      </c>
      <c r="G21" s="59"/>
      <c r="H21" s="59"/>
      <c r="I21" s="59"/>
      <c r="J21" s="59"/>
      <c r="K21" s="59"/>
      <c r="L21" s="59"/>
      <c r="M21" s="59"/>
      <c r="N21" s="59"/>
      <c r="O21" s="59"/>
      <c r="P21" s="59"/>
      <c r="Q21" s="59"/>
    </row>
    <row r="22" spans="1:17" x14ac:dyDescent="0.2">
      <c r="A22">
        <v>19</v>
      </c>
      <c r="B22" t="s">
        <v>854</v>
      </c>
      <c r="C22" s="59">
        <v>0</v>
      </c>
      <c r="F22" s="59">
        <v>18</v>
      </c>
      <c r="G22" s="59"/>
      <c r="H22" s="59"/>
      <c r="I22" s="59"/>
      <c r="J22" s="59"/>
      <c r="K22" s="59"/>
      <c r="L22" s="59"/>
      <c r="M22" s="59"/>
      <c r="N22" s="59"/>
      <c r="O22" s="59"/>
      <c r="P22" s="59"/>
      <c r="Q22" s="59"/>
    </row>
    <row r="23" spans="1:17" x14ac:dyDescent="0.2">
      <c r="A23">
        <v>20</v>
      </c>
      <c r="B23" t="s">
        <v>855</v>
      </c>
      <c r="C23" s="59">
        <v>0</v>
      </c>
      <c r="F23" s="59">
        <v>19</v>
      </c>
      <c r="G23" s="59"/>
      <c r="H23" s="59"/>
      <c r="I23" s="59"/>
      <c r="J23" s="59"/>
      <c r="K23" s="59"/>
      <c r="L23" s="59"/>
      <c r="M23" s="59"/>
      <c r="N23" s="59"/>
      <c r="O23" s="59"/>
      <c r="P23" s="59"/>
      <c r="Q23" s="59"/>
    </row>
    <row r="24" spans="1:17" x14ac:dyDescent="0.2">
      <c r="A24">
        <v>21</v>
      </c>
      <c r="B24" t="s">
        <v>856</v>
      </c>
      <c r="C24" s="59">
        <v>0</v>
      </c>
      <c r="F24" s="59">
        <v>20</v>
      </c>
      <c r="G24" s="59"/>
      <c r="H24" s="59"/>
      <c r="I24" s="59"/>
      <c r="J24" s="59"/>
      <c r="K24" s="59"/>
      <c r="L24" s="59"/>
      <c r="M24" s="59"/>
      <c r="N24" s="59"/>
      <c r="O24" s="59"/>
      <c r="P24" s="59"/>
      <c r="Q24" s="59"/>
    </row>
    <row r="25" spans="1:17" x14ac:dyDescent="0.2">
      <c r="A25">
        <v>22</v>
      </c>
      <c r="B25" t="s">
        <v>857</v>
      </c>
      <c r="C25" s="59">
        <v>0</v>
      </c>
    </row>
    <row r="26" spans="1:17" x14ac:dyDescent="0.2">
      <c r="A26">
        <v>23</v>
      </c>
      <c r="B26" t="s">
        <v>858</v>
      </c>
      <c r="C26" s="59">
        <v>0</v>
      </c>
    </row>
    <row r="27" spans="1:17" x14ac:dyDescent="0.2">
      <c r="A27">
        <v>24</v>
      </c>
      <c r="B27" t="s">
        <v>859</v>
      </c>
      <c r="C27" s="59">
        <v>0</v>
      </c>
    </row>
    <row r="28" spans="1:17" x14ac:dyDescent="0.2">
      <c r="A28">
        <v>25</v>
      </c>
      <c r="B28" t="s">
        <v>860</v>
      </c>
      <c r="C28" s="59">
        <v>0</v>
      </c>
    </row>
    <row r="29" spans="1:17" x14ac:dyDescent="0.2">
      <c r="A29">
        <v>26</v>
      </c>
      <c r="B29" t="s">
        <v>861</v>
      </c>
      <c r="C29" s="59">
        <v>0</v>
      </c>
    </row>
    <row r="30" spans="1:17" x14ac:dyDescent="0.2">
      <c r="A30">
        <v>27</v>
      </c>
      <c r="B30" t="s">
        <v>862</v>
      </c>
      <c r="C30" s="59">
        <v>0</v>
      </c>
    </row>
    <row r="31" spans="1:17" x14ac:dyDescent="0.2">
      <c r="A31">
        <v>28</v>
      </c>
      <c r="B31" t="s">
        <v>863</v>
      </c>
      <c r="C31" s="59">
        <v>0</v>
      </c>
    </row>
    <row r="32" spans="1:17" x14ac:dyDescent="0.2">
      <c r="A32">
        <v>29</v>
      </c>
      <c r="B32" t="s">
        <v>864</v>
      </c>
      <c r="C32" s="59">
        <v>0</v>
      </c>
    </row>
    <row r="33" spans="1:3" x14ac:dyDescent="0.2">
      <c r="A33">
        <v>30</v>
      </c>
      <c r="B33" t="s">
        <v>865</v>
      </c>
      <c r="C33" s="59">
        <v>-1</v>
      </c>
    </row>
    <row r="34" spans="1:3" x14ac:dyDescent="0.2">
      <c r="A34">
        <v>31</v>
      </c>
      <c r="C34" s="59">
        <v>1</v>
      </c>
    </row>
    <row r="35" spans="1:3" x14ac:dyDescent="0.2">
      <c r="A35">
        <v>32</v>
      </c>
      <c r="B35" t="s">
        <v>866</v>
      </c>
      <c r="C35" s="59">
        <v>1</v>
      </c>
    </row>
    <row r="36" spans="1:3" x14ac:dyDescent="0.2">
      <c r="A36">
        <v>33</v>
      </c>
      <c r="B36" t="s">
        <v>867</v>
      </c>
      <c r="C36" s="59">
        <v>0</v>
      </c>
    </row>
    <row r="37" spans="1:3" x14ac:dyDescent="0.2">
      <c r="A37">
        <v>34</v>
      </c>
      <c r="C37" s="59"/>
    </row>
    <row r="38" spans="1:3" x14ac:dyDescent="0.2">
      <c r="A38">
        <v>35</v>
      </c>
      <c r="C38" s="59"/>
    </row>
    <row r="39" spans="1:3" x14ac:dyDescent="0.2">
      <c r="A39">
        <v>36</v>
      </c>
      <c r="C39" s="59"/>
    </row>
    <row r="40" spans="1:3" x14ac:dyDescent="0.2">
      <c r="A40">
        <v>37</v>
      </c>
      <c r="C40" s="59"/>
    </row>
    <row r="41" spans="1:3" x14ac:dyDescent="0.2">
      <c r="A41">
        <v>38</v>
      </c>
      <c r="C41" s="59"/>
    </row>
    <row r="42" spans="1:3" x14ac:dyDescent="0.2">
      <c r="A42">
        <v>39</v>
      </c>
      <c r="B42" t="s">
        <v>868</v>
      </c>
      <c r="C42" s="59">
        <v>4</v>
      </c>
    </row>
    <row r="43" spans="1:3" x14ac:dyDescent="0.2">
      <c r="A43">
        <v>40</v>
      </c>
      <c r="B43" t="s">
        <v>869</v>
      </c>
      <c r="C43" s="59">
        <v>0</v>
      </c>
    </row>
    <row r="44" spans="1:3" x14ac:dyDescent="0.2">
      <c r="A44">
        <v>41</v>
      </c>
      <c r="B44" t="s">
        <v>870</v>
      </c>
      <c r="C44" s="59" t="b">
        <v>0</v>
      </c>
    </row>
    <row r="45" spans="1:3" x14ac:dyDescent="0.2">
      <c r="A45">
        <v>42</v>
      </c>
      <c r="C45" s="59"/>
    </row>
    <row r="46" spans="1:3" x14ac:dyDescent="0.2">
      <c r="A46">
        <v>43</v>
      </c>
      <c r="C46" s="59" t="b">
        <v>1</v>
      </c>
    </row>
    <row r="47" spans="1:3" x14ac:dyDescent="0.2">
      <c r="A47">
        <v>44</v>
      </c>
      <c r="C47" s="59"/>
    </row>
    <row r="48" spans="1:3" x14ac:dyDescent="0.2">
      <c r="A48">
        <v>45</v>
      </c>
      <c r="C48" s="59"/>
    </row>
    <row r="49" spans="1:3" x14ac:dyDescent="0.2">
      <c r="A49">
        <v>46</v>
      </c>
      <c r="C49" s="59"/>
    </row>
    <row r="50" spans="1:3" x14ac:dyDescent="0.2">
      <c r="A50">
        <v>47</v>
      </c>
      <c r="C50" s="59"/>
    </row>
    <row r="51" spans="1:3" x14ac:dyDescent="0.2">
      <c r="A51">
        <v>48</v>
      </c>
      <c r="C51" s="59"/>
    </row>
    <row r="52" spans="1:3" x14ac:dyDescent="0.2">
      <c r="A52">
        <v>49</v>
      </c>
      <c r="C52" s="59"/>
    </row>
    <row r="53" spans="1:3" x14ac:dyDescent="0.2">
      <c r="A53">
        <v>50</v>
      </c>
      <c r="C53" s="59">
        <v>0</v>
      </c>
    </row>
    <row r="54" spans="1:3" x14ac:dyDescent="0.2">
      <c r="A54">
        <v>51</v>
      </c>
      <c r="B54" t="s">
        <v>871</v>
      </c>
      <c r="C54" s="59">
        <v>1</v>
      </c>
    </row>
    <row r="55" spans="1:3" x14ac:dyDescent="0.2">
      <c r="A55">
        <v>52</v>
      </c>
      <c r="B55" t="s">
        <v>872</v>
      </c>
      <c r="C55" s="59">
        <v>1</v>
      </c>
    </row>
    <row r="56" spans="1:3" x14ac:dyDescent="0.2">
      <c r="A56">
        <v>53</v>
      </c>
      <c r="B56" t="s">
        <v>873</v>
      </c>
      <c r="C56" s="59">
        <v>0</v>
      </c>
    </row>
    <row r="57" spans="1:3" x14ac:dyDescent="0.2">
      <c r="A57">
        <v>54</v>
      </c>
      <c r="B57" t="s">
        <v>874</v>
      </c>
      <c r="C57" s="59">
        <v>1</v>
      </c>
    </row>
    <row r="58" spans="1:3" x14ac:dyDescent="0.2">
      <c r="A58">
        <v>55</v>
      </c>
      <c r="B58" t="s">
        <v>875</v>
      </c>
      <c r="C58" s="59">
        <v>0</v>
      </c>
    </row>
    <row r="59" spans="1:3" x14ac:dyDescent="0.2">
      <c r="A59">
        <v>56</v>
      </c>
      <c r="B59" t="s">
        <v>876</v>
      </c>
      <c r="C59" s="59">
        <v>1</v>
      </c>
    </row>
    <row r="60" spans="1:3" x14ac:dyDescent="0.2">
      <c r="A60">
        <v>57</v>
      </c>
      <c r="C60" s="59"/>
    </row>
    <row r="61" spans="1:3" x14ac:dyDescent="0.2">
      <c r="A61">
        <v>58</v>
      </c>
      <c r="B61" t="s">
        <v>877</v>
      </c>
      <c r="C61" s="59">
        <v>1</v>
      </c>
    </row>
    <row r="62" spans="1:3" x14ac:dyDescent="0.2">
      <c r="A62">
        <v>59</v>
      </c>
      <c r="B62" t="s">
        <v>878</v>
      </c>
      <c r="C62" s="59">
        <v>0</v>
      </c>
    </row>
    <row r="63" spans="1:3" x14ac:dyDescent="0.2">
      <c r="A63">
        <v>60</v>
      </c>
      <c r="C63" s="59"/>
    </row>
    <row r="64" spans="1:3" x14ac:dyDescent="0.2">
      <c r="A64">
        <v>61</v>
      </c>
      <c r="C64" s="59">
        <v>1</v>
      </c>
    </row>
    <row r="65" spans="1:3" x14ac:dyDescent="0.2">
      <c r="A65">
        <v>62</v>
      </c>
      <c r="C65" s="59"/>
    </row>
    <row r="66" spans="1:3" x14ac:dyDescent="0.2">
      <c r="A66">
        <v>63</v>
      </c>
      <c r="C66" s="59"/>
    </row>
    <row r="67" spans="1:3" x14ac:dyDescent="0.2">
      <c r="A67">
        <v>64</v>
      </c>
      <c r="C67" s="59"/>
    </row>
    <row r="68" spans="1:3" x14ac:dyDescent="0.2">
      <c r="A68">
        <v>65</v>
      </c>
      <c r="C68" s="59"/>
    </row>
    <row r="69" spans="1:3" x14ac:dyDescent="0.2">
      <c r="A69">
        <v>66</v>
      </c>
      <c r="C69" s="59"/>
    </row>
    <row r="70" spans="1:3" x14ac:dyDescent="0.2">
      <c r="A70">
        <v>67</v>
      </c>
      <c r="C70" s="59"/>
    </row>
    <row r="71" spans="1:3" x14ac:dyDescent="0.2">
      <c r="A71">
        <v>68</v>
      </c>
      <c r="C71" s="59"/>
    </row>
    <row r="72" spans="1:3" x14ac:dyDescent="0.2">
      <c r="A72">
        <v>69</v>
      </c>
      <c r="C72" s="59"/>
    </row>
    <row r="73" spans="1:3" x14ac:dyDescent="0.2">
      <c r="A73">
        <v>70</v>
      </c>
      <c r="C73" s="59"/>
    </row>
    <row r="74" spans="1:3" x14ac:dyDescent="0.2">
      <c r="A74">
        <v>71</v>
      </c>
      <c r="C74" s="59"/>
    </row>
    <row r="75" spans="1:3" x14ac:dyDescent="0.2">
      <c r="A75">
        <v>72</v>
      </c>
      <c r="C75" s="59"/>
    </row>
    <row r="76" spans="1:3" x14ac:dyDescent="0.2">
      <c r="A76">
        <v>73</v>
      </c>
      <c r="C76" s="59"/>
    </row>
    <row r="77" spans="1:3" x14ac:dyDescent="0.2">
      <c r="A77">
        <v>74</v>
      </c>
      <c r="C77" s="59"/>
    </row>
    <row r="78" spans="1:3" x14ac:dyDescent="0.2">
      <c r="A78">
        <v>75</v>
      </c>
      <c r="C78" s="59"/>
    </row>
  </sheetData>
  <phoneticPr fontId="0" type="noConversion"/>
  <pageMargins left="0.78740157499999996" right="0.78740157499999996" top="0.984251969" bottom="0.984251969" header="0.4921259845" footer="0.492125984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7A017-028F-47DF-8886-DFCCE67E22FE}">
  <sheetPr codeName="Tabelle4"/>
  <dimension ref="A1:U110"/>
  <sheetViews>
    <sheetView workbookViewId="0">
      <selection activeCell="C36" sqref="C36"/>
    </sheetView>
  </sheetViews>
  <sheetFormatPr baseColWidth="10" defaultRowHeight="10.199999999999999" x14ac:dyDescent="0.2"/>
  <sheetData>
    <row r="1" spans="1:21" x14ac:dyDescent="0.2">
      <c r="A1" t="s">
        <v>106</v>
      </c>
      <c r="B1">
        <v>24</v>
      </c>
    </row>
    <row r="2" spans="1:21" x14ac:dyDescent="0.2">
      <c r="A2" t="s">
        <v>879</v>
      </c>
      <c r="B2">
        <v>51</v>
      </c>
    </row>
    <row r="3" spans="1:21" x14ac:dyDescent="0.2">
      <c r="A3" t="s">
        <v>880</v>
      </c>
      <c r="B3">
        <v>36</v>
      </c>
    </row>
    <row r="4" spans="1:21" x14ac:dyDescent="0.2">
      <c r="A4" t="s">
        <v>881</v>
      </c>
      <c r="B4">
        <v>15</v>
      </c>
    </row>
    <row r="5" spans="1:21" x14ac:dyDescent="0.2">
      <c r="A5" t="s">
        <v>882</v>
      </c>
      <c r="B5">
        <f>werg</f>
        <v>1</v>
      </c>
    </row>
    <row r="6" spans="1:21" x14ac:dyDescent="0.2">
      <c r="A6" t="s">
        <v>201</v>
      </c>
      <c r="B6">
        <v>1</v>
      </c>
      <c r="T6" t="s">
        <v>883</v>
      </c>
    </row>
    <row r="7" spans="1:21" x14ac:dyDescent="0.2">
      <c r="C7" t="s">
        <v>884</v>
      </c>
      <c r="F7" t="s">
        <v>885</v>
      </c>
      <c r="I7" t="s">
        <v>886</v>
      </c>
      <c r="J7" t="s">
        <v>887</v>
      </c>
      <c r="K7" t="s">
        <v>887</v>
      </c>
      <c r="L7" t="s">
        <v>887</v>
      </c>
    </row>
    <row r="8" spans="1:21" x14ac:dyDescent="0.2">
      <c r="A8" t="s">
        <v>106</v>
      </c>
      <c r="C8" t="s">
        <v>366</v>
      </c>
      <c r="D8" t="s">
        <v>888</v>
      </c>
      <c r="E8" t="s">
        <v>889</v>
      </c>
      <c r="F8" t="s">
        <v>366</v>
      </c>
      <c r="G8" t="s">
        <v>888</v>
      </c>
      <c r="H8" t="s">
        <v>890</v>
      </c>
      <c r="I8" t="s">
        <v>366</v>
      </c>
      <c r="J8" t="s">
        <v>888</v>
      </c>
      <c r="K8" t="s">
        <v>99</v>
      </c>
      <c r="L8" t="s">
        <v>891</v>
      </c>
      <c r="N8" t="s">
        <v>892</v>
      </c>
      <c r="O8" t="s">
        <v>817</v>
      </c>
      <c r="Q8" t="s">
        <v>893</v>
      </c>
      <c r="R8" t="s">
        <v>894</v>
      </c>
      <c r="T8" t="s">
        <v>599</v>
      </c>
      <c r="U8" t="str">
        <f t="shared" ref="U8:U31" si="0">D9</f>
        <v>GER</v>
      </c>
    </row>
    <row r="9" spans="1:21" x14ac:dyDescent="0.2">
      <c r="A9">
        <v>1</v>
      </c>
      <c r="B9" t="s">
        <v>895</v>
      </c>
      <c r="C9" t="s">
        <v>907</v>
      </c>
      <c r="D9" t="s">
        <v>908</v>
      </c>
      <c r="E9">
        <v>4</v>
      </c>
      <c r="F9" t="s">
        <v>813</v>
      </c>
      <c r="G9" t="s">
        <v>568</v>
      </c>
      <c r="H9">
        <v>8</v>
      </c>
      <c r="I9" t="s">
        <v>907</v>
      </c>
      <c r="J9" t="str">
        <f t="shared" ref="J9:J32" si="1">VLOOKUP(I9,$C$9:$D$32,2,FALSE)</f>
        <v>GER</v>
      </c>
      <c r="K9">
        <f t="shared" ref="K9:K32" si="2">MATCH(I9,$C$9:$C$32,0)</f>
        <v>1</v>
      </c>
      <c r="L9">
        <f t="shared" ref="L9:L32" si="3">MATCH(I9,$F$9:$F$32,0)</f>
        <v>4</v>
      </c>
      <c r="N9">
        <v>1</v>
      </c>
      <c r="O9">
        <v>1</v>
      </c>
      <c r="Q9" t="s">
        <v>550</v>
      </c>
      <c r="R9" t="s">
        <v>550</v>
      </c>
      <c r="T9" t="s">
        <v>603</v>
      </c>
      <c r="U9" t="str">
        <f t="shared" si="0"/>
        <v>SCO</v>
      </c>
    </row>
    <row r="10" spans="1:21" x14ac:dyDescent="0.2">
      <c r="A10">
        <v>2</v>
      </c>
      <c r="B10" t="s">
        <v>901</v>
      </c>
      <c r="C10" t="s">
        <v>1122</v>
      </c>
      <c r="D10" t="s">
        <v>1123</v>
      </c>
      <c r="E10">
        <v>15</v>
      </c>
      <c r="F10" t="s">
        <v>898</v>
      </c>
      <c r="G10" t="s">
        <v>899</v>
      </c>
      <c r="H10">
        <v>17</v>
      </c>
      <c r="I10" t="s">
        <v>1122</v>
      </c>
      <c r="J10" t="str">
        <f t="shared" si="1"/>
        <v>SCO</v>
      </c>
      <c r="K10">
        <f t="shared" si="2"/>
        <v>2</v>
      </c>
      <c r="L10">
        <f t="shared" si="3"/>
        <v>15</v>
      </c>
      <c r="N10">
        <v>2</v>
      </c>
      <c r="O10">
        <v>1</v>
      </c>
      <c r="Q10" t="s">
        <v>636</v>
      </c>
      <c r="R10" t="s">
        <v>636</v>
      </c>
      <c r="T10" t="s">
        <v>606</v>
      </c>
      <c r="U10" t="str">
        <f t="shared" si="0"/>
        <v>HUN</v>
      </c>
    </row>
    <row r="11" spans="1:21" x14ac:dyDescent="0.2">
      <c r="A11">
        <v>3</v>
      </c>
      <c r="B11" t="s">
        <v>906</v>
      </c>
      <c r="C11" t="s">
        <v>1126</v>
      </c>
      <c r="D11" t="s">
        <v>533</v>
      </c>
      <c r="E11">
        <v>24</v>
      </c>
      <c r="F11" t="s">
        <v>903</v>
      </c>
      <c r="G11" t="s">
        <v>904</v>
      </c>
      <c r="H11">
        <v>10</v>
      </c>
      <c r="I11" t="s">
        <v>905</v>
      </c>
      <c r="J11" t="str">
        <f t="shared" si="1"/>
        <v>SUI</v>
      </c>
      <c r="K11">
        <f t="shared" si="2"/>
        <v>4</v>
      </c>
      <c r="L11">
        <f t="shared" si="3"/>
        <v>16</v>
      </c>
      <c r="N11">
        <v>3</v>
      </c>
      <c r="O11">
        <v>1</v>
      </c>
      <c r="Q11" t="s">
        <v>551</v>
      </c>
      <c r="R11" t="s">
        <v>551</v>
      </c>
      <c r="T11" t="s">
        <v>611</v>
      </c>
      <c r="U11" t="str">
        <f t="shared" si="0"/>
        <v>SUI</v>
      </c>
    </row>
    <row r="12" spans="1:21" x14ac:dyDescent="0.2">
      <c r="A12">
        <v>4</v>
      </c>
      <c r="B12" t="s">
        <v>909</v>
      </c>
      <c r="C12" t="s">
        <v>905</v>
      </c>
      <c r="D12" t="s">
        <v>910</v>
      </c>
      <c r="E12">
        <v>16</v>
      </c>
      <c r="F12" t="s">
        <v>907</v>
      </c>
      <c r="G12" t="s">
        <v>908</v>
      </c>
      <c r="H12">
        <v>1</v>
      </c>
      <c r="I12" t="s">
        <v>1126</v>
      </c>
      <c r="J12" t="str">
        <f t="shared" si="1"/>
        <v>HUN</v>
      </c>
      <c r="K12">
        <f t="shared" si="2"/>
        <v>3</v>
      </c>
      <c r="L12">
        <f t="shared" si="3"/>
        <v>24</v>
      </c>
      <c r="N12">
        <v>4</v>
      </c>
      <c r="O12">
        <v>1</v>
      </c>
      <c r="Q12" t="s">
        <v>560</v>
      </c>
      <c r="R12" t="s">
        <v>560</v>
      </c>
      <c r="T12" t="s">
        <v>615</v>
      </c>
      <c r="U12" t="str">
        <f t="shared" si="0"/>
        <v>ESP</v>
      </c>
    </row>
    <row r="13" spans="1:21" x14ac:dyDescent="0.2">
      <c r="A13">
        <v>5</v>
      </c>
      <c r="B13" t="s">
        <v>913</v>
      </c>
      <c r="C13" t="s">
        <v>939</v>
      </c>
      <c r="D13" t="s">
        <v>940</v>
      </c>
      <c r="E13">
        <v>20</v>
      </c>
      <c r="F13" t="s">
        <v>911</v>
      </c>
      <c r="G13" t="s">
        <v>912</v>
      </c>
      <c r="H13">
        <v>12</v>
      </c>
      <c r="I13" t="s">
        <v>813</v>
      </c>
      <c r="J13" t="str">
        <f t="shared" si="1"/>
        <v>ALB</v>
      </c>
      <c r="K13">
        <f t="shared" si="2"/>
        <v>8</v>
      </c>
      <c r="L13">
        <f t="shared" si="3"/>
        <v>1</v>
      </c>
      <c r="N13">
        <v>1</v>
      </c>
      <c r="O13">
        <v>2</v>
      </c>
      <c r="Q13" t="s">
        <v>561</v>
      </c>
      <c r="R13" t="s">
        <v>561</v>
      </c>
      <c r="T13" t="s">
        <v>619</v>
      </c>
      <c r="U13" t="str">
        <f t="shared" si="0"/>
        <v>CRO</v>
      </c>
    </row>
    <row r="14" spans="1:21" x14ac:dyDescent="0.2">
      <c r="A14">
        <v>6</v>
      </c>
      <c r="B14" t="s">
        <v>915</v>
      </c>
      <c r="C14" t="s">
        <v>920</v>
      </c>
      <c r="D14" t="s">
        <v>921</v>
      </c>
      <c r="E14">
        <v>9</v>
      </c>
      <c r="F14" t="s">
        <v>916</v>
      </c>
      <c r="G14" t="s">
        <v>917</v>
      </c>
      <c r="H14">
        <v>16</v>
      </c>
      <c r="I14" t="s">
        <v>900</v>
      </c>
      <c r="J14" t="str">
        <f t="shared" si="1"/>
        <v>ITA</v>
      </c>
      <c r="K14">
        <f t="shared" si="2"/>
        <v>7</v>
      </c>
      <c r="L14">
        <f t="shared" si="3"/>
        <v>8</v>
      </c>
      <c r="N14">
        <v>2</v>
      </c>
      <c r="O14">
        <v>2</v>
      </c>
      <c r="Q14" t="s">
        <v>573</v>
      </c>
      <c r="R14" t="s">
        <v>552</v>
      </c>
      <c r="T14" t="s">
        <v>623</v>
      </c>
      <c r="U14" t="str">
        <f t="shared" si="0"/>
        <v>ITA</v>
      </c>
    </row>
    <row r="15" spans="1:21" x14ac:dyDescent="0.2">
      <c r="A15">
        <v>7</v>
      </c>
      <c r="B15" t="s">
        <v>918</v>
      </c>
      <c r="C15" t="s">
        <v>900</v>
      </c>
      <c r="D15" t="s">
        <v>902</v>
      </c>
      <c r="E15">
        <v>8</v>
      </c>
      <c r="F15" t="s">
        <v>511</v>
      </c>
      <c r="G15" t="s">
        <v>569</v>
      </c>
      <c r="H15">
        <v>22</v>
      </c>
      <c r="I15" t="s">
        <v>920</v>
      </c>
      <c r="J15" t="str">
        <f t="shared" si="1"/>
        <v>CRO</v>
      </c>
      <c r="K15">
        <f t="shared" si="2"/>
        <v>6</v>
      </c>
      <c r="L15">
        <f t="shared" si="3"/>
        <v>9</v>
      </c>
      <c r="N15">
        <v>3</v>
      </c>
      <c r="O15">
        <v>2</v>
      </c>
      <c r="Q15" t="s">
        <v>556</v>
      </c>
      <c r="R15" t="s">
        <v>556</v>
      </c>
      <c r="T15" t="s">
        <v>626</v>
      </c>
      <c r="U15" t="str">
        <f t="shared" si="0"/>
        <v>ALB</v>
      </c>
    </row>
    <row r="16" spans="1:21" x14ac:dyDescent="0.2">
      <c r="A16">
        <v>8</v>
      </c>
      <c r="B16" t="s">
        <v>919</v>
      </c>
      <c r="C16" t="s">
        <v>813</v>
      </c>
      <c r="D16" t="s">
        <v>568</v>
      </c>
      <c r="E16">
        <v>1</v>
      </c>
      <c r="F16" t="s">
        <v>900</v>
      </c>
      <c r="G16" t="s">
        <v>902</v>
      </c>
      <c r="H16">
        <v>7</v>
      </c>
      <c r="I16" t="s">
        <v>939</v>
      </c>
      <c r="J16" t="str">
        <f t="shared" si="1"/>
        <v>ESP</v>
      </c>
      <c r="K16">
        <f t="shared" si="2"/>
        <v>5</v>
      </c>
      <c r="L16">
        <f t="shared" si="3"/>
        <v>20</v>
      </c>
      <c r="N16">
        <v>4</v>
      </c>
      <c r="O16">
        <v>2</v>
      </c>
      <c r="Q16" t="s">
        <v>553</v>
      </c>
      <c r="R16" t="s">
        <v>553</v>
      </c>
      <c r="T16" t="s">
        <v>630</v>
      </c>
      <c r="U16" t="str">
        <f t="shared" si="0"/>
        <v>SLO</v>
      </c>
    </row>
    <row r="17" spans="1:21" x14ac:dyDescent="0.2">
      <c r="A17">
        <v>9</v>
      </c>
      <c r="B17" t="s">
        <v>922</v>
      </c>
      <c r="C17" t="s">
        <v>764</v>
      </c>
      <c r="D17" t="s">
        <v>570</v>
      </c>
      <c r="E17">
        <v>19</v>
      </c>
      <c r="F17" t="s">
        <v>920</v>
      </c>
      <c r="G17" t="s">
        <v>921</v>
      </c>
      <c r="H17">
        <v>6</v>
      </c>
      <c r="I17" t="s">
        <v>903</v>
      </c>
      <c r="J17" t="str">
        <f t="shared" si="1"/>
        <v>DEN</v>
      </c>
      <c r="K17">
        <f t="shared" si="2"/>
        <v>10</v>
      </c>
      <c r="L17">
        <f t="shared" si="3"/>
        <v>3</v>
      </c>
      <c r="N17">
        <v>1</v>
      </c>
      <c r="O17">
        <v>3</v>
      </c>
      <c r="Q17" t="s">
        <v>558</v>
      </c>
      <c r="R17" t="s">
        <v>558</v>
      </c>
      <c r="T17" t="s">
        <v>634</v>
      </c>
      <c r="U17" t="str">
        <f t="shared" si="0"/>
        <v>DEN</v>
      </c>
    </row>
    <row r="18" spans="1:21" x14ac:dyDescent="0.2">
      <c r="A18">
        <v>10</v>
      </c>
      <c r="B18" t="s">
        <v>925</v>
      </c>
      <c r="C18" t="s">
        <v>903</v>
      </c>
      <c r="D18" t="s">
        <v>904</v>
      </c>
      <c r="E18">
        <v>3</v>
      </c>
      <c r="F18" t="s">
        <v>923</v>
      </c>
      <c r="G18" t="s">
        <v>924</v>
      </c>
      <c r="H18">
        <v>14</v>
      </c>
      <c r="I18" t="s">
        <v>911</v>
      </c>
      <c r="J18" t="str">
        <f t="shared" si="1"/>
        <v>ENG</v>
      </c>
      <c r="K18">
        <f t="shared" si="2"/>
        <v>12</v>
      </c>
      <c r="L18">
        <f t="shared" si="3"/>
        <v>5</v>
      </c>
      <c r="N18">
        <v>2</v>
      </c>
      <c r="O18">
        <v>3</v>
      </c>
      <c r="Q18" t="s">
        <v>555</v>
      </c>
      <c r="R18" t="s">
        <v>555</v>
      </c>
      <c r="T18" t="s">
        <v>639</v>
      </c>
      <c r="U18" t="str">
        <f t="shared" si="0"/>
        <v>SRB</v>
      </c>
    </row>
    <row r="19" spans="1:21" x14ac:dyDescent="0.2">
      <c r="A19">
        <v>11</v>
      </c>
      <c r="B19" t="s">
        <v>930</v>
      </c>
      <c r="C19" t="s">
        <v>510</v>
      </c>
      <c r="D19" t="s">
        <v>571</v>
      </c>
      <c r="E19">
        <v>17</v>
      </c>
      <c r="F19" t="s">
        <v>928</v>
      </c>
      <c r="G19" t="s">
        <v>929</v>
      </c>
      <c r="H19">
        <v>15</v>
      </c>
      <c r="I19" t="s">
        <v>510</v>
      </c>
      <c r="J19" t="str">
        <f t="shared" si="1"/>
        <v>SRB</v>
      </c>
      <c r="K19">
        <f t="shared" si="2"/>
        <v>11</v>
      </c>
      <c r="L19">
        <f t="shared" si="3"/>
        <v>17</v>
      </c>
      <c r="N19">
        <v>3</v>
      </c>
      <c r="O19">
        <v>3</v>
      </c>
      <c r="T19" t="s">
        <v>641</v>
      </c>
      <c r="U19" t="str">
        <f t="shared" si="0"/>
        <v>ENG</v>
      </c>
    </row>
    <row r="20" spans="1:21" x14ac:dyDescent="0.2">
      <c r="A20">
        <v>12</v>
      </c>
      <c r="B20" t="s">
        <v>931</v>
      </c>
      <c r="C20" t="s">
        <v>911</v>
      </c>
      <c r="D20" t="s">
        <v>912</v>
      </c>
      <c r="E20">
        <v>5</v>
      </c>
      <c r="F20" t="s">
        <v>932</v>
      </c>
      <c r="G20" t="s">
        <v>933</v>
      </c>
      <c r="H20">
        <v>13</v>
      </c>
      <c r="I20" t="s">
        <v>764</v>
      </c>
      <c r="J20" t="str">
        <f t="shared" si="1"/>
        <v>SLO</v>
      </c>
      <c r="K20">
        <f t="shared" si="2"/>
        <v>9</v>
      </c>
      <c r="L20">
        <f t="shared" si="3"/>
        <v>19</v>
      </c>
      <c r="N20">
        <v>4</v>
      </c>
      <c r="O20">
        <v>3</v>
      </c>
      <c r="T20" t="s">
        <v>643</v>
      </c>
      <c r="U20" t="str">
        <f t="shared" si="0"/>
        <v>POL</v>
      </c>
    </row>
    <row r="21" spans="1:21" x14ac:dyDescent="0.2">
      <c r="A21">
        <v>13</v>
      </c>
      <c r="B21" t="s">
        <v>668</v>
      </c>
      <c r="C21" t="s">
        <v>932</v>
      </c>
      <c r="D21" t="s">
        <v>933</v>
      </c>
      <c r="E21">
        <v>12</v>
      </c>
      <c r="F21" t="s">
        <v>936</v>
      </c>
      <c r="G21" t="s">
        <v>937</v>
      </c>
      <c r="H21">
        <v>23</v>
      </c>
      <c r="I21" t="s">
        <v>916</v>
      </c>
      <c r="J21" t="str">
        <f t="shared" si="1"/>
        <v>FRA</v>
      </c>
      <c r="K21">
        <f t="shared" si="2"/>
        <v>16</v>
      </c>
      <c r="L21">
        <f t="shared" si="3"/>
        <v>6</v>
      </c>
      <c r="N21">
        <v>1</v>
      </c>
      <c r="O21">
        <v>4</v>
      </c>
      <c r="T21" t="s">
        <v>646</v>
      </c>
      <c r="U21" t="str">
        <f t="shared" si="0"/>
        <v>NED</v>
      </c>
    </row>
    <row r="22" spans="1:21" x14ac:dyDescent="0.2">
      <c r="A22">
        <v>14</v>
      </c>
      <c r="B22" t="s">
        <v>671</v>
      </c>
      <c r="C22" t="s">
        <v>923</v>
      </c>
      <c r="D22" t="s">
        <v>924</v>
      </c>
      <c r="E22">
        <v>10</v>
      </c>
      <c r="F22" t="s">
        <v>816</v>
      </c>
      <c r="G22" t="s">
        <v>572</v>
      </c>
      <c r="H22">
        <v>19</v>
      </c>
      <c r="I22" t="s">
        <v>923</v>
      </c>
      <c r="J22" t="str">
        <f t="shared" si="1"/>
        <v>NED</v>
      </c>
      <c r="K22">
        <f t="shared" si="2"/>
        <v>14</v>
      </c>
      <c r="L22">
        <f t="shared" si="3"/>
        <v>10</v>
      </c>
      <c r="N22">
        <v>2</v>
      </c>
      <c r="O22">
        <v>4</v>
      </c>
      <c r="T22" t="s">
        <v>648</v>
      </c>
      <c r="U22" t="str">
        <f t="shared" si="0"/>
        <v>AUT</v>
      </c>
    </row>
    <row r="23" spans="1:21" x14ac:dyDescent="0.2">
      <c r="A23">
        <v>15</v>
      </c>
      <c r="B23" t="s">
        <v>673</v>
      </c>
      <c r="C23" t="s">
        <v>928</v>
      </c>
      <c r="D23" t="s">
        <v>929</v>
      </c>
      <c r="E23">
        <v>11</v>
      </c>
      <c r="F23" t="s">
        <v>1122</v>
      </c>
      <c r="G23" t="s">
        <v>1123</v>
      </c>
      <c r="H23">
        <v>2</v>
      </c>
      <c r="I23" t="s">
        <v>928</v>
      </c>
      <c r="J23" t="str">
        <f t="shared" si="1"/>
        <v>AUT</v>
      </c>
      <c r="K23">
        <f t="shared" si="2"/>
        <v>15</v>
      </c>
      <c r="L23">
        <f t="shared" si="3"/>
        <v>11</v>
      </c>
      <c r="N23">
        <v>3</v>
      </c>
      <c r="O23">
        <v>4</v>
      </c>
      <c r="T23" t="s">
        <v>650</v>
      </c>
      <c r="U23" t="str">
        <f t="shared" si="0"/>
        <v>FRA</v>
      </c>
    </row>
    <row r="24" spans="1:21" x14ac:dyDescent="0.2">
      <c r="A24">
        <v>16</v>
      </c>
      <c r="B24" t="s">
        <v>675</v>
      </c>
      <c r="C24" t="s">
        <v>916</v>
      </c>
      <c r="D24" t="s">
        <v>917</v>
      </c>
      <c r="E24">
        <v>6</v>
      </c>
      <c r="F24" t="s">
        <v>905</v>
      </c>
      <c r="G24" t="s">
        <v>910</v>
      </c>
      <c r="H24">
        <v>4</v>
      </c>
      <c r="I24" t="s">
        <v>932</v>
      </c>
      <c r="J24" t="str">
        <f t="shared" si="1"/>
        <v>POL</v>
      </c>
      <c r="K24">
        <f t="shared" si="2"/>
        <v>13</v>
      </c>
      <c r="L24">
        <f t="shared" si="3"/>
        <v>12</v>
      </c>
      <c r="N24">
        <v>4</v>
      </c>
      <c r="O24">
        <v>4</v>
      </c>
      <c r="T24" t="s">
        <v>652</v>
      </c>
      <c r="U24" t="str">
        <f t="shared" si="0"/>
        <v>BEL</v>
      </c>
    </row>
    <row r="25" spans="1:21" x14ac:dyDescent="0.2">
      <c r="A25">
        <v>17</v>
      </c>
      <c r="B25" t="s">
        <v>938</v>
      </c>
      <c r="C25" t="s">
        <v>898</v>
      </c>
      <c r="D25" t="s">
        <v>899</v>
      </c>
      <c r="E25">
        <v>2</v>
      </c>
      <c r="F25" t="s">
        <v>510</v>
      </c>
      <c r="G25" t="s">
        <v>571</v>
      </c>
      <c r="H25">
        <v>11</v>
      </c>
      <c r="I25" t="s">
        <v>898</v>
      </c>
      <c r="J25" t="str">
        <f t="shared" si="1"/>
        <v>BEL</v>
      </c>
      <c r="K25">
        <f t="shared" si="2"/>
        <v>17</v>
      </c>
      <c r="L25">
        <f t="shared" si="3"/>
        <v>2</v>
      </c>
      <c r="N25">
        <v>1</v>
      </c>
      <c r="O25">
        <v>5</v>
      </c>
      <c r="T25" t="s">
        <v>654</v>
      </c>
      <c r="U25" t="str">
        <f t="shared" si="0"/>
        <v>SVK</v>
      </c>
    </row>
    <row r="26" spans="1:21" x14ac:dyDescent="0.2">
      <c r="A26">
        <v>18</v>
      </c>
      <c r="B26" t="s">
        <v>941</v>
      </c>
      <c r="C26" t="s">
        <v>1124</v>
      </c>
      <c r="D26" t="s">
        <v>1125</v>
      </c>
      <c r="E26">
        <v>18</v>
      </c>
      <c r="F26" t="s">
        <v>1124</v>
      </c>
      <c r="G26" t="s">
        <v>1125</v>
      </c>
      <c r="H26">
        <v>18</v>
      </c>
      <c r="I26" t="s">
        <v>816</v>
      </c>
      <c r="J26" t="str">
        <f t="shared" si="1"/>
        <v>ROM</v>
      </c>
      <c r="K26">
        <f t="shared" si="2"/>
        <v>19</v>
      </c>
      <c r="L26">
        <f t="shared" si="3"/>
        <v>14</v>
      </c>
      <c r="N26">
        <v>2</v>
      </c>
      <c r="O26">
        <v>5</v>
      </c>
      <c r="T26" t="s">
        <v>657</v>
      </c>
      <c r="U26" t="str">
        <f t="shared" si="0"/>
        <v>ROM</v>
      </c>
    </row>
    <row r="27" spans="1:21" x14ac:dyDescent="0.2">
      <c r="A27">
        <v>19</v>
      </c>
      <c r="B27" t="s">
        <v>942</v>
      </c>
      <c r="C27" t="s">
        <v>816</v>
      </c>
      <c r="D27" t="s">
        <v>572</v>
      </c>
      <c r="E27">
        <v>14</v>
      </c>
      <c r="F27" t="s">
        <v>764</v>
      </c>
      <c r="G27" t="s">
        <v>570</v>
      </c>
      <c r="H27">
        <v>9</v>
      </c>
      <c r="I27" t="s">
        <v>1124</v>
      </c>
      <c r="J27" t="str">
        <f t="shared" si="1"/>
        <v>SVK</v>
      </c>
      <c r="K27">
        <f t="shared" si="2"/>
        <v>18</v>
      </c>
      <c r="L27">
        <f t="shared" si="3"/>
        <v>18</v>
      </c>
      <c r="N27">
        <v>3</v>
      </c>
      <c r="O27">
        <v>5</v>
      </c>
      <c r="T27" t="s">
        <v>659</v>
      </c>
      <c r="U27" t="str">
        <f t="shared" si="0"/>
        <v>UKR</v>
      </c>
    </row>
    <row r="28" spans="1:21" x14ac:dyDescent="0.2">
      <c r="A28">
        <v>20</v>
      </c>
      <c r="B28" t="s">
        <v>943</v>
      </c>
      <c r="C28" t="s">
        <v>926</v>
      </c>
      <c r="D28" t="s">
        <v>927</v>
      </c>
      <c r="E28">
        <v>23</v>
      </c>
      <c r="F28" t="s">
        <v>939</v>
      </c>
      <c r="G28" t="s">
        <v>940</v>
      </c>
      <c r="H28">
        <v>5</v>
      </c>
      <c r="I28" t="s">
        <v>926</v>
      </c>
      <c r="J28" t="str">
        <f t="shared" si="1"/>
        <v>UKR</v>
      </c>
      <c r="K28">
        <f t="shared" si="2"/>
        <v>20</v>
      </c>
      <c r="L28">
        <f t="shared" si="3"/>
        <v>23</v>
      </c>
      <c r="N28">
        <v>4</v>
      </c>
      <c r="O28">
        <v>5</v>
      </c>
      <c r="T28" t="s">
        <v>661</v>
      </c>
      <c r="U28" t="str">
        <f t="shared" si="0"/>
        <v>TUR</v>
      </c>
    </row>
    <row r="29" spans="1:21" x14ac:dyDescent="0.2">
      <c r="A29">
        <v>21</v>
      </c>
      <c r="B29" t="s">
        <v>944</v>
      </c>
      <c r="C29" t="s">
        <v>896</v>
      </c>
      <c r="D29" t="s">
        <v>897</v>
      </c>
      <c r="E29">
        <v>22</v>
      </c>
      <c r="F29" t="s">
        <v>934</v>
      </c>
      <c r="G29" t="s">
        <v>935</v>
      </c>
      <c r="H29">
        <v>24</v>
      </c>
      <c r="I29" t="s">
        <v>511</v>
      </c>
      <c r="J29" t="str">
        <f t="shared" si="1"/>
        <v>GEO</v>
      </c>
      <c r="K29">
        <f t="shared" si="2"/>
        <v>22</v>
      </c>
      <c r="L29">
        <f t="shared" si="3"/>
        <v>7</v>
      </c>
      <c r="N29">
        <v>1</v>
      </c>
      <c r="O29">
        <v>6</v>
      </c>
      <c r="T29" t="s">
        <v>663</v>
      </c>
      <c r="U29" t="str">
        <f t="shared" si="0"/>
        <v>GEO</v>
      </c>
    </row>
    <row r="30" spans="1:21" x14ac:dyDescent="0.2">
      <c r="A30">
        <v>22</v>
      </c>
      <c r="B30" t="s">
        <v>945</v>
      </c>
      <c r="C30" t="s">
        <v>511</v>
      </c>
      <c r="D30" t="s">
        <v>569</v>
      </c>
      <c r="E30">
        <v>7</v>
      </c>
      <c r="F30" t="s">
        <v>896</v>
      </c>
      <c r="G30" t="s">
        <v>897</v>
      </c>
      <c r="H30">
        <v>21</v>
      </c>
      <c r="I30" t="s">
        <v>936</v>
      </c>
      <c r="J30" t="str">
        <f t="shared" si="1"/>
        <v>POR</v>
      </c>
      <c r="K30">
        <f t="shared" si="2"/>
        <v>23</v>
      </c>
      <c r="L30">
        <f t="shared" si="3"/>
        <v>13</v>
      </c>
      <c r="N30">
        <v>2</v>
      </c>
      <c r="O30">
        <v>6</v>
      </c>
      <c r="T30" t="s">
        <v>665</v>
      </c>
      <c r="U30" t="str">
        <f t="shared" si="0"/>
        <v>POR</v>
      </c>
    </row>
    <row r="31" spans="1:21" x14ac:dyDescent="0.2">
      <c r="A31">
        <v>23</v>
      </c>
      <c r="B31" t="s">
        <v>946</v>
      </c>
      <c r="C31" t="s">
        <v>936</v>
      </c>
      <c r="D31" t="s">
        <v>937</v>
      </c>
      <c r="E31">
        <v>13</v>
      </c>
      <c r="F31" t="s">
        <v>926</v>
      </c>
      <c r="G31" t="s">
        <v>927</v>
      </c>
      <c r="H31">
        <v>20</v>
      </c>
      <c r="I31" t="s">
        <v>934</v>
      </c>
      <c r="J31" t="str">
        <f t="shared" si="1"/>
        <v>CZE</v>
      </c>
      <c r="K31">
        <f t="shared" si="2"/>
        <v>24</v>
      </c>
      <c r="L31">
        <f t="shared" si="3"/>
        <v>21</v>
      </c>
      <c r="N31">
        <v>3</v>
      </c>
      <c r="O31">
        <v>6</v>
      </c>
      <c r="T31" t="s">
        <v>430</v>
      </c>
      <c r="U31" t="str">
        <f t="shared" si="0"/>
        <v>CZE</v>
      </c>
    </row>
    <row r="32" spans="1:21" x14ac:dyDescent="0.2">
      <c r="A32">
        <v>24</v>
      </c>
      <c r="B32" t="s">
        <v>947</v>
      </c>
      <c r="C32" t="s">
        <v>934</v>
      </c>
      <c r="D32" t="s">
        <v>935</v>
      </c>
      <c r="E32">
        <v>21</v>
      </c>
      <c r="F32" t="s">
        <v>1126</v>
      </c>
      <c r="G32" t="s">
        <v>533</v>
      </c>
      <c r="H32">
        <v>3</v>
      </c>
      <c r="I32" t="s">
        <v>896</v>
      </c>
      <c r="J32" t="str">
        <f t="shared" si="1"/>
        <v>TUR</v>
      </c>
      <c r="K32">
        <f t="shared" si="2"/>
        <v>21</v>
      </c>
      <c r="L32">
        <f t="shared" si="3"/>
        <v>22</v>
      </c>
      <c r="N32">
        <v>4</v>
      </c>
      <c r="O32">
        <v>6</v>
      </c>
    </row>
    <row r="36" spans="3:4" x14ac:dyDescent="0.2">
      <c r="C36" t="s">
        <v>3648</v>
      </c>
    </row>
    <row r="37" spans="3:4" x14ac:dyDescent="0.2">
      <c r="C37" t="s">
        <v>3649</v>
      </c>
      <c r="D37">
        <v>0</v>
      </c>
    </row>
    <row r="38" spans="3:4" x14ac:dyDescent="0.2">
      <c r="C38" t="s">
        <v>391</v>
      </c>
      <c r="D38">
        <v>0</v>
      </c>
    </row>
    <row r="40" spans="3:4" x14ac:dyDescent="0.2">
      <c r="C40" t="s">
        <v>989</v>
      </c>
      <c r="D40">
        <v>4.5</v>
      </c>
    </row>
    <row r="41" spans="3:4" x14ac:dyDescent="0.2">
      <c r="C41" t="s">
        <v>3650</v>
      </c>
      <c r="D41">
        <v>6</v>
      </c>
    </row>
    <row r="55" spans="2:14" x14ac:dyDescent="0.2">
      <c r="C55" s="59" t="s">
        <v>948</v>
      </c>
      <c r="D55" s="137" t="s">
        <v>887</v>
      </c>
    </row>
    <row r="58" spans="2:14" x14ac:dyDescent="0.2">
      <c r="B58" t="s">
        <v>596</v>
      </c>
      <c r="C58" t="s">
        <v>1113</v>
      </c>
      <c r="D58" t="s">
        <v>395</v>
      </c>
      <c r="E58" t="s">
        <v>949</v>
      </c>
      <c r="F58" t="s">
        <v>950</v>
      </c>
      <c r="H58" t="s">
        <v>951</v>
      </c>
      <c r="I58" t="s">
        <v>952</v>
      </c>
      <c r="K58" t="s">
        <v>953</v>
      </c>
    </row>
    <row r="59" spans="2:14" x14ac:dyDescent="0.2">
      <c r="B59" s="59" t="s">
        <v>895</v>
      </c>
      <c r="C59" s="59">
        <v>1</v>
      </c>
      <c r="D59" s="59">
        <v>1</v>
      </c>
      <c r="E59" s="59" t="s">
        <v>636</v>
      </c>
      <c r="F59" s="59">
        <v>2</v>
      </c>
      <c r="G59" s="137" t="str">
        <f t="shared" ref="G59:G94" si="4">LEFT(B59,1)&amp;"-"&amp;RIGHT(B59,1)</f>
        <v>A-1</v>
      </c>
      <c r="H59" s="59">
        <v>1</v>
      </c>
      <c r="I59" s="59" t="s">
        <v>895</v>
      </c>
      <c r="J59" s="59" t="s">
        <v>901</v>
      </c>
      <c r="K59" s="59">
        <v>1</v>
      </c>
      <c r="L59" s="59">
        <v>2</v>
      </c>
      <c r="M59" s="91"/>
      <c r="N59" s="91"/>
    </row>
    <row r="60" spans="2:14" x14ac:dyDescent="0.2">
      <c r="B60" s="59" t="s">
        <v>901</v>
      </c>
      <c r="C60" s="59">
        <v>2</v>
      </c>
      <c r="D60" s="59">
        <v>2</v>
      </c>
      <c r="E60" s="59" t="s">
        <v>553</v>
      </c>
      <c r="F60" s="59">
        <v>8</v>
      </c>
      <c r="G60" s="137" t="str">
        <f t="shared" si="4"/>
        <v>A-2</v>
      </c>
      <c r="H60" s="59">
        <v>1</v>
      </c>
      <c r="I60" s="59" t="s">
        <v>906</v>
      </c>
      <c r="J60" s="59" t="s">
        <v>909</v>
      </c>
      <c r="K60" s="59">
        <v>3</v>
      </c>
      <c r="L60" s="59">
        <v>4</v>
      </c>
      <c r="M60" s="91"/>
      <c r="N60" s="91"/>
    </row>
    <row r="61" spans="2:14" x14ac:dyDescent="0.2">
      <c r="B61" s="59" t="s">
        <v>913</v>
      </c>
      <c r="C61" s="59">
        <v>3</v>
      </c>
      <c r="D61" s="59">
        <v>3</v>
      </c>
      <c r="E61" s="59" t="s">
        <v>550</v>
      </c>
      <c r="F61" s="59">
        <v>1</v>
      </c>
      <c r="G61" s="137" t="str">
        <f t="shared" si="4"/>
        <v>B-1</v>
      </c>
      <c r="H61" s="59">
        <v>1</v>
      </c>
      <c r="I61" s="59" t="s">
        <v>913</v>
      </c>
      <c r="J61" s="59" t="s">
        <v>915</v>
      </c>
      <c r="K61" s="59">
        <v>5</v>
      </c>
      <c r="L61" s="59">
        <v>6</v>
      </c>
      <c r="M61" s="91"/>
      <c r="N61" s="91"/>
    </row>
    <row r="62" spans="2:14" x14ac:dyDescent="0.2">
      <c r="B62" s="59" t="s">
        <v>915</v>
      </c>
      <c r="C62" s="59">
        <v>4</v>
      </c>
      <c r="D62" s="59">
        <v>4</v>
      </c>
      <c r="E62" s="59" t="s">
        <v>551</v>
      </c>
      <c r="F62" s="59">
        <v>3</v>
      </c>
      <c r="G62" s="137" t="str">
        <f t="shared" si="4"/>
        <v>B-2</v>
      </c>
      <c r="H62" s="59">
        <v>1</v>
      </c>
      <c r="I62" s="59" t="s">
        <v>918</v>
      </c>
      <c r="J62" s="59" t="s">
        <v>919</v>
      </c>
      <c r="K62" s="59">
        <v>7</v>
      </c>
      <c r="L62" s="59">
        <v>8</v>
      </c>
      <c r="M62" s="91"/>
      <c r="N62" s="91"/>
    </row>
    <row r="63" spans="2:14" x14ac:dyDescent="0.2">
      <c r="B63" s="59" t="s">
        <v>668</v>
      </c>
      <c r="C63" s="59">
        <v>5</v>
      </c>
      <c r="D63" s="59">
        <v>5</v>
      </c>
      <c r="E63" s="59" t="s">
        <v>561</v>
      </c>
      <c r="F63" s="59">
        <v>5</v>
      </c>
      <c r="G63" s="137" t="str">
        <f t="shared" si="4"/>
        <v>D-1</v>
      </c>
      <c r="H63" s="59">
        <v>1</v>
      </c>
      <c r="I63" s="59" t="s">
        <v>668</v>
      </c>
      <c r="J63" s="59" t="s">
        <v>671</v>
      </c>
      <c r="K63" s="59">
        <v>13</v>
      </c>
      <c r="L63" s="59">
        <v>14</v>
      </c>
      <c r="M63" s="91"/>
      <c r="N63" s="91"/>
    </row>
    <row r="64" spans="2:14" x14ac:dyDescent="0.2">
      <c r="B64" s="59" t="s">
        <v>922</v>
      </c>
      <c r="C64" s="59">
        <v>6</v>
      </c>
      <c r="D64" s="59">
        <v>6</v>
      </c>
      <c r="E64" s="59" t="s">
        <v>560</v>
      </c>
      <c r="F64" s="59">
        <v>4</v>
      </c>
      <c r="G64" s="137" t="str">
        <f t="shared" si="4"/>
        <v>C-1</v>
      </c>
      <c r="H64" s="59">
        <v>1</v>
      </c>
      <c r="I64" s="59" t="s">
        <v>922</v>
      </c>
      <c r="J64" s="59" t="s">
        <v>925</v>
      </c>
      <c r="K64" s="59">
        <v>9</v>
      </c>
      <c r="L64" s="59">
        <v>10</v>
      </c>
      <c r="M64" s="91"/>
      <c r="N64" s="91"/>
    </row>
    <row r="65" spans="2:14" x14ac:dyDescent="0.2">
      <c r="B65" s="59" t="s">
        <v>925</v>
      </c>
      <c r="C65" s="59">
        <v>7</v>
      </c>
      <c r="D65" s="59">
        <v>7</v>
      </c>
      <c r="E65" s="59" t="s">
        <v>552</v>
      </c>
      <c r="F65" s="59">
        <v>6</v>
      </c>
      <c r="G65" s="137" t="str">
        <f t="shared" si="4"/>
        <v>C-2</v>
      </c>
      <c r="H65" s="59">
        <v>1</v>
      </c>
      <c r="I65" s="59" t="s">
        <v>930</v>
      </c>
      <c r="J65" s="59" t="s">
        <v>931</v>
      </c>
      <c r="K65" s="59">
        <v>11</v>
      </c>
      <c r="L65" s="59">
        <v>12</v>
      </c>
      <c r="M65" s="91"/>
      <c r="N65" s="91"/>
    </row>
    <row r="66" spans="2:14" x14ac:dyDescent="0.2">
      <c r="B66" s="59" t="s">
        <v>938</v>
      </c>
      <c r="C66" s="59">
        <v>8</v>
      </c>
      <c r="D66" s="59">
        <v>8</v>
      </c>
      <c r="E66" s="59" t="s">
        <v>636</v>
      </c>
      <c r="F66" s="59">
        <v>2</v>
      </c>
      <c r="G66" s="137" t="str">
        <f t="shared" si="4"/>
        <v>E-1</v>
      </c>
      <c r="H66" s="59">
        <v>1</v>
      </c>
      <c r="I66" s="59" t="s">
        <v>942</v>
      </c>
      <c r="J66" s="59" t="s">
        <v>943</v>
      </c>
      <c r="K66" s="59">
        <v>19</v>
      </c>
      <c r="L66" s="59">
        <v>20</v>
      </c>
      <c r="M66" s="91"/>
      <c r="N66" s="91"/>
    </row>
    <row r="67" spans="2:14" x14ac:dyDescent="0.2">
      <c r="B67" s="59" t="s">
        <v>941</v>
      </c>
      <c r="C67" s="59">
        <v>9</v>
      </c>
      <c r="D67" s="59">
        <v>9</v>
      </c>
      <c r="E67" s="59" t="s">
        <v>556</v>
      </c>
      <c r="F67" s="59">
        <v>7</v>
      </c>
      <c r="G67" s="137" t="str">
        <f t="shared" si="4"/>
        <v>E-2</v>
      </c>
      <c r="H67" s="59">
        <v>1</v>
      </c>
      <c r="I67" s="59" t="s">
        <v>938</v>
      </c>
      <c r="J67" s="59" t="s">
        <v>941</v>
      </c>
      <c r="K67" s="59">
        <v>17</v>
      </c>
      <c r="L67" s="59">
        <v>18</v>
      </c>
      <c r="M67" s="91"/>
      <c r="N67" s="91"/>
    </row>
    <row r="68" spans="2:14" x14ac:dyDescent="0.2">
      <c r="B68" s="59" t="s">
        <v>671</v>
      </c>
      <c r="C68" s="59">
        <v>10</v>
      </c>
      <c r="D68" s="59">
        <v>10</v>
      </c>
      <c r="E68" s="59" t="s">
        <v>555</v>
      </c>
      <c r="F68" s="59">
        <v>10</v>
      </c>
      <c r="G68" s="137" t="str">
        <f t="shared" si="4"/>
        <v>D-2</v>
      </c>
      <c r="H68" s="59">
        <v>1</v>
      </c>
      <c r="I68" s="59" t="s">
        <v>673</v>
      </c>
      <c r="J68" s="59" t="s">
        <v>675</v>
      </c>
      <c r="K68" s="59">
        <v>15</v>
      </c>
      <c r="L68" s="59">
        <v>16</v>
      </c>
      <c r="M68" s="91"/>
      <c r="N68" s="91"/>
    </row>
    <row r="69" spans="2:14" x14ac:dyDescent="0.2">
      <c r="B69" s="59" t="s">
        <v>944</v>
      </c>
      <c r="C69" s="59">
        <v>11</v>
      </c>
      <c r="D69" s="59">
        <v>11</v>
      </c>
      <c r="E69" s="59" t="s">
        <v>551</v>
      </c>
      <c r="F69" s="59">
        <v>3</v>
      </c>
      <c r="G69" s="137" t="str">
        <f t="shared" si="4"/>
        <v>F-1</v>
      </c>
      <c r="H69" s="59">
        <v>1</v>
      </c>
      <c r="I69" s="59" t="s">
        <v>944</v>
      </c>
      <c r="J69" s="59" t="s">
        <v>945</v>
      </c>
      <c r="K69" s="59">
        <v>21</v>
      </c>
      <c r="L69" s="59">
        <v>22</v>
      </c>
      <c r="M69" s="91"/>
      <c r="N69" s="91"/>
    </row>
    <row r="70" spans="2:14" x14ac:dyDescent="0.2">
      <c r="B70" s="59" t="s">
        <v>945</v>
      </c>
      <c r="C70" s="59">
        <v>12</v>
      </c>
      <c r="D70" s="59">
        <v>12</v>
      </c>
      <c r="E70" s="59" t="s">
        <v>558</v>
      </c>
      <c r="F70" s="59">
        <v>9</v>
      </c>
      <c r="G70" s="137" t="str">
        <f t="shared" si="4"/>
        <v>F-2</v>
      </c>
      <c r="H70" s="59">
        <v>1</v>
      </c>
      <c r="I70" s="59" t="s">
        <v>946</v>
      </c>
      <c r="J70" s="59" t="s">
        <v>947</v>
      </c>
      <c r="K70" s="59">
        <v>23</v>
      </c>
      <c r="L70" s="59">
        <v>24</v>
      </c>
      <c r="M70" s="91"/>
      <c r="N70" s="91"/>
    </row>
    <row r="71" spans="2:14" x14ac:dyDescent="0.2">
      <c r="B71" s="59" t="s">
        <v>918</v>
      </c>
      <c r="C71" s="59">
        <v>13</v>
      </c>
      <c r="D71" s="59">
        <v>13</v>
      </c>
      <c r="E71" s="59" t="s">
        <v>561</v>
      </c>
      <c r="F71" s="59">
        <v>5</v>
      </c>
      <c r="G71" s="137" t="str">
        <f t="shared" si="4"/>
        <v>B-3</v>
      </c>
      <c r="H71" s="59">
        <v>2</v>
      </c>
      <c r="I71" s="59" t="s">
        <v>915</v>
      </c>
      <c r="J71" s="59" t="s">
        <v>919</v>
      </c>
      <c r="K71" s="59">
        <v>6</v>
      </c>
      <c r="L71" s="59">
        <v>8</v>
      </c>
      <c r="M71" s="91"/>
      <c r="N71" s="91"/>
    </row>
    <row r="72" spans="2:14" x14ac:dyDescent="0.2">
      <c r="B72" s="59" t="s">
        <v>906</v>
      </c>
      <c r="C72" s="59">
        <v>14</v>
      </c>
      <c r="D72" s="59">
        <v>14</v>
      </c>
      <c r="E72" s="59" t="s">
        <v>560</v>
      </c>
      <c r="F72" s="59">
        <v>4</v>
      </c>
      <c r="G72" s="137" t="str">
        <f t="shared" si="4"/>
        <v>A-3</v>
      </c>
      <c r="H72" s="59">
        <v>2</v>
      </c>
      <c r="I72" s="59" t="s">
        <v>895</v>
      </c>
      <c r="J72" s="59" t="s">
        <v>906</v>
      </c>
      <c r="K72" s="59">
        <v>1</v>
      </c>
      <c r="L72" s="59">
        <v>3</v>
      </c>
      <c r="M72" s="91"/>
      <c r="N72" s="91"/>
    </row>
    <row r="73" spans="2:14" x14ac:dyDescent="0.2">
      <c r="B73" s="59" t="s">
        <v>909</v>
      </c>
      <c r="C73" s="59">
        <v>15</v>
      </c>
      <c r="D73" s="59">
        <v>15</v>
      </c>
      <c r="E73" s="59" t="s">
        <v>553</v>
      </c>
      <c r="F73" s="59">
        <v>8</v>
      </c>
      <c r="G73" s="137" t="str">
        <f t="shared" si="4"/>
        <v>A-4</v>
      </c>
      <c r="H73" s="59">
        <v>2</v>
      </c>
      <c r="I73" s="59" t="s">
        <v>901</v>
      </c>
      <c r="J73" s="59" t="s">
        <v>909</v>
      </c>
      <c r="K73" s="59">
        <v>2</v>
      </c>
      <c r="L73" s="59">
        <v>4</v>
      </c>
      <c r="M73" s="91"/>
      <c r="N73" s="91"/>
    </row>
    <row r="74" spans="2:14" x14ac:dyDescent="0.2">
      <c r="B74" s="59" t="s">
        <v>930</v>
      </c>
      <c r="C74" s="59">
        <v>16</v>
      </c>
      <c r="D74" s="59">
        <v>16</v>
      </c>
      <c r="E74" s="59" t="s">
        <v>636</v>
      </c>
      <c r="F74" s="59">
        <v>2</v>
      </c>
      <c r="G74" s="137" t="str">
        <f t="shared" si="4"/>
        <v>C-3</v>
      </c>
      <c r="H74" s="59">
        <v>2</v>
      </c>
      <c r="I74" s="59" t="s">
        <v>922</v>
      </c>
      <c r="J74" s="59" t="s">
        <v>930</v>
      </c>
      <c r="K74" s="59">
        <v>9</v>
      </c>
      <c r="L74" s="59">
        <v>11</v>
      </c>
      <c r="M74" s="91"/>
      <c r="N74" s="91"/>
    </row>
    <row r="75" spans="2:14" x14ac:dyDescent="0.2">
      <c r="B75" s="59" t="s">
        <v>931</v>
      </c>
      <c r="C75" s="59">
        <v>17</v>
      </c>
      <c r="D75" s="59">
        <v>17</v>
      </c>
      <c r="E75" s="59" t="s">
        <v>556</v>
      </c>
      <c r="F75" s="59">
        <v>7</v>
      </c>
      <c r="G75" s="137" t="str">
        <f t="shared" si="4"/>
        <v>C-4</v>
      </c>
      <c r="H75" s="59">
        <v>2</v>
      </c>
      <c r="I75" s="59" t="s">
        <v>925</v>
      </c>
      <c r="J75" s="59" t="s">
        <v>931</v>
      </c>
      <c r="K75" s="59">
        <v>10</v>
      </c>
      <c r="L75" s="59">
        <v>12</v>
      </c>
      <c r="M75" s="91"/>
      <c r="N75" s="91"/>
    </row>
    <row r="76" spans="2:14" x14ac:dyDescent="0.2">
      <c r="B76" s="59" t="s">
        <v>919</v>
      </c>
      <c r="C76" s="59">
        <v>18</v>
      </c>
      <c r="D76" s="59">
        <v>18</v>
      </c>
      <c r="E76" s="59" t="s">
        <v>552</v>
      </c>
      <c r="F76" s="59">
        <v>6</v>
      </c>
      <c r="G76" s="137" t="str">
        <f t="shared" si="4"/>
        <v>B-4</v>
      </c>
      <c r="H76" s="59">
        <v>2</v>
      </c>
      <c r="I76" s="59" t="s">
        <v>913</v>
      </c>
      <c r="J76" s="59" t="s">
        <v>918</v>
      </c>
      <c r="K76" s="59">
        <v>5</v>
      </c>
      <c r="L76" s="59">
        <v>7</v>
      </c>
      <c r="M76" s="91"/>
      <c r="N76" s="91"/>
    </row>
    <row r="77" spans="2:14" x14ac:dyDescent="0.2">
      <c r="B77" s="59" t="s">
        <v>942</v>
      </c>
      <c r="C77" s="59">
        <v>19</v>
      </c>
      <c r="D77" s="59">
        <v>19</v>
      </c>
      <c r="E77" s="59" t="s">
        <v>555</v>
      </c>
      <c r="F77" s="59">
        <v>10</v>
      </c>
      <c r="G77" s="137" t="str">
        <f t="shared" si="4"/>
        <v>E-3</v>
      </c>
      <c r="H77" s="59">
        <v>2</v>
      </c>
      <c r="I77" s="59" t="s">
        <v>941</v>
      </c>
      <c r="J77" s="59" t="s">
        <v>943</v>
      </c>
      <c r="K77" s="59">
        <v>18</v>
      </c>
      <c r="L77" s="59">
        <v>20</v>
      </c>
      <c r="M77" s="91"/>
      <c r="N77" s="91"/>
    </row>
    <row r="78" spans="2:14" x14ac:dyDescent="0.2">
      <c r="B78" s="59" t="s">
        <v>673</v>
      </c>
      <c r="C78" s="59">
        <v>20</v>
      </c>
      <c r="D78" s="59">
        <v>20</v>
      </c>
      <c r="E78" s="59" t="s">
        <v>550</v>
      </c>
      <c r="F78" s="59">
        <v>1</v>
      </c>
      <c r="G78" s="137" t="str">
        <f t="shared" si="4"/>
        <v>D-3</v>
      </c>
      <c r="H78" s="59">
        <v>2</v>
      </c>
      <c r="I78" s="59" t="s">
        <v>668</v>
      </c>
      <c r="J78" s="59" t="s">
        <v>673</v>
      </c>
      <c r="K78" s="59">
        <v>13</v>
      </c>
      <c r="L78" s="59">
        <v>15</v>
      </c>
      <c r="M78" s="91"/>
      <c r="N78" s="91"/>
    </row>
    <row r="79" spans="2:14" x14ac:dyDescent="0.2">
      <c r="B79" s="59" t="s">
        <v>675</v>
      </c>
      <c r="C79" s="59">
        <v>21</v>
      </c>
      <c r="D79" s="59">
        <v>21</v>
      </c>
      <c r="E79" s="59" t="s">
        <v>558</v>
      </c>
      <c r="F79" s="59">
        <v>9</v>
      </c>
      <c r="G79" s="137" t="str">
        <f t="shared" si="4"/>
        <v>D-4</v>
      </c>
      <c r="H79" s="59">
        <v>2</v>
      </c>
      <c r="I79" s="59" t="s">
        <v>671</v>
      </c>
      <c r="J79" s="59" t="s">
        <v>675</v>
      </c>
      <c r="K79" s="59">
        <v>14</v>
      </c>
      <c r="L79" s="59">
        <v>16</v>
      </c>
      <c r="M79" s="91"/>
      <c r="N79" s="91"/>
    </row>
    <row r="80" spans="2:14" x14ac:dyDescent="0.2">
      <c r="B80" s="59" t="s">
        <v>946</v>
      </c>
      <c r="C80" s="59">
        <v>22</v>
      </c>
      <c r="D80" s="59">
        <v>22</v>
      </c>
      <c r="E80" s="59" t="s">
        <v>561</v>
      </c>
      <c r="F80" s="59">
        <v>5</v>
      </c>
      <c r="G80" s="137" t="str">
        <f t="shared" si="4"/>
        <v>F-3</v>
      </c>
      <c r="H80" s="59">
        <v>2</v>
      </c>
      <c r="I80" s="59" t="s">
        <v>945</v>
      </c>
      <c r="J80" s="59" t="s">
        <v>947</v>
      </c>
      <c r="K80" s="59">
        <v>22</v>
      </c>
      <c r="L80" s="59">
        <v>24</v>
      </c>
      <c r="M80" s="91"/>
      <c r="N80" s="91"/>
    </row>
    <row r="81" spans="2:17" x14ac:dyDescent="0.2">
      <c r="B81" s="59" t="s">
        <v>947</v>
      </c>
      <c r="C81" s="59">
        <v>23</v>
      </c>
      <c r="D81" s="59">
        <v>23</v>
      </c>
      <c r="E81" s="59" t="s">
        <v>551</v>
      </c>
      <c r="F81" s="59">
        <v>3</v>
      </c>
      <c r="G81" s="137" t="str">
        <f t="shared" si="4"/>
        <v>F-4</v>
      </c>
      <c r="H81" s="59">
        <v>2</v>
      </c>
      <c r="I81" s="59" t="s">
        <v>944</v>
      </c>
      <c r="J81" s="59" t="s">
        <v>946</v>
      </c>
      <c r="K81" s="59">
        <v>21</v>
      </c>
      <c r="L81" s="59">
        <v>23</v>
      </c>
      <c r="M81" s="91"/>
      <c r="N81" s="91"/>
    </row>
    <row r="82" spans="2:17" x14ac:dyDescent="0.2">
      <c r="B82" s="59" t="s">
        <v>943</v>
      </c>
      <c r="C82" s="59">
        <v>24</v>
      </c>
      <c r="D82" s="59">
        <v>24</v>
      </c>
      <c r="E82" s="59" t="s">
        <v>553</v>
      </c>
      <c r="F82" s="59">
        <v>8</v>
      </c>
      <c r="G82" s="137" t="str">
        <f t="shared" si="4"/>
        <v>E-4</v>
      </c>
      <c r="H82" s="59">
        <v>2</v>
      </c>
      <c r="I82" s="59" t="s">
        <v>938</v>
      </c>
      <c r="J82" s="59" t="s">
        <v>942</v>
      </c>
      <c r="K82" s="59">
        <v>17</v>
      </c>
      <c r="L82" s="59">
        <v>19</v>
      </c>
      <c r="M82" s="91"/>
      <c r="N82" s="91"/>
    </row>
    <row r="83" spans="2:17" x14ac:dyDescent="0.2">
      <c r="B83" s="59" t="s">
        <v>954</v>
      </c>
      <c r="C83" s="59">
        <v>25</v>
      </c>
      <c r="D83" s="59">
        <v>25</v>
      </c>
      <c r="E83" s="59" t="s">
        <v>556</v>
      </c>
      <c r="F83" s="59">
        <v>7</v>
      </c>
      <c r="G83" s="137" t="str">
        <f t="shared" si="4"/>
        <v>A-5</v>
      </c>
      <c r="H83" s="59">
        <v>3</v>
      </c>
      <c r="I83" s="59" t="s">
        <v>909</v>
      </c>
      <c r="J83" s="59" t="s">
        <v>895</v>
      </c>
      <c r="K83" s="59">
        <v>4</v>
      </c>
      <c r="L83" s="59">
        <v>1</v>
      </c>
      <c r="M83" s="91"/>
      <c r="N83" s="91"/>
    </row>
    <row r="84" spans="2:17" x14ac:dyDescent="0.2">
      <c r="B84" s="59" t="s">
        <v>955</v>
      </c>
      <c r="C84" s="59">
        <v>26</v>
      </c>
      <c r="D84" s="59">
        <v>26</v>
      </c>
      <c r="E84" s="59" t="s">
        <v>560</v>
      </c>
      <c r="F84" s="59">
        <v>4</v>
      </c>
      <c r="G84" s="137" t="str">
        <f t="shared" si="4"/>
        <v>A-6</v>
      </c>
      <c r="H84" s="59">
        <v>3</v>
      </c>
      <c r="I84" s="59" t="s">
        <v>901</v>
      </c>
      <c r="J84" s="59" t="s">
        <v>906</v>
      </c>
      <c r="K84" s="59">
        <v>2</v>
      </c>
      <c r="L84" s="59">
        <v>3</v>
      </c>
      <c r="M84" s="91"/>
      <c r="N84" s="91"/>
    </row>
    <row r="85" spans="2:17" x14ac:dyDescent="0.2">
      <c r="B85" s="59" t="s">
        <v>958</v>
      </c>
      <c r="C85" s="59">
        <v>27</v>
      </c>
      <c r="D85" s="59">
        <v>27</v>
      </c>
      <c r="E85" s="59" t="s">
        <v>558</v>
      </c>
      <c r="F85" s="59">
        <v>9</v>
      </c>
      <c r="G85" s="137" t="str">
        <f t="shared" si="4"/>
        <v>B-5</v>
      </c>
      <c r="H85" s="59">
        <v>3</v>
      </c>
      <c r="I85" s="59" t="s">
        <v>915</v>
      </c>
      <c r="J85" s="59" t="s">
        <v>918</v>
      </c>
      <c r="K85" s="59">
        <v>6</v>
      </c>
      <c r="L85" s="59">
        <v>7</v>
      </c>
      <c r="M85" s="91"/>
      <c r="N85" s="91"/>
    </row>
    <row r="86" spans="2:17" x14ac:dyDescent="0.2">
      <c r="B86" s="59" t="s">
        <v>959</v>
      </c>
      <c r="C86" s="59">
        <v>28</v>
      </c>
      <c r="D86" s="59">
        <v>28</v>
      </c>
      <c r="E86" s="59" t="s">
        <v>555</v>
      </c>
      <c r="F86" s="59">
        <v>10</v>
      </c>
      <c r="G86" s="137" t="str">
        <f t="shared" si="4"/>
        <v>B-6</v>
      </c>
      <c r="H86" s="59">
        <v>3</v>
      </c>
      <c r="I86" s="59" t="s">
        <v>919</v>
      </c>
      <c r="J86" s="59" t="s">
        <v>913</v>
      </c>
      <c r="K86" s="59">
        <v>8</v>
      </c>
      <c r="L86" s="59">
        <v>5</v>
      </c>
      <c r="M86" s="91"/>
      <c r="N86" s="91"/>
    </row>
    <row r="87" spans="2:17" x14ac:dyDescent="0.2">
      <c r="B87" s="59" t="s">
        <v>960</v>
      </c>
      <c r="C87" s="59">
        <v>29</v>
      </c>
      <c r="D87" s="59">
        <v>29</v>
      </c>
      <c r="E87" s="59" t="s">
        <v>550</v>
      </c>
      <c r="F87" s="59">
        <v>1</v>
      </c>
      <c r="G87" s="137" t="str">
        <f t="shared" si="4"/>
        <v>D-5</v>
      </c>
      <c r="H87" s="59">
        <v>3</v>
      </c>
      <c r="I87" s="59" t="s">
        <v>671</v>
      </c>
      <c r="J87" s="59" t="s">
        <v>673</v>
      </c>
      <c r="K87" s="59">
        <v>14</v>
      </c>
      <c r="L87" s="59">
        <v>15</v>
      </c>
      <c r="M87" s="91"/>
      <c r="N87" s="91"/>
    </row>
    <row r="88" spans="2:17" x14ac:dyDescent="0.2">
      <c r="B88" s="59" t="s">
        <v>961</v>
      </c>
      <c r="C88" s="59">
        <v>30</v>
      </c>
      <c r="D88" s="59">
        <v>30</v>
      </c>
      <c r="E88" s="59" t="s">
        <v>551</v>
      </c>
      <c r="F88" s="59">
        <v>3</v>
      </c>
      <c r="G88" s="137" t="str">
        <f t="shared" si="4"/>
        <v>D-6</v>
      </c>
      <c r="H88" s="59">
        <v>3</v>
      </c>
      <c r="I88" s="59" t="s">
        <v>675</v>
      </c>
      <c r="J88" s="59" t="s">
        <v>668</v>
      </c>
      <c r="K88" s="59">
        <v>16</v>
      </c>
      <c r="L88" s="59">
        <v>13</v>
      </c>
      <c r="M88" s="91"/>
      <c r="N88" s="91"/>
    </row>
    <row r="89" spans="2:17" x14ac:dyDescent="0.2">
      <c r="B89" s="59" t="s">
        <v>956</v>
      </c>
      <c r="C89" s="59">
        <v>31</v>
      </c>
      <c r="D89" s="59">
        <v>31</v>
      </c>
      <c r="E89" s="59" t="s">
        <v>553</v>
      </c>
      <c r="F89" s="59">
        <v>8</v>
      </c>
      <c r="G89" s="137" t="str">
        <f t="shared" si="4"/>
        <v>C-5</v>
      </c>
      <c r="H89" s="59">
        <v>3</v>
      </c>
      <c r="I89" s="59" t="s">
        <v>931</v>
      </c>
      <c r="J89" s="59" t="s">
        <v>922</v>
      </c>
      <c r="K89" s="59">
        <v>12</v>
      </c>
      <c r="L89" s="59">
        <v>9</v>
      </c>
      <c r="M89" s="91"/>
      <c r="N89" s="91"/>
    </row>
    <row r="90" spans="2:17" x14ac:dyDescent="0.2">
      <c r="B90" s="59" t="s">
        <v>957</v>
      </c>
      <c r="C90" s="59">
        <v>32</v>
      </c>
      <c r="D90" s="59">
        <v>32</v>
      </c>
      <c r="E90" s="59" t="s">
        <v>636</v>
      </c>
      <c r="F90" s="59">
        <v>2</v>
      </c>
      <c r="G90" s="137" t="str">
        <f t="shared" si="4"/>
        <v>C-6</v>
      </c>
      <c r="H90" s="59">
        <v>3</v>
      </c>
      <c r="I90" s="59" t="s">
        <v>925</v>
      </c>
      <c r="J90" s="59" t="s">
        <v>930</v>
      </c>
      <c r="K90" s="59">
        <v>10</v>
      </c>
      <c r="L90" s="59">
        <v>11</v>
      </c>
      <c r="M90" s="91"/>
      <c r="N90" s="91"/>
    </row>
    <row r="91" spans="2:17" x14ac:dyDescent="0.2">
      <c r="B91" s="59" t="s">
        <v>962</v>
      </c>
      <c r="C91" s="59">
        <v>33</v>
      </c>
      <c r="D91" s="59">
        <v>33</v>
      </c>
      <c r="E91" s="59" t="s">
        <v>556</v>
      </c>
      <c r="F91" s="59">
        <v>7</v>
      </c>
      <c r="G91" s="137" t="str">
        <f t="shared" si="4"/>
        <v>E-5</v>
      </c>
      <c r="H91" s="59">
        <v>3</v>
      </c>
      <c r="I91" s="59" t="s">
        <v>941</v>
      </c>
      <c r="J91" s="59" t="s">
        <v>942</v>
      </c>
      <c r="K91" s="59">
        <v>18</v>
      </c>
      <c r="L91" s="59">
        <v>19</v>
      </c>
      <c r="M91" s="91"/>
      <c r="N91" s="91"/>
    </row>
    <row r="92" spans="2:17" x14ac:dyDescent="0.2">
      <c r="B92" s="59" t="s">
        <v>963</v>
      </c>
      <c r="C92" s="59">
        <v>34</v>
      </c>
      <c r="D92" s="59">
        <v>34</v>
      </c>
      <c r="E92" s="59" t="s">
        <v>560</v>
      </c>
      <c r="F92" s="59">
        <v>4</v>
      </c>
      <c r="G92" s="137" t="str">
        <f t="shared" si="4"/>
        <v>E-6</v>
      </c>
      <c r="H92" s="59">
        <v>3</v>
      </c>
      <c r="I92" s="59" t="s">
        <v>943</v>
      </c>
      <c r="J92" s="59" t="s">
        <v>938</v>
      </c>
      <c r="K92" s="59">
        <v>20</v>
      </c>
      <c r="L92" s="59">
        <v>17</v>
      </c>
      <c r="M92" s="91"/>
      <c r="N92" s="91"/>
    </row>
    <row r="93" spans="2:17" x14ac:dyDescent="0.2">
      <c r="B93" s="59" t="s">
        <v>964</v>
      </c>
      <c r="C93" s="59">
        <v>35</v>
      </c>
      <c r="D93" s="59">
        <v>35</v>
      </c>
      <c r="E93" s="59" t="s">
        <v>552</v>
      </c>
      <c r="F93" s="59">
        <v>6</v>
      </c>
      <c r="G93" s="137" t="str">
        <f t="shared" si="4"/>
        <v>F-5</v>
      </c>
      <c r="H93" s="59">
        <v>3</v>
      </c>
      <c r="I93" s="59" t="s">
        <v>945</v>
      </c>
      <c r="J93" s="59" t="s">
        <v>946</v>
      </c>
      <c r="K93" s="59">
        <v>22</v>
      </c>
      <c r="L93" s="59">
        <v>23</v>
      </c>
      <c r="M93" s="91"/>
      <c r="N93" s="91"/>
    </row>
    <row r="94" spans="2:17" ht="10.8" thickBot="1" x14ac:dyDescent="0.25">
      <c r="B94" s="59" t="s">
        <v>965</v>
      </c>
      <c r="C94" s="59">
        <v>36</v>
      </c>
      <c r="D94" s="59">
        <v>36</v>
      </c>
      <c r="E94" s="59" t="s">
        <v>561</v>
      </c>
      <c r="F94" s="59">
        <v>5</v>
      </c>
      <c r="G94" s="137" t="str">
        <f t="shared" si="4"/>
        <v>F-6</v>
      </c>
      <c r="H94" s="59">
        <v>3</v>
      </c>
      <c r="I94" s="59" t="s">
        <v>947</v>
      </c>
      <c r="J94" s="59" t="s">
        <v>944</v>
      </c>
      <c r="K94" s="59">
        <v>24</v>
      </c>
      <c r="L94" s="59">
        <v>21</v>
      </c>
      <c r="M94" s="91"/>
      <c r="N94" s="91"/>
    </row>
    <row r="95" spans="2:17" ht="10.8" thickTop="1" x14ac:dyDescent="0.2">
      <c r="B95" s="59"/>
      <c r="C95" s="319">
        <v>37</v>
      </c>
      <c r="D95" s="319"/>
      <c r="E95" s="319" t="s">
        <v>550</v>
      </c>
      <c r="F95" s="319">
        <v>1</v>
      </c>
      <c r="G95" s="319" t="s">
        <v>151</v>
      </c>
      <c r="H95" s="319">
        <v>4</v>
      </c>
      <c r="I95" s="320" t="str">
        <f t="shared" ref="I95:J102" si="5">IF(LEFT(N95,1)="D",N95,IF(LEFT(N95,1)="Z",2,1)&amp;RIGHT(N95,1))</f>
        <v>2A</v>
      </c>
      <c r="J95" s="320" t="str">
        <f t="shared" si="5"/>
        <v>2B</v>
      </c>
      <c r="K95" s="320" t="str">
        <f t="shared" ref="K95:K109" si="6">P95</f>
        <v>2. A</v>
      </c>
      <c r="L95" s="320" t="str">
        <f t="shared" ref="L95:L109" si="7">Q95</f>
        <v>2. B</v>
      </c>
      <c r="M95" s="91"/>
      <c r="N95" s="59" t="s">
        <v>603</v>
      </c>
      <c r="O95" s="59" t="s">
        <v>619</v>
      </c>
      <c r="P95" s="59" t="s">
        <v>66</v>
      </c>
      <c r="Q95" s="59" t="s">
        <v>67</v>
      </c>
    </row>
    <row r="96" spans="2:17" x14ac:dyDescent="0.2">
      <c r="B96" s="59"/>
      <c r="C96" s="59">
        <v>38</v>
      </c>
      <c r="D96" s="59"/>
      <c r="E96" s="59" t="s">
        <v>551</v>
      </c>
      <c r="F96" s="59">
        <v>3</v>
      </c>
      <c r="G96" s="59" t="s">
        <v>152</v>
      </c>
      <c r="H96" s="59">
        <v>4</v>
      </c>
      <c r="I96" s="137" t="str">
        <f t="shared" si="5"/>
        <v>1A</v>
      </c>
      <c r="J96" s="137" t="str">
        <f t="shared" si="5"/>
        <v>2C</v>
      </c>
      <c r="K96" s="137" t="str">
        <f t="shared" si="6"/>
        <v>1. A</v>
      </c>
      <c r="L96" s="137" t="str">
        <f t="shared" si="7"/>
        <v>2. C</v>
      </c>
      <c r="M96" s="91"/>
      <c r="N96" s="59" t="s">
        <v>599</v>
      </c>
      <c r="O96" s="59" t="s">
        <v>634</v>
      </c>
      <c r="P96" s="59" t="s">
        <v>60</v>
      </c>
      <c r="Q96" s="59" t="s">
        <v>68</v>
      </c>
    </row>
    <row r="97" spans="2:17" x14ac:dyDescent="0.2">
      <c r="B97" s="59"/>
      <c r="C97" s="59">
        <v>39</v>
      </c>
      <c r="D97" s="59"/>
      <c r="E97" s="59" t="s">
        <v>552</v>
      </c>
      <c r="F97" s="59">
        <v>6</v>
      </c>
      <c r="G97" s="59" t="s">
        <v>153</v>
      </c>
      <c r="H97" s="59">
        <v>4</v>
      </c>
      <c r="I97" s="137" t="str">
        <f t="shared" si="5"/>
        <v>1C</v>
      </c>
      <c r="J97" s="137" t="str">
        <f t="shared" si="5"/>
        <v>DC</v>
      </c>
      <c r="K97" s="137" t="str">
        <f t="shared" si="6"/>
        <v>1. C</v>
      </c>
      <c r="L97" s="137" t="str">
        <f t="shared" si="7"/>
        <v>DEF</v>
      </c>
      <c r="M97" s="91"/>
      <c r="N97" s="59" t="s">
        <v>630</v>
      </c>
      <c r="O97" s="59" t="s">
        <v>639</v>
      </c>
      <c r="P97" s="59" t="s">
        <v>62</v>
      </c>
      <c r="Q97" s="59" t="s">
        <v>966</v>
      </c>
    </row>
    <row r="98" spans="2:17" x14ac:dyDescent="0.2">
      <c r="B98" s="59"/>
      <c r="C98" s="59">
        <v>40</v>
      </c>
      <c r="D98" s="59"/>
      <c r="E98" s="59" t="s">
        <v>553</v>
      </c>
      <c r="F98" s="59">
        <v>8</v>
      </c>
      <c r="G98" s="59" t="s">
        <v>154</v>
      </c>
      <c r="H98" s="59">
        <v>4</v>
      </c>
      <c r="I98" s="137" t="str">
        <f t="shared" si="5"/>
        <v>1B</v>
      </c>
      <c r="J98" s="137" t="str">
        <f t="shared" si="5"/>
        <v>DB</v>
      </c>
      <c r="K98" s="137" t="str">
        <f t="shared" si="6"/>
        <v>1. B</v>
      </c>
      <c r="L98" s="137" t="str">
        <f t="shared" si="7"/>
        <v>ADEF</v>
      </c>
      <c r="M98" s="91"/>
      <c r="N98" s="59" t="s">
        <v>615</v>
      </c>
      <c r="O98" s="59" t="s">
        <v>623</v>
      </c>
      <c r="P98" s="59" t="s">
        <v>61</v>
      </c>
      <c r="Q98" s="59" t="s">
        <v>967</v>
      </c>
    </row>
    <row r="99" spans="2:17" x14ac:dyDescent="0.2">
      <c r="B99" s="59"/>
      <c r="C99" s="59">
        <v>41</v>
      </c>
      <c r="D99" s="59"/>
      <c r="E99" s="59" t="s">
        <v>555</v>
      </c>
      <c r="F99" s="59">
        <v>10</v>
      </c>
      <c r="G99" s="59" t="s">
        <v>155</v>
      </c>
      <c r="H99" s="59">
        <v>4</v>
      </c>
      <c r="I99" s="137" t="str">
        <f t="shared" si="5"/>
        <v>2D</v>
      </c>
      <c r="J99" s="137" t="str">
        <f t="shared" si="5"/>
        <v>2E</v>
      </c>
      <c r="K99" s="137" t="str">
        <f t="shared" si="6"/>
        <v>2. D</v>
      </c>
      <c r="L99" s="137" t="str">
        <f t="shared" si="7"/>
        <v>2. E</v>
      </c>
      <c r="M99" s="91"/>
      <c r="N99" s="59" t="s">
        <v>646</v>
      </c>
      <c r="O99" s="59" t="s">
        <v>654</v>
      </c>
      <c r="P99" s="59" t="s">
        <v>69</v>
      </c>
      <c r="Q99" s="59" t="s">
        <v>70</v>
      </c>
    </row>
    <row r="100" spans="2:17" x14ac:dyDescent="0.2">
      <c r="B100" s="59"/>
      <c r="C100" s="59">
        <v>42</v>
      </c>
      <c r="D100" s="59"/>
      <c r="E100" s="59" t="s">
        <v>556</v>
      </c>
      <c r="F100" s="59">
        <v>7</v>
      </c>
      <c r="G100" s="59" t="s">
        <v>156</v>
      </c>
      <c r="H100" s="59">
        <v>4</v>
      </c>
      <c r="I100" s="137" t="str">
        <f t="shared" si="5"/>
        <v>1F</v>
      </c>
      <c r="J100" s="137" t="str">
        <f t="shared" si="5"/>
        <v>DF</v>
      </c>
      <c r="K100" s="137" t="str">
        <f t="shared" si="6"/>
        <v>1. F</v>
      </c>
      <c r="L100" s="137" t="str">
        <f t="shared" si="7"/>
        <v>ABC</v>
      </c>
      <c r="M100" s="91"/>
      <c r="N100" s="59" t="s">
        <v>661</v>
      </c>
      <c r="O100" s="59" t="s">
        <v>665</v>
      </c>
      <c r="P100" s="59" t="s">
        <v>65</v>
      </c>
      <c r="Q100" s="59" t="s">
        <v>968</v>
      </c>
    </row>
    <row r="101" spans="2:17" x14ac:dyDescent="0.2">
      <c r="B101" s="59"/>
      <c r="C101" s="59">
        <v>43</v>
      </c>
      <c r="D101" s="59"/>
      <c r="E101" s="59" t="s">
        <v>636</v>
      </c>
      <c r="F101" s="59">
        <v>2</v>
      </c>
      <c r="G101" s="59" t="s">
        <v>157</v>
      </c>
      <c r="H101" s="59">
        <v>4</v>
      </c>
      <c r="I101" s="137" t="str">
        <f t="shared" si="5"/>
        <v>1E</v>
      </c>
      <c r="J101" s="137" t="str">
        <f t="shared" si="5"/>
        <v>DE</v>
      </c>
      <c r="K101" s="137" t="str">
        <f t="shared" si="6"/>
        <v>1. E</v>
      </c>
      <c r="L101" s="137" t="str">
        <f t="shared" si="7"/>
        <v>ABCD</v>
      </c>
      <c r="M101" s="91"/>
      <c r="N101" s="59" t="s">
        <v>652</v>
      </c>
      <c r="O101" s="59" t="s">
        <v>657</v>
      </c>
      <c r="P101" s="59" t="s">
        <v>64</v>
      </c>
      <c r="Q101" s="59" t="s">
        <v>969</v>
      </c>
    </row>
    <row r="102" spans="2:17" x14ac:dyDescent="0.2">
      <c r="B102" s="59"/>
      <c r="C102" s="59">
        <v>44</v>
      </c>
      <c r="D102" s="59"/>
      <c r="E102" s="59" t="s">
        <v>558</v>
      </c>
      <c r="F102" s="59">
        <v>9</v>
      </c>
      <c r="G102" s="59" t="s">
        <v>158</v>
      </c>
      <c r="H102" s="59">
        <v>4</v>
      </c>
      <c r="I102" s="137" t="str">
        <f t="shared" si="5"/>
        <v>1D</v>
      </c>
      <c r="J102" s="137" t="str">
        <f t="shared" si="5"/>
        <v>2F</v>
      </c>
      <c r="K102" s="137" t="str">
        <f t="shared" si="6"/>
        <v>1. D</v>
      </c>
      <c r="L102" s="137" t="str">
        <f t="shared" si="7"/>
        <v>2. F</v>
      </c>
      <c r="M102" s="91"/>
      <c r="N102" s="59" t="s">
        <v>643</v>
      </c>
      <c r="O102" s="59" t="s">
        <v>663</v>
      </c>
      <c r="P102" s="59" t="s">
        <v>63</v>
      </c>
      <c r="Q102" s="59" t="s">
        <v>71</v>
      </c>
    </row>
    <row r="103" spans="2:17" x14ac:dyDescent="0.2">
      <c r="B103" s="59"/>
      <c r="C103" s="59">
        <v>45</v>
      </c>
      <c r="D103" s="59"/>
      <c r="E103" s="59" t="s">
        <v>560</v>
      </c>
      <c r="F103" s="59">
        <v>4</v>
      </c>
      <c r="G103" s="59" t="s">
        <v>159</v>
      </c>
      <c r="H103" s="59">
        <v>5</v>
      </c>
      <c r="I103" s="137">
        <f>N103</f>
        <v>4</v>
      </c>
      <c r="J103" s="137">
        <f>O103</f>
        <v>2</v>
      </c>
      <c r="K103" s="137" t="str">
        <f t="shared" si="6"/>
        <v>AF 4</v>
      </c>
      <c r="L103" s="137" t="str">
        <f t="shared" si="7"/>
        <v>AF 2</v>
      </c>
      <c r="M103" s="91"/>
      <c r="N103" s="59">
        <v>4</v>
      </c>
      <c r="O103" s="59">
        <v>2</v>
      </c>
      <c r="P103" s="59" t="s">
        <v>415</v>
      </c>
      <c r="Q103" s="59" t="s">
        <v>410</v>
      </c>
    </row>
    <row r="104" spans="2:17" x14ac:dyDescent="0.2">
      <c r="B104" s="59"/>
      <c r="C104" s="59">
        <v>46</v>
      </c>
      <c r="D104" s="59"/>
      <c r="E104" s="59" t="s">
        <v>561</v>
      </c>
      <c r="F104" s="59">
        <v>5</v>
      </c>
      <c r="G104" s="59" t="s">
        <v>160</v>
      </c>
      <c r="H104" s="59">
        <v>5</v>
      </c>
      <c r="I104" s="137">
        <f t="shared" ref="I104:I109" si="8">N104</f>
        <v>6</v>
      </c>
      <c r="J104" s="137">
        <f t="shared" ref="J104:J109" si="9">O104</f>
        <v>5</v>
      </c>
      <c r="K104" s="137" t="str">
        <f t="shared" si="6"/>
        <v>AF 6</v>
      </c>
      <c r="L104" s="137" t="str">
        <f t="shared" si="7"/>
        <v>AF 5</v>
      </c>
      <c r="M104" s="91"/>
      <c r="N104" s="59">
        <v>6</v>
      </c>
      <c r="O104" s="59">
        <v>5</v>
      </c>
      <c r="P104" s="59" t="s">
        <v>419</v>
      </c>
      <c r="Q104" s="59" t="s">
        <v>417</v>
      </c>
    </row>
    <row r="105" spans="2:17" x14ac:dyDescent="0.2">
      <c r="B105" s="59"/>
      <c r="C105" s="59">
        <v>47</v>
      </c>
      <c r="D105" s="59"/>
      <c r="E105" s="59" t="s">
        <v>555</v>
      </c>
      <c r="F105" s="59">
        <v>10</v>
      </c>
      <c r="G105" s="59" t="s">
        <v>161</v>
      </c>
      <c r="H105" s="59">
        <v>5</v>
      </c>
      <c r="I105" s="137">
        <f t="shared" si="8"/>
        <v>3</v>
      </c>
      <c r="J105" s="137">
        <f t="shared" si="9"/>
        <v>1</v>
      </c>
      <c r="K105" s="137" t="str">
        <f t="shared" si="6"/>
        <v>AF 3</v>
      </c>
      <c r="L105" s="137" t="str">
        <f t="shared" si="7"/>
        <v>AF 1</v>
      </c>
      <c r="M105" s="91"/>
      <c r="N105" s="59">
        <v>3</v>
      </c>
      <c r="O105" s="59">
        <v>1</v>
      </c>
      <c r="P105" s="59" t="s">
        <v>413</v>
      </c>
      <c r="Q105" s="59" t="s">
        <v>406</v>
      </c>
    </row>
    <row r="106" spans="2:17" x14ac:dyDescent="0.2">
      <c r="B106" s="59"/>
      <c r="C106" s="59">
        <v>48</v>
      </c>
      <c r="D106" s="59"/>
      <c r="E106" s="59" t="s">
        <v>550</v>
      </c>
      <c r="F106" s="59">
        <v>1</v>
      </c>
      <c r="G106" s="59" t="s">
        <v>162</v>
      </c>
      <c r="H106" s="59">
        <v>5</v>
      </c>
      <c r="I106" s="137">
        <f t="shared" si="8"/>
        <v>7</v>
      </c>
      <c r="J106" s="137">
        <f t="shared" si="9"/>
        <v>8</v>
      </c>
      <c r="K106" s="137" t="str">
        <f t="shared" si="6"/>
        <v>AF 7</v>
      </c>
      <c r="L106" s="137" t="str">
        <f t="shared" si="7"/>
        <v>AF 8</v>
      </c>
      <c r="M106" s="91"/>
      <c r="N106" s="59">
        <v>7</v>
      </c>
      <c r="O106" s="59">
        <v>8</v>
      </c>
      <c r="P106" s="59" t="s">
        <v>421</v>
      </c>
      <c r="Q106" s="59" t="s">
        <v>422</v>
      </c>
    </row>
    <row r="107" spans="2:17" x14ac:dyDescent="0.2">
      <c r="B107" s="59"/>
      <c r="C107" s="59">
        <v>49</v>
      </c>
      <c r="D107" s="59"/>
      <c r="E107" s="59" t="s">
        <v>636</v>
      </c>
      <c r="F107" s="59">
        <v>2</v>
      </c>
      <c r="G107" s="59" t="s">
        <v>163</v>
      </c>
      <c r="H107" s="59">
        <v>6</v>
      </c>
      <c r="I107" s="137">
        <f t="shared" si="8"/>
        <v>1</v>
      </c>
      <c r="J107" s="137">
        <f t="shared" si="9"/>
        <v>2</v>
      </c>
      <c r="K107" s="137" t="str">
        <f t="shared" si="6"/>
        <v>VF 1</v>
      </c>
      <c r="L107" s="137" t="str">
        <f t="shared" si="7"/>
        <v>VF 2</v>
      </c>
      <c r="M107" s="91"/>
      <c r="N107" s="59">
        <v>1</v>
      </c>
      <c r="O107" s="59">
        <v>2</v>
      </c>
      <c r="P107" s="59" t="s">
        <v>423</v>
      </c>
      <c r="Q107" s="59" t="s">
        <v>425</v>
      </c>
    </row>
    <row r="108" spans="2:17" x14ac:dyDescent="0.2">
      <c r="B108" s="59"/>
      <c r="C108" s="59">
        <v>50</v>
      </c>
      <c r="D108" s="59"/>
      <c r="E108" s="59" t="s">
        <v>551</v>
      </c>
      <c r="F108" s="59">
        <v>3</v>
      </c>
      <c r="G108" s="59" t="s">
        <v>164</v>
      </c>
      <c r="H108" s="59">
        <v>6</v>
      </c>
      <c r="I108" s="137">
        <f t="shared" si="8"/>
        <v>4</v>
      </c>
      <c r="J108" s="137">
        <f t="shared" si="9"/>
        <v>3</v>
      </c>
      <c r="K108" s="137" t="str">
        <f t="shared" si="6"/>
        <v>VF 4</v>
      </c>
      <c r="L108" s="137" t="str">
        <f t="shared" si="7"/>
        <v>VF 3</v>
      </c>
      <c r="M108" s="91"/>
      <c r="N108" s="59">
        <v>4</v>
      </c>
      <c r="O108" s="59">
        <v>3</v>
      </c>
      <c r="P108" s="59" t="s">
        <v>428</v>
      </c>
      <c r="Q108" s="59" t="s">
        <v>427</v>
      </c>
    </row>
    <row r="109" spans="2:17" x14ac:dyDescent="0.2">
      <c r="B109" s="59"/>
      <c r="C109" s="59">
        <v>51</v>
      </c>
      <c r="D109" s="59"/>
      <c r="E109" s="59" t="s">
        <v>550</v>
      </c>
      <c r="F109" s="59">
        <v>1</v>
      </c>
      <c r="G109" s="59" t="s">
        <v>914</v>
      </c>
      <c r="H109" s="59">
        <v>7</v>
      </c>
      <c r="I109" s="137">
        <f t="shared" si="8"/>
        <v>1</v>
      </c>
      <c r="J109" s="137">
        <f t="shared" si="9"/>
        <v>2</v>
      </c>
      <c r="K109" s="137" t="str">
        <f t="shared" si="6"/>
        <v>HF 1</v>
      </c>
      <c r="L109" s="137" t="str">
        <f t="shared" si="7"/>
        <v>HF 2</v>
      </c>
      <c r="M109" s="91"/>
      <c r="N109" s="59">
        <v>1</v>
      </c>
      <c r="O109" s="59">
        <v>2</v>
      </c>
      <c r="P109" s="59" t="s">
        <v>429</v>
      </c>
      <c r="Q109" s="59" t="s">
        <v>432</v>
      </c>
    </row>
    <row r="110" spans="2:17" x14ac:dyDescent="0.2">
      <c r="B110" s="59"/>
      <c r="C110" s="59"/>
      <c r="D110" s="59"/>
      <c r="E110" s="59"/>
      <c r="F110" s="59"/>
      <c r="G110" s="59"/>
      <c r="H110" s="59"/>
      <c r="I110" s="59"/>
      <c r="J110" s="59"/>
      <c r="K110" s="59"/>
      <c r="L110" s="59"/>
      <c r="M110" s="91"/>
      <c r="N110" s="91"/>
    </row>
  </sheetData>
  <phoneticPr fontId="0" type="noConversion"/>
  <pageMargins left="0.78740157499999996" right="0.78740157499999996" top="0.984251969" bottom="0.984251969" header="0.4921259845" footer="0.492125984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6474-44E0-45F0-A62A-227FAEDF7484}">
  <sheetPr codeName="Tabelle7"/>
  <dimension ref="A1:AT444"/>
  <sheetViews>
    <sheetView showGridLines="0" zoomScale="115" workbookViewId="0">
      <selection activeCell="K18" sqref="K18"/>
    </sheetView>
  </sheetViews>
  <sheetFormatPr baseColWidth="10" defaultColWidth="11.375" defaultRowHeight="11.4" x14ac:dyDescent="0.2"/>
  <cols>
    <col min="1" max="22" width="11.375" style="321"/>
    <col min="23" max="23" width="2.625" style="321" customWidth="1"/>
    <col min="24" max="16384" width="11.375" style="321"/>
  </cols>
  <sheetData>
    <row r="1" spans="1:46" x14ac:dyDescent="0.2">
      <c r="A1" s="321" t="s">
        <v>1104</v>
      </c>
      <c r="C1" s="321" t="s">
        <v>970</v>
      </c>
      <c r="H1" s="321" t="s">
        <v>971</v>
      </c>
    </row>
    <row r="2" spans="1:46" x14ac:dyDescent="0.2">
      <c r="C2" s="321" t="s">
        <v>972</v>
      </c>
      <c r="H2" s="321" t="s">
        <v>473</v>
      </c>
    </row>
    <row r="3" spans="1:46" x14ac:dyDescent="0.2">
      <c r="A3" s="321" t="s">
        <v>973</v>
      </c>
    </row>
    <row r="4" spans="1:46" x14ac:dyDescent="0.2">
      <c r="A4" s="321" t="s">
        <v>581</v>
      </c>
      <c r="B4" s="321" t="s">
        <v>394</v>
      </c>
      <c r="G4" s="321" t="s">
        <v>473</v>
      </c>
      <c r="K4" s="321" t="s">
        <v>974</v>
      </c>
      <c r="AA4" s="321" t="s">
        <v>601</v>
      </c>
      <c r="AB4" s="321" t="s">
        <v>394</v>
      </c>
      <c r="AG4" s="321" t="s">
        <v>473</v>
      </c>
      <c r="AK4" s="321" t="s">
        <v>974</v>
      </c>
    </row>
    <row r="5" spans="1:46" x14ac:dyDescent="0.2">
      <c r="A5" s="321" t="s">
        <v>975</v>
      </c>
      <c r="D5" s="321" t="s">
        <v>976</v>
      </c>
      <c r="E5" s="321" t="s">
        <v>977</v>
      </c>
      <c r="F5" s="321" t="s">
        <v>978</v>
      </c>
      <c r="G5" s="321" t="s">
        <v>979</v>
      </c>
      <c r="H5" s="321" t="s">
        <v>980</v>
      </c>
      <c r="I5" s="321" t="s">
        <v>981</v>
      </c>
      <c r="K5" s="321" t="s">
        <v>982</v>
      </c>
      <c r="L5" s="321" t="s">
        <v>983</v>
      </c>
      <c r="M5" s="321" t="s">
        <v>984</v>
      </c>
      <c r="N5" s="321" t="s">
        <v>985</v>
      </c>
      <c r="O5" s="321" t="s">
        <v>986</v>
      </c>
      <c r="P5" s="321" t="s">
        <v>987</v>
      </c>
      <c r="Q5" s="321" t="s">
        <v>879</v>
      </c>
      <c r="S5" s="321" t="s">
        <v>473</v>
      </c>
      <c r="AA5" s="321" t="s">
        <v>975</v>
      </c>
      <c r="AD5" s="321" t="s">
        <v>976</v>
      </c>
      <c r="AE5" s="321" t="s">
        <v>977</v>
      </c>
      <c r="AF5" s="321" t="s">
        <v>978</v>
      </c>
      <c r="AG5" s="321" t="s">
        <v>979</v>
      </c>
      <c r="AH5" s="321" t="s">
        <v>980</v>
      </c>
      <c r="AI5" s="321" t="s">
        <v>981</v>
      </c>
      <c r="AK5" s="321" t="s">
        <v>982</v>
      </c>
      <c r="AL5" s="321" t="s">
        <v>983</v>
      </c>
      <c r="AM5" s="321" t="s">
        <v>984</v>
      </c>
      <c r="AN5" s="321" t="s">
        <v>985</v>
      </c>
      <c r="AO5" s="321" t="s">
        <v>986</v>
      </c>
      <c r="AP5" s="321" t="s">
        <v>987</v>
      </c>
      <c r="AQ5" s="321" t="s">
        <v>879</v>
      </c>
      <c r="AS5" s="321" t="s">
        <v>473</v>
      </c>
    </row>
    <row r="6" spans="1:46" x14ac:dyDescent="0.2">
      <c r="A6" s="316">
        <v>1</v>
      </c>
      <c r="B6" s="316" t="str">
        <f t="shared" ref="B6:B11" si="0">D6&amp;"#"&amp;E6</f>
        <v>1#2</v>
      </c>
      <c r="C6" s="316" t="str">
        <f t="shared" ref="C6:C11" si="1">E6&amp;"#"&amp;D6</f>
        <v>2#1</v>
      </c>
      <c r="D6" s="316">
        <f>VLOOKUP(J6,daten!$G$59:$L$94,5,FALSE)</f>
        <v>1</v>
      </c>
      <c r="E6" s="316">
        <f>VLOOKUP(J6,daten!$G$59:$L$94,6,FALSE)</f>
        <v>2</v>
      </c>
      <c r="F6" s="316">
        <f t="shared" ref="F6:F11" si="2">D6</f>
        <v>1</v>
      </c>
      <c r="G6" s="316" t="str">
        <f>VLOOKUP(J6,Tippabgabe!$DQ$40:$DW$75,6,FALSE)</f>
        <v/>
      </c>
      <c r="H6" s="316" t="str">
        <f>VLOOKUP(J6,Tippabgabe!$DQ$40:$DW$75,7,FALSE)</f>
        <v/>
      </c>
      <c r="I6" s="316" t="str">
        <f t="shared" ref="I6:I11" si="3">IF(LEN(G6)&gt;0,G6,"")</f>
        <v/>
      </c>
      <c r="J6" s="316" t="str">
        <f>A4&amp;"-"&amp;A6</f>
        <v>A-1</v>
      </c>
      <c r="K6" s="321">
        <f t="shared" ref="K6:K11" si="4">IF(COUNT(G6:H6)&lt;&gt;2,0,IF(G6&gt;H6,3,IF(H6&gt;G6,0,1)))</f>
        <v>0</v>
      </c>
      <c r="L6" s="321">
        <f t="shared" ref="L6:L11" si="5">IF(COUNT(G6:H6)&lt;&gt;2,0,IF(G6&gt;H6,0,IF(H6&gt;G6,3,1)))</f>
        <v>0</v>
      </c>
      <c r="M6" s="321">
        <f t="shared" ref="M6:M11" si="6">IF(COUNT(G6:H6)&lt;&gt;2,0,G6-H6)</f>
        <v>0</v>
      </c>
      <c r="N6" s="321">
        <f t="shared" ref="N6:N11" si="7">IF(COUNT(G6:H6)&lt;&gt;2,0,H6-I6)</f>
        <v>0</v>
      </c>
      <c r="O6" s="321">
        <f t="shared" ref="O6:P11" si="8">K6*1000+M6+IF(LEN(G6)=0,0,G6/1000)</f>
        <v>0</v>
      </c>
      <c r="P6" s="321">
        <f t="shared" si="8"/>
        <v>0</v>
      </c>
      <c r="Q6" s="321">
        <f t="shared" ref="Q6:Q11" si="9">IF(COUNT(G6:H6)=2,1,0)</f>
        <v>0</v>
      </c>
      <c r="R6" s="321">
        <f t="shared" ref="R6:R11" si="10">Q6</f>
        <v>0</v>
      </c>
      <c r="S6" s="321" t="str">
        <f t="shared" ref="S6:T11" si="11">IF(Q6=0,"X",IF(K6=3,"S",IF(K6=0,"N","U")))&amp;D6</f>
        <v>X1</v>
      </c>
      <c r="T6" s="321" t="str">
        <f t="shared" si="11"/>
        <v>X2</v>
      </c>
      <c r="AA6" s="316">
        <v>1</v>
      </c>
      <c r="AB6" s="316" t="str">
        <f t="shared" ref="AB6:AB11" si="12">AD6&amp;"#"&amp;AE6</f>
        <v>5#6</v>
      </c>
      <c r="AC6" s="316" t="str">
        <f t="shared" ref="AC6:AC11" si="13">AE6&amp;"#"&amp;AD6</f>
        <v>6#5</v>
      </c>
      <c r="AD6" s="316">
        <f>VLOOKUP(AJ6,daten!$G$59:$L$94,5,FALSE)</f>
        <v>5</v>
      </c>
      <c r="AE6" s="316">
        <f>VLOOKUP(AJ6,daten!$G$59:$L$94,6,FALSE)</f>
        <v>6</v>
      </c>
      <c r="AF6" s="316">
        <f t="shared" ref="AF6:AF11" si="14">AD6</f>
        <v>5</v>
      </c>
      <c r="AG6" s="316" t="str">
        <f>VLOOKUP(AJ6,Tippabgabe!$DQ$40:$DW$75,6,FALSE)</f>
        <v/>
      </c>
      <c r="AH6" s="316" t="str">
        <f>VLOOKUP(AJ6,Tippabgabe!$DQ$40:$DW$75,7,FALSE)</f>
        <v/>
      </c>
      <c r="AI6" s="316" t="str">
        <f t="shared" ref="AI6:AI11" si="15">IF(LEN(AG6)&gt;0,AG6,"")</f>
        <v/>
      </c>
      <c r="AJ6" s="316" t="str">
        <f>AA4&amp;"-"&amp;AA6</f>
        <v>B-1</v>
      </c>
      <c r="AK6" s="321">
        <f t="shared" ref="AK6:AK11" si="16">IF(COUNT(AG6:AH6)&lt;&gt;2,0,IF(AG6&gt;AH6,3,IF(AH6&gt;AG6,0,1)))</f>
        <v>0</v>
      </c>
      <c r="AL6" s="321">
        <f t="shared" ref="AL6:AL11" si="17">IF(COUNT(AG6:AH6)&lt;&gt;2,0,IF(AG6&gt;AH6,0,IF(AH6&gt;AG6,3,1)))</f>
        <v>0</v>
      </c>
      <c r="AM6" s="321">
        <f t="shared" ref="AM6:AM11" si="18">IF(COUNT(AG6:AH6)&lt;&gt;2,0,AG6-AH6)</f>
        <v>0</v>
      </c>
      <c r="AN6" s="321">
        <f t="shared" ref="AN6:AN11" si="19">IF(COUNT(AG6:AH6)&lt;&gt;2,0,AH6-AI6)</f>
        <v>0</v>
      </c>
      <c r="AO6" s="321">
        <f t="shared" ref="AO6:AP11" si="20">AK6*1000+AM6+IF(LEN(AG6)=0,0,AG6/1000)</f>
        <v>0</v>
      </c>
      <c r="AP6" s="321">
        <f t="shared" si="20"/>
        <v>0</v>
      </c>
      <c r="AQ6" s="321">
        <f t="shared" ref="AQ6:AQ11" si="21">IF(COUNT(AG6:AH6)=2,1,0)</f>
        <v>0</v>
      </c>
      <c r="AR6" s="321">
        <f t="shared" ref="AR6:AR11" si="22">AQ6</f>
        <v>0</v>
      </c>
      <c r="AS6" s="321" t="str">
        <f t="shared" ref="AS6:AT11" si="23">IF(AQ6=0,"X",IF(AK6=3,"S",IF(AK6=0,"N","U")))&amp;AD6</f>
        <v>X5</v>
      </c>
      <c r="AT6" s="321" t="str">
        <f t="shared" si="23"/>
        <v>X6</v>
      </c>
    </row>
    <row r="7" spans="1:46" x14ac:dyDescent="0.2">
      <c r="A7" s="316">
        <v>2</v>
      </c>
      <c r="B7" s="316" t="str">
        <f t="shared" si="0"/>
        <v>3#4</v>
      </c>
      <c r="C7" s="316" t="str">
        <f t="shared" si="1"/>
        <v>4#3</v>
      </c>
      <c r="D7" s="316">
        <f>VLOOKUP(J7,daten!$G$59:$L$94,5,FALSE)</f>
        <v>3</v>
      </c>
      <c r="E7" s="316">
        <f>VLOOKUP(J7,daten!$G$59:$L$94,6,FALSE)</f>
        <v>4</v>
      </c>
      <c r="F7" s="316">
        <f t="shared" si="2"/>
        <v>3</v>
      </c>
      <c r="G7" s="316" t="str">
        <f>VLOOKUP(J7,Tippabgabe!$DQ$40:$DW$75,6,FALSE)</f>
        <v/>
      </c>
      <c r="H7" s="316" t="str">
        <f>VLOOKUP(J7,Tippabgabe!$DQ$40:$DW$75,7,FALSE)</f>
        <v/>
      </c>
      <c r="I7" s="316" t="str">
        <f t="shared" si="3"/>
        <v/>
      </c>
      <c r="J7" s="316" t="str">
        <f>A4&amp;"-"&amp;A7</f>
        <v>A-2</v>
      </c>
      <c r="K7" s="321">
        <f t="shared" si="4"/>
        <v>0</v>
      </c>
      <c r="L7" s="321">
        <f t="shared" si="5"/>
        <v>0</v>
      </c>
      <c r="M7" s="321">
        <f t="shared" si="6"/>
        <v>0</v>
      </c>
      <c r="N7" s="321">
        <f t="shared" si="7"/>
        <v>0</v>
      </c>
      <c r="O7" s="321">
        <f t="shared" si="8"/>
        <v>0</v>
      </c>
      <c r="P7" s="321">
        <f t="shared" si="8"/>
        <v>0</v>
      </c>
      <c r="Q7" s="321">
        <f t="shared" si="9"/>
        <v>0</v>
      </c>
      <c r="R7" s="321">
        <f t="shared" si="10"/>
        <v>0</v>
      </c>
      <c r="S7" s="321" t="str">
        <f t="shared" si="11"/>
        <v>X3</v>
      </c>
      <c r="T7" s="321" t="str">
        <f t="shared" si="11"/>
        <v>X4</v>
      </c>
      <c r="AA7" s="316">
        <v>2</v>
      </c>
      <c r="AB7" s="316" t="str">
        <f t="shared" si="12"/>
        <v>7#8</v>
      </c>
      <c r="AC7" s="316" t="str">
        <f t="shared" si="13"/>
        <v>8#7</v>
      </c>
      <c r="AD7" s="316">
        <f>VLOOKUP(AJ7,daten!$G$59:$L$94,5,FALSE)</f>
        <v>7</v>
      </c>
      <c r="AE7" s="316">
        <f>VLOOKUP(AJ7,daten!$G$59:$L$94,6,FALSE)</f>
        <v>8</v>
      </c>
      <c r="AF7" s="316">
        <f t="shared" si="14"/>
        <v>7</v>
      </c>
      <c r="AG7" s="316" t="str">
        <f>VLOOKUP(AJ7,Tippabgabe!$DQ$40:$DW$75,6,FALSE)</f>
        <v/>
      </c>
      <c r="AH7" s="316" t="str">
        <f>VLOOKUP(AJ7,Tippabgabe!$DQ$40:$DW$75,7,FALSE)</f>
        <v/>
      </c>
      <c r="AI7" s="316" t="str">
        <f t="shared" si="15"/>
        <v/>
      </c>
      <c r="AJ7" s="316" t="str">
        <f>AA4&amp;"-"&amp;AA7</f>
        <v>B-2</v>
      </c>
      <c r="AK7" s="321">
        <f t="shared" si="16"/>
        <v>0</v>
      </c>
      <c r="AL7" s="321">
        <f t="shared" si="17"/>
        <v>0</v>
      </c>
      <c r="AM7" s="321">
        <f t="shared" si="18"/>
        <v>0</v>
      </c>
      <c r="AN7" s="321">
        <f t="shared" si="19"/>
        <v>0</v>
      </c>
      <c r="AO7" s="321">
        <f t="shared" si="20"/>
        <v>0</v>
      </c>
      <c r="AP7" s="321">
        <f t="shared" si="20"/>
        <v>0</v>
      </c>
      <c r="AQ7" s="321">
        <f t="shared" si="21"/>
        <v>0</v>
      </c>
      <c r="AR7" s="321">
        <f t="shared" si="22"/>
        <v>0</v>
      </c>
      <c r="AS7" s="321" t="str">
        <f t="shared" si="23"/>
        <v>X7</v>
      </c>
      <c r="AT7" s="321" t="str">
        <f t="shared" si="23"/>
        <v>X8</v>
      </c>
    </row>
    <row r="8" spans="1:46" x14ac:dyDescent="0.2">
      <c r="A8" s="316">
        <v>3</v>
      </c>
      <c r="B8" s="316" t="str">
        <f t="shared" si="0"/>
        <v>1#3</v>
      </c>
      <c r="C8" s="316" t="str">
        <f t="shared" si="1"/>
        <v>3#1</v>
      </c>
      <c r="D8" s="316">
        <f>VLOOKUP(J8,daten!$G$59:$L$94,5,FALSE)</f>
        <v>1</v>
      </c>
      <c r="E8" s="316">
        <f>VLOOKUP(J8,daten!$G$59:$L$94,6,FALSE)</f>
        <v>3</v>
      </c>
      <c r="F8" s="316">
        <f t="shared" si="2"/>
        <v>1</v>
      </c>
      <c r="G8" s="316" t="str">
        <f>VLOOKUP(J8,Tippabgabe!$DQ$40:$DW$75,6,FALSE)</f>
        <v/>
      </c>
      <c r="H8" s="316" t="str">
        <f>VLOOKUP(J8,Tippabgabe!$DQ$40:$DW$75,7,FALSE)</f>
        <v/>
      </c>
      <c r="I8" s="316" t="str">
        <f t="shared" si="3"/>
        <v/>
      </c>
      <c r="J8" s="316" t="str">
        <f>A4&amp;"-"&amp;A8</f>
        <v>A-3</v>
      </c>
      <c r="K8" s="321">
        <f t="shared" si="4"/>
        <v>0</v>
      </c>
      <c r="L8" s="321">
        <f t="shared" si="5"/>
        <v>0</v>
      </c>
      <c r="M8" s="321">
        <f t="shared" si="6"/>
        <v>0</v>
      </c>
      <c r="N8" s="321">
        <f t="shared" si="7"/>
        <v>0</v>
      </c>
      <c r="O8" s="321">
        <f t="shared" si="8"/>
        <v>0</v>
      </c>
      <c r="P8" s="321">
        <f t="shared" si="8"/>
        <v>0</v>
      </c>
      <c r="Q8" s="321">
        <f t="shared" si="9"/>
        <v>0</v>
      </c>
      <c r="R8" s="321">
        <f t="shared" si="10"/>
        <v>0</v>
      </c>
      <c r="S8" s="321" t="str">
        <f t="shared" si="11"/>
        <v>X1</v>
      </c>
      <c r="T8" s="321" t="str">
        <f t="shared" si="11"/>
        <v>X3</v>
      </c>
      <c r="AA8" s="316">
        <v>3</v>
      </c>
      <c r="AB8" s="316" t="str">
        <f t="shared" si="12"/>
        <v>6#8</v>
      </c>
      <c r="AC8" s="316" t="str">
        <f t="shared" si="13"/>
        <v>8#6</v>
      </c>
      <c r="AD8" s="316">
        <f>VLOOKUP(AJ8,daten!$G$59:$L$94,5,FALSE)</f>
        <v>6</v>
      </c>
      <c r="AE8" s="316">
        <f>VLOOKUP(AJ8,daten!$G$59:$L$94,6,FALSE)</f>
        <v>8</v>
      </c>
      <c r="AF8" s="316">
        <f t="shared" si="14"/>
        <v>6</v>
      </c>
      <c r="AG8" s="316" t="str">
        <f>VLOOKUP(AJ8,Tippabgabe!$DQ$40:$DW$75,6,FALSE)</f>
        <v/>
      </c>
      <c r="AH8" s="316" t="str">
        <f>VLOOKUP(AJ8,Tippabgabe!$DQ$40:$DW$75,7,FALSE)</f>
        <v/>
      </c>
      <c r="AI8" s="316" t="str">
        <f t="shared" si="15"/>
        <v/>
      </c>
      <c r="AJ8" s="316" t="str">
        <f>AA4&amp;"-"&amp;AA8</f>
        <v>B-3</v>
      </c>
      <c r="AK8" s="321">
        <f t="shared" si="16"/>
        <v>0</v>
      </c>
      <c r="AL8" s="321">
        <f t="shared" si="17"/>
        <v>0</v>
      </c>
      <c r="AM8" s="321">
        <f t="shared" si="18"/>
        <v>0</v>
      </c>
      <c r="AN8" s="321">
        <f t="shared" si="19"/>
        <v>0</v>
      </c>
      <c r="AO8" s="321">
        <f t="shared" si="20"/>
        <v>0</v>
      </c>
      <c r="AP8" s="321">
        <f t="shared" si="20"/>
        <v>0</v>
      </c>
      <c r="AQ8" s="321">
        <f t="shared" si="21"/>
        <v>0</v>
      </c>
      <c r="AR8" s="321">
        <f t="shared" si="22"/>
        <v>0</v>
      </c>
      <c r="AS8" s="321" t="str">
        <f t="shared" si="23"/>
        <v>X6</v>
      </c>
      <c r="AT8" s="321" t="str">
        <f t="shared" si="23"/>
        <v>X8</v>
      </c>
    </row>
    <row r="9" spans="1:46" x14ac:dyDescent="0.2">
      <c r="A9" s="316">
        <v>4</v>
      </c>
      <c r="B9" s="316" t="str">
        <f t="shared" si="0"/>
        <v>2#4</v>
      </c>
      <c r="C9" s="316" t="str">
        <f t="shared" si="1"/>
        <v>4#2</v>
      </c>
      <c r="D9" s="316">
        <f>VLOOKUP(J9,daten!$G$59:$L$94,5,FALSE)</f>
        <v>2</v>
      </c>
      <c r="E9" s="316">
        <f>VLOOKUP(J9,daten!$G$59:$L$94,6,FALSE)</f>
        <v>4</v>
      </c>
      <c r="F9" s="316">
        <f t="shared" si="2"/>
        <v>2</v>
      </c>
      <c r="G9" s="316" t="str">
        <f>VLOOKUP(J9,Tippabgabe!$DQ$40:$DW$75,6,FALSE)</f>
        <v/>
      </c>
      <c r="H9" s="316" t="str">
        <f>VLOOKUP(J9,Tippabgabe!$DQ$40:$DW$75,7,FALSE)</f>
        <v/>
      </c>
      <c r="I9" s="316" t="str">
        <f t="shared" si="3"/>
        <v/>
      </c>
      <c r="J9" s="316" t="str">
        <f>A4&amp;"-"&amp;A9</f>
        <v>A-4</v>
      </c>
      <c r="K9" s="321">
        <f t="shared" si="4"/>
        <v>0</v>
      </c>
      <c r="L9" s="321">
        <f t="shared" si="5"/>
        <v>0</v>
      </c>
      <c r="M9" s="321">
        <f t="shared" si="6"/>
        <v>0</v>
      </c>
      <c r="N9" s="321">
        <f t="shared" si="7"/>
        <v>0</v>
      </c>
      <c r="O9" s="321">
        <f t="shared" si="8"/>
        <v>0</v>
      </c>
      <c r="P9" s="321">
        <f t="shared" si="8"/>
        <v>0</v>
      </c>
      <c r="Q9" s="321">
        <f t="shared" si="9"/>
        <v>0</v>
      </c>
      <c r="R9" s="321">
        <f t="shared" si="10"/>
        <v>0</v>
      </c>
      <c r="S9" s="321" t="str">
        <f t="shared" si="11"/>
        <v>X2</v>
      </c>
      <c r="T9" s="321" t="str">
        <f t="shared" si="11"/>
        <v>X4</v>
      </c>
      <c r="AA9" s="316">
        <v>4</v>
      </c>
      <c r="AB9" s="316" t="str">
        <f t="shared" si="12"/>
        <v>5#7</v>
      </c>
      <c r="AC9" s="316" t="str">
        <f t="shared" si="13"/>
        <v>7#5</v>
      </c>
      <c r="AD9" s="316">
        <f>VLOOKUP(AJ9,daten!$G$59:$L$94,5,FALSE)</f>
        <v>5</v>
      </c>
      <c r="AE9" s="316">
        <f>VLOOKUP(AJ9,daten!$G$59:$L$94,6,FALSE)</f>
        <v>7</v>
      </c>
      <c r="AF9" s="316">
        <f t="shared" si="14"/>
        <v>5</v>
      </c>
      <c r="AG9" s="316" t="str">
        <f>VLOOKUP(AJ9,Tippabgabe!$DQ$40:$DW$75,6,FALSE)</f>
        <v/>
      </c>
      <c r="AH9" s="316" t="str">
        <f>VLOOKUP(AJ9,Tippabgabe!$DQ$40:$DW$75,7,FALSE)</f>
        <v/>
      </c>
      <c r="AI9" s="316" t="str">
        <f t="shared" si="15"/>
        <v/>
      </c>
      <c r="AJ9" s="316" t="str">
        <f>AA4&amp;"-"&amp;AA9</f>
        <v>B-4</v>
      </c>
      <c r="AK9" s="321">
        <f t="shared" si="16"/>
        <v>0</v>
      </c>
      <c r="AL9" s="321">
        <f t="shared" si="17"/>
        <v>0</v>
      </c>
      <c r="AM9" s="321">
        <f t="shared" si="18"/>
        <v>0</v>
      </c>
      <c r="AN9" s="321">
        <f t="shared" si="19"/>
        <v>0</v>
      </c>
      <c r="AO9" s="321">
        <f t="shared" si="20"/>
        <v>0</v>
      </c>
      <c r="AP9" s="321">
        <f t="shared" si="20"/>
        <v>0</v>
      </c>
      <c r="AQ9" s="321">
        <f t="shared" si="21"/>
        <v>0</v>
      </c>
      <c r="AR9" s="321">
        <f t="shared" si="22"/>
        <v>0</v>
      </c>
      <c r="AS9" s="321" t="str">
        <f t="shared" si="23"/>
        <v>X5</v>
      </c>
      <c r="AT9" s="321" t="str">
        <f t="shared" si="23"/>
        <v>X7</v>
      </c>
    </row>
    <row r="10" spans="1:46" x14ac:dyDescent="0.2">
      <c r="A10" s="316">
        <v>5</v>
      </c>
      <c r="B10" s="316" t="str">
        <f t="shared" si="0"/>
        <v>4#1</v>
      </c>
      <c r="C10" s="316" t="str">
        <f t="shared" si="1"/>
        <v>1#4</v>
      </c>
      <c r="D10" s="316">
        <f>VLOOKUP(J10,daten!$G$59:$L$94,5,FALSE)</f>
        <v>4</v>
      </c>
      <c r="E10" s="316">
        <f>VLOOKUP(J10,daten!$G$59:$L$94,6,FALSE)</f>
        <v>1</v>
      </c>
      <c r="F10" s="316">
        <f t="shared" si="2"/>
        <v>4</v>
      </c>
      <c r="G10" s="316" t="str">
        <f>VLOOKUP(J10,Tippabgabe!$DQ$40:$DW$75,6,FALSE)</f>
        <v/>
      </c>
      <c r="H10" s="316" t="str">
        <f>VLOOKUP(J10,Tippabgabe!$DQ$40:$DW$75,7,FALSE)</f>
        <v/>
      </c>
      <c r="I10" s="316" t="str">
        <f t="shared" si="3"/>
        <v/>
      </c>
      <c r="J10" s="316" t="str">
        <f>A4&amp;"-"&amp;A10</f>
        <v>A-5</v>
      </c>
      <c r="K10" s="321">
        <f t="shared" si="4"/>
        <v>0</v>
      </c>
      <c r="L10" s="321">
        <f t="shared" si="5"/>
        <v>0</v>
      </c>
      <c r="M10" s="321">
        <f t="shared" si="6"/>
        <v>0</v>
      </c>
      <c r="N10" s="321">
        <f t="shared" si="7"/>
        <v>0</v>
      </c>
      <c r="O10" s="321">
        <f t="shared" si="8"/>
        <v>0</v>
      </c>
      <c r="P10" s="321">
        <f t="shared" si="8"/>
        <v>0</v>
      </c>
      <c r="Q10" s="321">
        <f t="shared" si="9"/>
        <v>0</v>
      </c>
      <c r="R10" s="321">
        <f t="shared" si="10"/>
        <v>0</v>
      </c>
      <c r="S10" s="321" t="str">
        <f t="shared" si="11"/>
        <v>X4</v>
      </c>
      <c r="T10" s="321" t="str">
        <f t="shared" si="11"/>
        <v>X1</v>
      </c>
      <c r="AA10" s="316">
        <v>5</v>
      </c>
      <c r="AB10" s="316" t="str">
        <f t="shared" si="12"/>
        <v>6#7</v>
      </c>
      <c r="AC10" s="316" t="str">
        <f t="shared" si="13"/>
        <v>7#6</v>
      </c>
      <c r="AD10" s="316">
        <f>VLOOKUP(AJ10,daten!$G$59:$L$94,5,FALSE)</f>
        <v>6</v>
      </c>
      <c r="AE10" s="316">
        <f>VLOOKUP(AJ10,daten!$G$59:$L$94,6,FALSE)</f>
        <v>7</v>
      </c>
      <c r="AF10" s="316">
        <f t="shared" si="14"/>
        <v>6</v>
      </c>
      <c r="AG10" s="316" t="str">
        <f>VLOOKUP(AJ10,Tippabgabe!$DQ$40:$DW$75,6,FALSE)</f>
        <v/>
      </c>
      <c r="AH10" s="316" t="str">
        <f>VLOOKUP(AJ10,Tippabgabe!$DQ$40:$DW$75,7,FALSE)</f>
        <v/>
      </c>
      <c r="AI10" s="316" t="str">
        <f t="shared" si="15"/>
        <v/>
      </c>
      <c r="AJ10" s="316" t="str">
        <f>AA4&amp;"-"&amp;AA10</f>
        <v>B-5</v>
      </c>
      <c r="AK10" s="321">
        <f t="shared" si="16"/>
        <v>0</v>
      </c>
      <c r="AL10" s="321">
        <f t="shared" si="17"/>
        <v>0</v>
      </c>
      <c r="AM10" s="321">
        <f t="shared" si="18"/>
        <v>0</v>
      </c>
      <c r="AN10" s="321">
        <f t="shared" si="19"/>
        <v>0</v>
      </c>
      <c r="AO10" s="321">
        <f t="shared" si="20"/>
        <v>0</v>
      </c>
      <c r="AP10" s="321">
        <f t="shared" si="20"/>
        <v>0</v>
      </c>
      <c r="AQ10" s="321">
        <f t="shared" si="21"/>
        <v>0</v>
      </c>
      <c r="AR10" s="321">
        <f t="shared" si="22"/>
        <v>0</v>
      </c>
      <c r="AS10" s="321" t="str">
        <f t="shared" si="23"/>
        <v>X6</v>
      </c>
      <c r="AT10" s="321" t="str">
        <f t="shared" si="23"/>
        <v>X7</v>
      </c>
    </row>
    <row r="11" spans="1:46" x14ac:dyDescent="0.2">
      <c r="A11" s="316">
        <v>6</v>
      </c>
      <c r="B11" s="316" t="str">
        <f t="shared" si="0"/>
        <v>2#3</v>
      </c>
      <c r="C11" s="316" t="str">
        <f t="shared" si="1"/>
        <v>3#2</v>
      </c>
      <c r="D11" s="316">
        <f>VLOOKUP(J11,daten!$G$59:$L$94,5,FALSE)</f>
        <v>2</v>
      </c>
      <c r="E11" s="316">
        <f>VLOOKUP(J11,daten!$G$59:$L$94,6,FALSE)</f>
        <v>3</v>
      </c>
      <c r="F11" s="316">
        <f t="shared" si="2"/>
        <v>2</v>
      </c>
      <c r="G11" s="316" t="str">
        <f>VLOOKUP(J11,Tippabgabe!$DQ$40:$DW$75,6,FALSE)</f>
        <v/>
      </c>
      <c r="H11" s="316" t="str">
        <f>VLOOKUP(J11,Tippabgabe!$DQ$40:$DW$75,7,FALSE)</f>
        <v/>
      </c>
      <c r="I11" s="316" t="str">
        <f t="shared" si="3"/>
        <v/>
      </c>
      <c r="J11" s="316" t="str">
        <f>A4&amp;"-"&amp;A11</f>
        <v>A-6</v>
      </c>
      <c r="K11" s="321">
        <f t="shared" si="4"/>
        <v>0</v>
      </c>
      <c r="L11" s="321">
        <f t="shared" si="5"/>
        <v>0</v>
      </c>
      <c r="M11" s="321">
        <f t="shared" si="6"/>
        <v>0</v>
      </c>
      <c r="N11" s="321">
        <f t="shared" si="7"/>
        <v>0</v>
      </c>
      <c r="O11" s="321">
        <f t="shared" si="8"/>
        <v>0</v>
      </c>
      <c r="P11" s="321">
        <f t="shared" si="8"/>
        <v>0</v>
      </c>
      <c r="Q11" s="321">
        <f t="shared" si="9"/>
        <v>0</v>
      </c>
      <c r="R11" s="321">
        <f t="shared" si="10"/>
        <v>0</v>
      </c>
      <c r="S11" s="321" t="str">
        <f t="shared" si="11"/>
        <v>X2</v>
      </c>
      <c r="T11" s="321" t="str">
        <f t="shared" si="11"/>
        <v>X3</v>
      </c>
      <c r="AA11" s="316">
        <v>6</v>
      </c>
      <c r="AB11" s="316" t="str">
        <f t="shared" si="12"/>
        <v>8#5</v>
      </c>
      <c r="AC11" s="316" t="str">
        <f t="shared" si="13"/>
        <v>5#8</v>
      </c>
      <c r="AD11" s="316">
        <f>VLOOKUP(AJ11,daten!$G$59:$L$94,5,FALSE)</f>
        <v>8</v>
      </c>
      <c r="AE11" s="316">
        <f>VLOOKUP(AJ11,daten!$G$59:$L$94,6,FALSE)</f>
        <v>5</v>
      </c>
      <c r="AF11" s="316">
        <f t="shared" si="14"/>
        <v>8</v>
      </c>
      <c r="AG11" s="316" t="str">
        <f>VLOOKUP(AJ11,Tippabgabe!$DQ$40:$DW$75,6,FALSE)</f>
        <v/>
      </c>
      <c r="AH11" s="316" t="str">
        <f>VLOOKUP(AJ11,Tippabgabe!$DQ$40:$DW$75,7,FALSE)</f>
        <v/>
      </c>
      <c r="AI11" s="316" t="str">
        <f t="shared" si="15"/>
        <v/>
      </c>
      <c r="AJ11" s="316" t="str">
        <f>AA4&amp;"-"&amp;AA11</f>
        <v>B-6</v>
      </c>
      <c r="AK11" s="321">
        <f t="shared" si="16"/>
        <v>0</v>
      </c>
      <c r="AL11" s="321">
        <f t="shared" si="17"/>
        <v>0</v>
      </c>
      <c r="AM11" s="321">
        <f t="shared" si="18"/>
        <v>0</v>
      </c>
      <c r="AN11" s="321">
        <f t="shared" si="19"/>
        <v>0</v>
      </c>
      <c r="AO11" s="321">
        <f t="shared" si="20"/>
        <v>0</v>
      </c>
      <c r="AP11" s="321">
        <f t="shared" si="20"/>
        <v>0</v>
      </c>
      <c r="AQ11" s="321">
        <f t="shared" si="21"/>
        <v>0</v>
      </c>
      <c r="AR11" s="321">
        <f t="shared" si="22"/>
        <v>0</v>
      </c>
      <c r="AS11" s="321" t="str">
        <f t="shared" si="23"/>
        <v>X8</v>
      </c>
      <c r="AT11" s="321" t="str">
        <f t="shared" si="23"/>
        <v>X5</v>
      </c>
    </row>
    <row r="14" spans="1:46" x14ac:dyDescent="0.2">
      <c r="A14" s="321" t="s">
        <v>374</v>
      </c>
      <c r="C14" s="321" t="s">
        <v>988</v>
      </c>
      <c r="D14" s="321" t="s">
        <v>587</v>
      </c>
      <c r="E14" s="321" t="s">
        <v>989</v>
      </c>
      <c r="F14" s="321" t="s">
        <v>990</v>
      </c>
      <c r="G14" s="321" t="s">
        <v>991</v>
      </c>
      <c r="H14" s="321" t="s">
        <v>108</v>
      </c>
      <c r="I14" s="321" t="s">
        <v>992</v>
      </c>
      <c r="K14" s="321" t="s">
        <v>993</v>
      </c>
      <c r="M14" s="321" t="s">
        <v>994</v>
      </c>
      <c r="N14" s="321" t="s">
        <v>992</v>
      </c>
      <c r="AA14" s="321" t="s">
        <v>374</v>
      </c>
      <c r="AC14" s="321" t="s">
        <v>988</v>
      </c>
      <c r="AD14" s="321" t="s">
        <v>587</v>
      </c>
      <c r="AE14" s="321" t="s">
        <v>989</v>
      </c>
      <c r="AF14" s="321" t="s">
        <v>990</v>
      </c>
      <c r="AG14" s="321" t="s">
        <v>991</v>
      </c>
      <c r="AH14" s="321" t="s">
        <v>108</v>
      </c>
      <c r="AI14" s="321" t="s">
        <v>992</v>
      </c>
      <c r="AK14" s="321" t="s">
        <v>993</v>
      </c>
      <c r="AM14" s="321" t="s">
        <v>994</v>
      </c>
      <c r="AN14" s="321" t="s">
        <v>992</v>
      </c>
    </row>
    <row r="15" spans="1:46" x14ac:dyDescent="0.2">
      <c r="A15" s="321">
        <v>2</v>
      </c>
      <c r="C15" s="321">
        <v>1</v>
      </c>
      <c r="D15" s="321">
        <f>SUMIF($D$6:$E$11,"="&amp;C15,$K$6:$L$11)</f>
        <v>0</v>
      </c>
      <c r="E15" s="321">
        <f>SUMIF($D$6:$E$11,"="&amp;$C15,$G$6:$H$11)</f>
        <v>0</v>
      </c>
      <c r="F15" s="321">
        <f>E15-G15</f>
        <v>0</v>
      </c>
      <c r="G15" s="321">
        <f>SUMIF($D$6:$E$11,"="&amp;$C15,$G$6:$H$11)-SUMIF($D$6:$E$11,"="&amp;$C15,$H$6:$I$11)</f>
        <v>0</v>
      </c>
      <c r="H15" s="321" t="str">
        <f>INDEX(teams_k,C15)</f>
        <v>GER</v>
      </c>
      <c r="I15" s="321">
        <f>RANK(D15,$D$15:$D$18,1)</f>
        <v>1</v>
      </c>
      <c r="L15" s="321">
        <v>1</v>
      </c>
      <c r="M15" s="321">
        <v>1</v>
      </c>
      <c r="N15" s="321">
        <f>RANK(M15,$M$15:$M$18)</f>
        <v>1</v>
      </c>
      <c r="AA15" s="321">
        <v>2</v>
      </c>
      <c r="AC15" s="321">
        <v>5</v>
      </c>
      <c r="AD15" s="321">
        <f>SUMIF($AD$6:$AE$11,"="&amp;AC15,$AK$6:$AL$11)</f>
        <v>0</v>
      </c>
      <c r="AE15" s="321">
        <f>SUMIF($AD$6:$AE$11,"="&amp;$AC15,$AG$6:$AH$11)</f>
        <v>0</v>
      </c>
      <c r="AF15" s="321">
        <f>AE15-AG15</f>
        <v>0</v>
      </c>
      <c r="AG15" s="321">
        <f>SUMIF($AD$6:$AE$11,"="&amp;$AC15,$AG$6:$AH$11)-SUMIF($AD$6:$AE$11,"="&amp;$AC15,$AH$6:$AI$11)</f>
        <v>0</v>
      </c>
      <c r="AH15" s="321" t="str">
        <f>INDEX(teams_k,AC15)</f>
        <v>ESP</v>
      </c>
      <c r="AI15" s="321">
        <f>RANK(AD15,$AD$15:$AD$18,1)</f>
        <v>1</v>
      </c>
      <c r="AL15" s="321">
        <v>1</v>
      </c>
      <c r="AM15" s="321">
        <v>1</v>
      </c>
      <c r="AN15" s="321">
        <f>RANK(AM15,$AM$15:$AM$18)</f>
        <v>1</v>
      </c>
    </row>
    <row r="16" spans="1:46" x14ac:dyDescent="0.2">
      <c r="C16" s="321">
        <v>2</v>
      </c>
      <c r="D16" s="321">
        <f>SUMIF($D$6:$E$11,"="&amp;C16,$K$6:$L$11)</f>
        <v>0</v>
      </c>
      <c r="E16" s="321">
        <f>SUMIF($D$6:$E$11,"="&amp;$C16,$G$6:$H$11)</f>
        <v>0</v>
      </c>
      <c r="F16" s="321">
        <f>E16-G16</f>
        <v>0</v>
      </c>
      <c r="G16" s="321">
        <f>SUMIF($D$6:$E$11,"="&amp;$C16,$G$6:$H$11)-SUMIF($D$6:$E$11,"="&amp;$C16,$H$6:$I$11)</f>
        <v>0</v>
      </c>
      <c r="H16" s="321" t="str">
        <f>INDEX(teams_k,C16)</f>
        <v>SCO</v>
      </c>
      <c r="I16" s="321">
        <f>RANK(D16,$D$15:$D$18,1)</f>
        <v>1</v>
      </c>
      <c r="L16" s="321">
        <v>2</v>
      </c>
      <c r="M16" s="321">
        <v>1</v>
      </c>
      <c r="N16" s="321">
        <f>RANK(M16,$M$15:$M$18)</f>
        <v>1</v>
      </c>
      <c r="AC16" s="321">
        <v>6</v>
      </c>
      <c r="AD16" s="321">
        <f>SUMIF($AD$6:$AE$11,"="&amp;AC16,$AK$6:$AL$11)</f>
        <v>0</v>
      </c>
      <c r="AE16" s="321">
        <f>SUMIF($AD$6:$AE$11,"="&amp;$AC16,$AG$6:$AH$11)</f>
        <v>0</v>
      </c>
      <c r="AF16" s="321">
        <f>AE16-AG16</f>
        <v>0</v>
      </c>
      <c r="AG16" s="321">
        <f>SUMIF($AD$6:$AE$11,"="&amp;$AC16,$AG$6:$AH$11)-SUMIF($AD$6:$AE$11,"="&amp;$AC16,$AH$6:$AI$11)</f>
        <v>0</v>
      </c>
      <c r="AH16" s="321" t="str">
        <f>INDEX(teams_k,AC16)</f>
        <v>CRO</v>
      </c>
      <c r="AI16" s="321">
        <f>RANK(AD16,$AD$15:$AD$18,1)</f>
        <v>1</v>
      </c>
      <c r="AL16" s="321">
        <v>2</v>
      </c>
      <c r="AM16" s="321">
        <v>1</v>
      </c>
      <c r="AN16" s="321">
        <f>RANK(AM16,$AM$15:$AM$18)</f>
        <v>1</v>
      </c>
    </row>
    <row r="17" spans="2:40" x14ac:dyDescent="0.2">
      <c r="C17" s="321">
        <v>3</v>
      </c>
      <c r="D17" s="321">
        <f>SUMIF($D$6:$E$11,"="&amp;C17,$K$6:$L$11)</f>
        <v>0</v>
      </c>
      <c r="E17" s="321">
        <f>SUMIF($D$6:$E$11,"="&amp;$C17,$G$6:$H$11)</f>
        <v>0</v>
      </c>
      <c r="F17" s="321">
        <f>E17-G17</f>
        <v>0</v>
      </c>
      <c r="G17" s="321">
        <f>SUMIF($D$6:$E$11,"="&amp;$C17,$G$6:$H$11)-SUMIF($D$6:$E$11,"="&amp;$C17,$H$6:$I$11)</f>
        <v>0</v>
      </c>
      <c r="H17" s="321" t="str">
        <f>INDEX(teams_k,C17)</f>
        <v>HUN</v>
      </c>
      <c r="I17" s="321">
        <f>RANK(D17,$D$15:$D$18,1)</f>
        <v>1</v>
      </c>
      <c r="L17" s="321">
        <v>3</v>
      </c>
      <c r="M17" s="321">
        <v>1</v>
      </c>
      <c r="N17" s="321">
        <f>RANK(M17,$M$15:$M$18)</f>
        <v>1</v>
      </c>
      <c r="AC17" s="321">
        <v>7</v>
      </c>
      <c r="AD17" s="321">
        <f>SUMIF($AD$6:$AE$11,"="&amp;AC17,$AK$6:$AL$11)</f>
        <v>0</v>
      </c>
      <c r="AE17" s="321">
        <f>SUMIF($AD$6:$AE$11,"="&amp;$AC17,$AG$6:$AH$11)</f>
        <v>0</v>
      </c>
      <c r="AF17" s="321">
        <f>AE17-AG17</f>
        <v>0</v>
      </c>
      <c r="AG17" s="321">
        <f>SUMIF($AD$6:$AE$11,"="&amp;$AC17,$AG$6:$AH$11)-SUMIF($AD$6:$AE$11,"="&amp;$AC17,$AH$6:$AI$11)</f>
        <v>0</v>
      </c>
      <c r="AH17" s="321" t="str">
        <f>INDEX(teams_k,AC17)</f>
        <v>ITA</v>
      </c>
      <c r="AI17" s="321">
        <f>RANK(AD17,$AD$15:$AD$18,1)</f>
        <v>1</v>
      </c>
      <c r="AL17" s="321">
        <v>3</v>
      </c>
      <c r="AM17" s="321">
        <v>1</v>
      </c>
      <c r="AN17" s="321">
        <f>RANK(AM17,$AM$15:$AM$18)</f>
        <v>1</v>
      </c>
    </row>
    <row r="18" spans="2:40" x14ac:dyDescent="0.2">
      <c r="C18" s="321">
        <v>4</v>
      </c>
      <c r="D18" s="321">
        <f>SUMIF($D$6:$E$11,"="&amp;C18,$K$6:$L$11)</f>
        <v>0</v>
      </c>
      <c r="E18" s="321">
        <f>SUMIF($D$6:$E$11,"="&amp;$C18,$G$6:$H$11)</f>
        <v>0</v>
      </c>
      <c r="F18" s="321">
        <f>E18-G18</f>
        <v>0</v>
      </c>
      <c r="G18" s="321">
        <f>SUMIF($D$6:$E$11,"="&amp;$C18,$G$6:$H$11)-SUMIF($D$6:$E$11,"="&amp;$C18,$H$6:$I$11)</f>
        <v>0</v>
      </c>
      <c r="H18" s="321" t="str">
        <f>INDEX(teams_k,C18)</f>
        <v>SUI</v>
      </c>
      <c r="I18" s="321">
        <f>RANK(D18,$D$15:$D$18,1)</f>
        <v>1</v>
      </c>
      <c r="L18" s="321">
        <v>4</v>
      </c>
      <c r="M18" s="321">
        <v>1</v>
      </c>
      <c r="N18" s="321">
        <f>RANK(M18,$M$15:$M$18)</f>
        <v>1</v>
      </c>
      <c r="AC18" s="321">
        <v>8</v>
      </c>
      <c r="AD18" s="321">
        <f>SUMIF($AD$6:$AE$11,"="&amp;AC18,$AK$6:$AL$11)</f>
        <v>0</v>
      </c>
      <c r="AE18" s="321">
        <f>SUMIF($AD$6:$AE$11,"="&amp;$AC18,$AG$6:$AH$11)</f>
        <v>0</v>
      </c>
      <c r="AF18" s="321">
        <f>AE18-AG18</f>
        <v>0</v>
      </c>
      <c r="AG18" s="321">
        <f>SUMIF($AD$6:$AE$11,"="&amp;$AC18,$AG$6:$AH$11)-SUMIF($AD$6:$AE$11,"="&amp;$AC18,$AH$6:$AI$11)</f>
        <v>0</v>
      </c>
      <c r="AH18" s="321" t="str">
        <f>INDEX(teams_k,AC18)</f>
        <v>ALB</v>
      </c>
      <c r="AI18" s="321">
        <f>RANK(AD18,$AD$15:$AD$18,1)</f>
        <v>1</v>
      </c>
      <c r="AL18" s="321">
        <v>4</v>
      </c>
      <c r="AM18" s="321">
        <v>1</v>
      </c>
      <c r="AN18" s="321">
        <f>RANK(AM18,$AM$15:$AM$18)</f>
        <v>1</v>
      </c>
    </row>
    <row r="20" spans="2:40" x14ac:dyDescent="0.2">
      <c r="B20" s="321" t="s">
        <v>995</v>
      </c>
      <c r="D20" s="321">
        <f>B22</f>
        <v>1</v>
      </c>
      <c r="E20" s="321">
        <f>B23</f>
        <v>2</v>
      </c>
      <c r="F20" s="321">
        <f>B24</f>
        <v>3</v>
      </c>
      <c r="G20" s="321">
        <f>B25</f>
        <v>4</v>
      </c>
      <c r="AB20" s="321" t="s">
        <v>995</v>
      </c>
      <c r="AD20" s="321">
        <f>AB22</f>
        <v>5</v>
      </c>
      <c r="AE20" s="321">
        <f>AB23</f>
        <v>6</v>
      </c>
      <c r="AF20" s="321">
        <f>AB24</f>
        <v>7</v>
      </c>
      <c r="AG20" s="321">
        <f>AB25</f>
        <v>8</v>
      </c>
    </row>
    <row r="21" spans="2:40" x14ac:dyDescent="0.2">
      <c r="B21" s="321" t="s">
        <v>996</v>
      </c>
      <c r="C21" s="321" t="s">
        <v>975</v>
      </c>
      <c r="D21" s="321">
        <f>C22</f>
        <v>1</v>
      </c>
      <c r="E21" s="321">
        <f>C23</f>
        <v>2</v>
      </c>
      <c r="F21" s="321">
        <f>C24</f>
        <v>3</v>
      </c>
      <c r="G21" s="321">
        <f>C25</f>
        <v>4</v>
      </c>
      <c r="I21" s="321" t="s">
        <v>997</v>
      </c>
      <c r="AB21" s="321" t="s">
        <v>996</v>
      </c>
      <c r="AC21" s="321" t="s">
        <v>975</v>
      </c>
      <c r="AD21" s="321">
        <f>AC22</f>
        <v>1</v>
      </c>
      <c r="AE21" s="321">
        <f>AC23</f>
        <v>2</v>
      </c>
      <c r="AF21" s="321">
        <f>AC24</f>
        <v>3</v>
      </c>
      <c r="AG21" s="321">
        <f>AC25</f>
        <v>4</v>
      </c>
      <c r="AI21" s="321" t="s">
        <v>997</v>
      </c>
    </row>
    <row r="22" spans="2:40" x14ac:dyDescent="0.2">
      <c r="B22" s="321">
        <f>INDEX($C$15:$C$18,C22)</f>
        <v>1</v>
      </c>
      <c r="C22" s="321">
        <v>1</v>
      </c>
      <c r="D22" s="321">
        <f t="shared" ref="D22:G25" si="24">IF(INDEX($I$15:$I$18,$C22)&lt;&gt;INDEX($I$15:$I$18,D$21),0,SUMIF($B$6:$C$11,"="&amp;$B22&amp;"#"&amp;D$20,$O$6:$P$11))</f>
        <v>0</v>
      </c>
      <c r="E22" s="321">
        <f t="shared" si="24"/>
        <v>0</v>
      </c>
      <c r="F22" s="321">
        <f t="shared" si="24"/>
        <v>0</v>
      </c>
      <c r="G22" s="321">
        <f t="shared" si="24"/>
        <v>0</v>
      </c>
      <c r="H22" s="321">
        <f>SUM(D22:G22)</f>
        <v>0</v>
      </c>
      <c r="I22" s="321">
        <f>RANK(H22,$H$22:$H$25,1)</f>
        <v>1</v>
      </c>
      <c r="AB22" s="321">
        <f>INDEX($AC$15:$AC$18,AC22)</f>
        <v>5</v>
      </c>
      <c r="AC22" s="321">
        <v>1</v>
      </c>
      <c r="AD22" s="321">
        <f t="shared" ref="AD22:AG25" si="25">IF(INDEX($AI$15:$AI$18,$AC22)&lt;&gt;INDEX($AI$15:$AI$18,AD$21),0,SUMIF($AB$6:$AC$11,"="&amp;$AB22&amp;"#"&amp;AD$20,$AO$6:$AP$11))</f>
        <v>0</v>
      </c>
      <c r="AE22" s="321">
        <f t="shared" si="25"/>
        <v>0</v>
      </c>
      <c r="AF22" s="321">
        <f t="shared" si="25"/>
        <v>0</v>
      </c>
      <c r="AG22" s="321">
        <f t="shared" si="25"/>
        <v>0</v>
      </c>
      <c r="AH22" s="321">
        <f>SUM(AD22:AG22)</f>
        <v>0</v>
      </c>
      <c r="AI22" s="321">
        <f>RANK(AH22,$AH$22:$AH$25,1)</f>
        <v>1</v>
      </c>
    </row>
    <row r="23" spans="2:40" x14ac:dyDescent="0.2">
      <c r="B23" s="321">
        <f>INDEX($C$15:$C$18,C23)</f>
        <v>2</v>
      </c>
      <c r="C23" s="321">
        <v>2</v>
      </c>
      <c r="D23" s="321">
        <f t="shared" si="24"/>
        <v>0</v>
      </c>
      <c r="E23" s="321">
        <f t="shared" si="24"/>
        <v>0</v>
      </c>
      <c r="F23" s="321">
        <f t="shared" si="24"/>
        <v>0</v>
      </c>
      <c r="G23" s="321">
        <f t="shared" si="24"/>
        <v>0</v>
      </c>
      <c r="H23" s="321">
        <f>SUM(D23:G23)</f>
        <v>0</v>
      </c>
      <c r="I23" s="321">
        <f>RANK(H23,$H$22:$H$25,1)</f>
        <v>1</v>
      </c>
      <c r="AB23" s="321">
        <f>INDEX($AC$15:$AC$18,AC23)</f>
        <v>6</v>
      </c>
      <c r="AC23" s="321">
        <v>2</v>
      </c>
      <c r="AD23" s="321">
        <f t="shared" si="25"/>
        <v>0</v>
      </c>
      <c r="AE23" s="321">
        <f t="shared" si="25"/>
        <v>0</v>
      </c>
      <c r="AF23" s="321">
        <f t="shared" si="25"/>
        <v>0</v>
      </c>
      <c r="AG23" s="321">
        <f t="shared" si="25"/>
        <v>0</v>
      </c>
      <c r="AH23" s="321">
        <f>SUM(AD23:AG23)</f>
        <v>0</v>
      </c>
      <c r="AI23" s="321">
        <f>RANK(AH23,$AH$22:$AH$25,1)</f>
        <v>1</v>
      </c>
    </row>
    <row r="24" spans="2:40" x14ac:dyDescent="0.2">
      <c r="B24" s="321">
        <f>INDEX($C$15:$C$18,C24)</f>
        <v>3</v>
      </c>
      <c r="C24" s="321">
        <v>3</v>
      </c>
      <c r="D24" s="321">
        <f t="shared" si="24"/>
        <v>0</v>
      </c>
      <c r="E24" s="321">
        <f t="shared" si="24"/>
        <v>0</v>
      </c>
      <c r="F24" s="321">
        <f t="shared" si="24"/>
        <v>0</v>
      </c>
      <c r="G24" s="321">
        <f t="shared" si="24"/>
        <v>0</v>
      </c>
      <c r="H24" s="321">
        <f>SUM(D24:G24)</f>
        <v>0</v>
      </c>
      <c r="I24" s="321">
        <f>RANK(H24,$H$22:$H$25,1)</f>
        <v>1</v>
      </c>
      <c r="AB24" s="321">
        <f>INDEX($AC$15:$AC$18,AC24)</f>
        <v>7</v>
      </c>
      <c r="AC24" s="321">
        <v>3</v>
      </c>
      <c r="AD24" s="321">
        <f t="shared" si="25"/>
        <v>0</v>
      </c>
      <c r="AE24" s="321">
        <f t="shared" si="25"/>
        <v>0</v>
      </c>
      <c r="AF24" s="321">
        <f t="shared" si="25"/>
        <v>0</v>
      </c>
      <c r="AG24" s="321">
        <f t="shared" si="25"/>
        <v>0</v>
      </c>
      <c r="AH24" s="321">
        <f>SUM(AD24:AG24)</f>
        <v>0</v>
      </c>
      <c r="AI24" s="321">
        <f>RANK(AH24,$AH$22:$AH$25,1)</f>
        <v>1</v>
      </c>
    </row>
    <row r="25" spans="2:40" x14ac:dyDescent="0.2">
      <c r="B25" s="321">
        <f>INDEX($C$15:$C$18,C25)</f>
        <v>4</v>
      </c>
      <c r="C25" s="321">
        <v>4</v>
      </c>
      <c r="D25" s="321">
        <f t="shared" si="24"/>
        <v>0</v>
      </c>
      <c r="E25" s="321">
        <f t="shared" si="24"/>
        <v>0</v>
      </c>
      <c r="F25" s="321">
        <f t="shared" si="24"/>
        <v>0</v>
      </c>
      <c r="G25" s="321">
        <f t="shared" si="24"/>
        <v>0</v>
      </c>
      <c r="H25" s="321">
        <f>SUM(D25:G25)</f>
        <v>0</v>
      </c>
      <c r="I25" s="321">
        <f>RANK(H25,$H$22:$H$25,1)</f>
        <v>1</v>
      </c>
      <c r="AB25" s="321">
        <f>INDEX($AC$15:$AC$18,AC25)</f>
        <v>8</v>
      </c>
      <c r="AC25" s="321">
        <v>4</v>
      </c>
      <c r="AD25" s="321">
        <f t="shared" si="25"/>
        <v>0</v>
      </c>
      <c r="AE25" s="321">
        <f t="shared" si="25"/>
        <v>0</v>
      </c>
      <c r="AF25" s="321">
        <f t="shared" si="25"/>
        <v>0</v>
      </c>
      <c r="AG25" s="321">
        <f t="shared" si="25"/>
        <v>0</v>
      </c>
      <c r="AH25" s="321">
        <f>SUM(AD25:AG25)</f>
        <v>0</v>
      </c>
      <c r="AI25" s="321">
        <f>RANK(AH25,$AH$22:$AH$25,1)</f>
        <v>1</v>
      </c>
    </row>
    <row r="27" spans="2:40" x14ac:dyDescent="0.2">
      <c r="B27" s="321" t="s">
        <v>998</v>
      </c>
      <c r="C27" s="321" t="s">
        <v>975</v>
      </c>
      <c r="D27" s="321">
        <f>C28</f>
        <v>1</v>
      </c>
      <c r="E27" s="321">
        <f>C29</f>
        <v>2</v>
      </c>
      <c r="F27" s="321">
        <f>C30</f>
        <v>3</v>
      </c>
      <c r="G27" s="321">
        <f>C31</f>
        <v>4</v>
      </c>
      <c r="I27" s="321" t="s">
        <v>997</v>
      </c>
      <c r="AB27" s="321" t="s">
        <v>998</v>
      </c>
      <c r="AC27" s="321" t="s">
        <v>975</v>
      </c>
      <c r="AD27" s="321">
        <f>AC28</f>
        <v>1</v>
      </c>
      <c r="AE27" s="321">
        <f>AC29</f>
        <v>2</v>
      </c>
      <c r="AF27" s="321">
        <f>AC30</f>
        <v>3</v>
      </c>
      <c r="AG27" s="321">
        <f>AC31</f>
        <v>4</v>
      </c>
      <c r="AI27" s="321" t="s">
        <v>997</v>
      </c>
    </row>
    <row r="28" spans="2:40" x14ac:dyDescent="0.2">
      <c r="B28" s="321">
        <f>B22</f>
        <v>1</v>
      </c>
      <c r="C28" s="321">
        <v>1</v>
      </c>
      <c r="D28" s="321">
        <f t="shared" ref="D28:G31" si="26">IF(D22=0,0,IF(INDEX($I$22:$I$25,$C22)&lt;&gt;INDEX($I$22:$I$25,D$21),0,SUMIF($B$6:$C$11,"="&amp;$B22&amp;"#"&amp;D$20,$K$6:$L$11)*1000+SUMIF($B$6:$C$11,"="&amp;$B22&amp;"#"&amp;D$20,$M$6:$N$11)+SUMIF($B$6:$C$11,"="&amp;$B22&amp;"#"&amp;D$20,$G$6:$H$11)/1000))</f>
        <v>0</v>
      </c>
      <c r="E28" s="321">
        <f t="shared" si="26"/>
        <v>0</v>
      </c>
      <c r="F28" s="321">
        <f t="shared" si="26"/>
        <v>0</v>
      </c>
      <c r="G28" s="321">
        <f t="shared" si="26"/>
        <v>0</v>
      </c>
      <c r="H28" s="321">
        <f>SUM(D28:G28)</f>
        <v>0</v>
      </c>
      <c r="I28" s="321">
        <f>RANK(H28,$H$28:$H$31,1)</f>
        <v>1</v>
      </c>
      <c r="AB28" s="321">
        <f>AB22</f>
        <v>5</v>
      </c>
      <c r="AC28" s="321">
        <v>1</v>
      </c>
      <c r="AD28" s="321">
        <f t="shared" ref="AD28:AG31" si="27">IF(AD22=0,0,IF(INDEX($AI$22:$AI$25,$AC22)&lt;&gt;INDEX($AI$22:$AI$25,AD$21),0,SUMIF($AB$6:$AC$11,"="&amp;$AB22&amp;"#"&amp;AD$20,$AK$6:$AL$11)*1000+SUMIF($AB$6:$AC$11,"="&amp;$AB22&amp;"#"&amp;AD$20,$AM$6:$AN$11)+SUMIF($AB$6:$AC$11,"="&amp;$AB22&amp;"#"&amp;AD$20,$AG$6:$AH$11)/1000))</f>
        <v>0</v>
      </c>
      <c r="AE28" s="321">
        <f t="shared" si="27"/>
        <v>0</v>
      </c>
      <c r="AF28" s="321">
        <f t="shared" si="27"/>
        <v>0</v>
      </c>
      <c r="AG28" s="321">
        <f t="shared" si="27"/>
        <v>0</v>
      </c>
      <c r="AH28" s="321">
        <f>SUM(AD28:AG28)</f>
        <v>0</v>
      </c>
      <c r="AI28" s="321">
        <f>RANK(AH28,$AH$28:$AH$31,1)</f>
        <v>1</v>
      </c>
    </row>
    <row r="29" spans="2:40" x14ac:dyDescent="0.2">
      <c r="B29" s="321">
        <f>B23</f>
        <v>2</v>
      </c>
      <c r="C29" s="321">
        <v>2</v>
      </c>
      <c r="D29" s="321">
        <f t="shared" si="26"/>
        <v>0</v>
      </c>
      <c r="E29" s="321">
        <f t="shared" si="26"/>
        <v>0</v>
      </c>
      <c r="F29" s="321">
        <f t="shared" si="26"/>
        <v>0</v>
      </c>
      <c r="G29" s="321">
        <f t="shared" si="26"/>
        <v>0</v>
      </c>
      <c r="H29" s="321">
        <f>SUM(D29:G29)</f>
        <v>0</v>
      </c>
      <c r="I29" s="321">
        <f>RANK(H29,$H$28:$H$31,1)</f>
        <v>1</v>
      </c>
      <c r="AB29" s="321">
        <f>AB23</f>
        <v>6</v>
      </c>
      <c r="AC29" s="321">
        <v>2</v>
      </c>
      <c r="AD29" s="321">
        <f t="shared" si="27"/>
        <v>0</v>
      </c>
      <c r="AE29" s="321">
        <f t="shared" si="27"/>
        <v>0</v>
      </c>
      <c r="AF29" s="321">
        <f t="shared" si="27"/>
        <v>0</v>
      </c>
      <c r="AG29" s="321">
        <f t="shared" si="27"/>
        <v>0</v>
      </c>
      <c r="AH29" s="321">
        <f>SUM(AD29:AG29)</f>
        <v>0</v>
      </c>
      <c r="AI29" s="321">
        <f>RANK(AH29,$AH$28:$AH$31,1)</f>
        <v>1</v>
      </c>
    </row>
    <row r="30" spans="2:40" x14ac:dyDescent="0.2">
      <c r="B30" s="321">
        <f>B24</f>
        <v>3</v>
      </c>
      <c r="C30" s="321">
        <v>3</v>
      </c>
      <c r="D30" s="321">
        <f t="shared" si="26"/>
        <v>0</v>
      </c>
      <c r="E30" s="321">
        <f t="shared" si="26"/>
        <v>0</v>
      </c>
      <c r="F30" s="321">
        <f t="shared" si="26"/>
        <v>0</v>
      </c>
      <c r="G30" s="321">
        <f t="shared" si="26"/>
        <v>0</v>
      </c>
      <c r="H30" s="321">
        <f>SUM(D30:G30)</f>
        <v>0</v>
      </c>
      <c r="I30" s="321">
        <f>RANK(H30,$H$28:$H$31,1)</f>
        <v>1</v>
      </c>
      <c r="AB30" s="321">
        <f>AB24</f>
        <v>7</v>
      </c>
      <c r="AC30" s="321">
        <v>3</v>
      </c>
      <c r="AD30" s="321">
        <f t="shared" si="27"/>
        <v>0</v>
      </c>
      <c r="AE30" s="321">
        <f t="shared" si="27"/>
        <v>0</v>
      </c>
      <c r="AF30" s="321">
        <f t="shared" si="27"/>
        <v>0</v>
      </c>
      <c r="AG30" s="321">
        <f t="shared" si="27"/>
        <v>0</v>
      </c>
      <c r="AH30" s="321">
        <f>SUM(AD30:AG30)</f>
        <v>0</v>
      </c>
      <c r="AI30" s="321">
        <f>RANK(AH30,$AH$28:$AH$31,1)</f>
        <v>1</v>
      </c>
    </row>
    <row r="31" spans="2:40" x14ac:dyDescent="0.2">
      <c r="B31" s="321">
        <f>B25</f>
        <v>4</v>
      </c>
      <c r="C31" s="321">
        <v>4</v>
      </c>
      <c r="D31" s="321">
        <f t="shared" si="26"/>
        <v>0</v>
      </c>
      <c r="E31" s="321">
        <f t="shared" si="26"/>
        <v>0</v>
      </c>
      <c r="F31" s="321">
        <f t="shared" si="26"/>
        <v>0</v>
      </c>
      <c r="G31" s="321">
        <f t="shared" si="26"/>
        <v>0</v>
      </c>
      <c r="H31" s="321">
        <f>SUM(D31:G31)</f>
        <v>0</v>
      </c>
      <c r="I31" s="321">
        <f>RANK(H31,$H$28:$H$31,1)</f>
        <v>1</v>
      </c>
      <c r="AB31" s="321">
        <f>AB25</f>
        <v>8</v>
      </c>
      <c r="AC31" s="321">
        <v>4</v>
      </c>
      <c r="AD31" s="321">
        <f t="shared" si="27"/>
        <v>0</v>
      </c>
      <c r="AE31" s="321">
        <f t="shared" si="27"/>
        <v>0</v>
      </c>
      <c r="AF31" s="321">
        <f t="shared" si="27"/>
        <v>0</v>
      </c>
      <c r="AG31" s="321">
        <f t="shared" si="27"/>
        <v>0</v>
      </c>
      <c r="AH31" s="321">
        <f>SUM(AD31:AG31)</f>
        <v>0</v>
      </c>
      <c r="AI31" s="321">
        <f>RANK(AH31,$AH$28:$AH$31,1)</f>
        <v>1</v>
      </c>
    </row>
    <row r="33" spans="2:40" x14ac:dyDescent="0.2">
      <c r="C33" s="321" t="s">
        <v>975</v>
      </c>
      <c r="D33" s="321" t="s">
        <v>992</v>
      </c>
      <c r="H33" s="321" t="s">
        <v>992</v>
      </c>
      <c r="AC33" s="321" t="s">
        <v>975</v>
      </c>
      <c r="AD33" s="321" t="s">
        <v>992</v>
      </c>
      <c r="AH33" s="321" t="s">
        <v>992</v>
      </c>
    </row>
    <row r="34" spans="2:40" x14ac:dyDescent="0.2">
      <c r="B34" s="321" t="s">
        <v>999</v>
      </c>
      <c r="C34" s="321">
        <v>1</v>
      </c>
      <c r="D34" s="321">
        <f>RANK(G15,$G$15:$G$18,1)</f>
        <v>1</v>
      </c>
      <c r="F34" s="321" t="s">
        <v>585</v>
      </c>
      <c r="G34" s="321">
        <v>1</v>
      </c>
      <c r="H34" s="321">
        <f>RANK(E15,$E$15:$E$18,1)</f>
        <v>1</v>
      </c>
      <c r="AB34" s="321" t="s">
        <v>999</v>
      </c>
      <c r="AC34" s="321">
        <v>1</v>
      </c>
      <c r="AD34" s="321">
        <f>RANK(AG15,$AG$15:$AG$18,1)</f>
        <v>1</v>
      </c>
      <c r="AF34" s="321" t="s">
        <v>585</v>
      </c>
      <c r="AG34" s="321">
        <v>1</v>
      </c>
      <c r="AH34" s="321">
        <f>RANK(AE15,$AE$15:$AE$18,1)</f>
        <v>1</v>
      </c>
    </row>
    <row r="35" spans="2:40" x14ac:dyDescent="0.2">
      <c r="C35" s="321">
        <v>2</v>
      </c>
      <c r="D35" s="321">
        <f>RANK(G16,$G$15:$G$18,1)</f>
        <v>1</v>
      </c>
      <c r="G35" s="321">
        <v>2</v>
      </c>
      <c r="H35" s="321">
        <f>RANK(E16,$E$15:$E$18,1)</f>
        <v>1</v>
      </c>
      <c r="AC35" s="321">
        <v>2</v>
      </c>
      <c r="AD35" s="321">
        <f>RANK(AG16,$AG$15:$AG$18,1)</f>
        <v>1</v>
      </c>
      <c r="AG35" s="321">
        <v>2</v>
      </c>
      <c r="AH35" s="321">
        <f>RANK(AE16,$AE$15:$AE$18,1)</f>
        <v>1</v>
      </c>
    </row>
    <row r="36" spans="2:40" x14ac:dyDescent="0.2">
      <c r="C36" s="321">
        <v>3</v>
      </c>
      <c r="D36" s="321">
        <f>RANK(G17,$G$15:$G$18,1)</f>
        <v>1</v>
      </c>
      <c r="G36" s="321">
        <v>3</v>
      </c>
      <c r="H36" s="321">
        <f>RANK(E17,$E$15:$E$18,1)</f>
        <v>1</v>
      </c>
      <c r="AC36" s="321">
        <v>3</v>
      </c>
      <c r="AD36" s="321">
        <f>RANK(AG17,$AG$15:$AG$18,1)</f>
        <v>1</v>
      </c>
      <c r="AG36" s="321">
        <v>3</v>
      </c>
      <c r="AH36" s="321">
        <f>RANK(AE17,$AE$15:$AE$18,1)</f>
        <v>1</v>
      </c>
    </row>
    <row r="37" spans="2:40" x14ac:dyDescent="0.2">
      <c r="C37" s="321">
        <v>4</v>
      </c>
      <c r="D37" s="321">
        <f>RANK(G18,$G$15:$G$18,1)</f>
        <v>1</v>
      </c>
      <c r="G37" s="321">
        <v>4</v>
      </c>
      <c r="H37" s="321">
        <f>RANK(E18,$E$15:$E$18,1)</f>
        <v>1</v>
      </c>
      <c r="AC37" s="321">
        <v>4</v>
      </c>
      <c r="AD37" s="321">
        <f>RANK(AG18,$AG$15:$AG$18,1)</f>
        <v>1</v>
      </c>
      <c r="AG37" s="321">
        <v>4</v>
      </c>
      <c r="AH37" s="321">
        <f>RANK(AE18,$AE$15:$AE$18,1)</f>
        <v>1</v>
      </c>
    </row>
    <row r="39" spans="2:40" x14ac:dyDescent="0.2">
      <c r="I39" s="321" t="s">
        <v>374</v>
      </c>
      <c r="AI39" s="321" t="s">
        <v>374</v>
      </c>
    </row>
    <row r="40" spans="2:40" x14ac:dyDescent="0.2">
      <c r="C40" s="321" t="s">
        <v>975</v>
      </c>
      <c r="E40" s="321" t="s">
        <v>992</v>
      </c>
      <c r="F40" s="321" t="s">
        <v>994</v>
      </c>
      <c r="H40" s="321" t="s">
        <v>1000</v>
      </c>
      <c r="I40" s="321">
        <v>1</v>
      </c>
      <c r="J40" s="321">
        <v>2</v>
      </c>
      <c r="K40" s="321" t="s">
        <v>1001</v>
      </c>
      <c r="M40" s="321" t="s">
        <v>1002</v>
      </c>
      <c r="AC40" s="321" t="s">
        <v>975</v>
      </c>
      <c r="AE40" s="321" t="s">
        <v>992</v>
      </c>
      <c r="AF40" s="321" t="s">
        <v>994</v>
      </c>
      <c r="AH40" s="321" t="s">
        <v>1000</v>
      </c>
      <c r="AI40" s="321">
        <v>1</v>
      </c>
      <c r="AJ40" s="321">
        <v>2</v>
      </c>
      <c r="AK40" s="321" t="s">
        <v>1001</v>
      </c>
      <c r="AM40" s="321" t="s">
        <v>1002</v>
      </c>
    </row>
    <row r="41" spans="2:40" x14ac:dyDescent="0.2">
      <c r="B41" s="321" t="s">
        <v>1003</v>
      </c>
      <c r="C41" s="321">
        <v>1</v>
      </c>
      <c r="D41" s="321">
        <f>I15*$K$41+I22*$K$42+I28*$K$43+D34*$K$44+H34*$K$45</f>
        <v>1010101.01</v>
      </c>
      <c r="E41" s="321">
        <f>RANK(D41,$D$41:$D$44,1)</f>
        <v>1</v>
      </c>
      <c r="F41" s="321">
        <f>RANK(D41,$D$41:$D$44)</f>
        <v>1</v>
      </c>
      <c r="H41" s="321" t="s">
        <v>974</v>
      </c>
      <c r="I41" s="321">
        <v>1</v>
      </c>
      <c r="J41" s="321">
        <v>1</v>
      </c>
      <c r="K41" s="321">
        <f>INDEX($N$41:$N$45,INDEX(I41:J41,$A$15))</f>
        <v>1000000</v>
      </c>
      <c r="M41" s="321">
        <v>1</v>
      </c>
      <c r="N41" s="321">
        <v>1000000</v>
      </c>
      <c r="AB41" s="321" t="s">
        <v>1003</v>
      </c>
      <c r="AC41" s="321">
        <v>1</v>
      </c>
      <c r="AD41" s="321">
        <f>AI15*$AK$41+AI22*$AK$42+AI28*$AK$43+AD34*$AK$44+AH34*$AK$45</f>
        <v>1010101.01</v>
      </c>
      <c r="AE41" s="321">
        <f>RANK(AD41,$AD$41:$AD$44,1)</f>
        <v>1</v>
      </c>
      <c r="AF41" s="321">
        <f>RANK(AD41,$AD$41:$AD$44)</f>
        <v>1</v>
      </c>
      <c r="AH41" s="321" t="s">
        <v>974</v>
      </c>
      <c r="AI41" s="321">
        <v>1</v>
      </c>
      <c r="AJ41" s="321">
        <v>1</v>
      </c>
      <c r="AK41" s="321">
        <f>INDEX($AN$41:$AN$45,INDEX(AI41:AJ41,$AA$15))</f>
        <v>1000000</v>
      </c>
      <c r="AM41" s="321">
        <v>1</v>
      </c>
      <c r="AN41" s="321">
        <v>1000000</v>
      </c>
    </row>
    <row r="42" spans="2:40" x14ac:dyDescent="0.2">
      <c r="C42" s="321">
        <v>2</v>
      </c>
      <c r="D42" s="321">
        <f>I16*$K$41+I23*$K$42+I29*$K$43+D35*$K$44+H35*$K$45</f>
        <v>1010101.01</v>
      </c>
      <c r="E42" s="321">
        <f>RANK(D42,$D$41:$D$44,1)</f>
        <v>1</v>
      </c>
      <c r="F42" s="321">
        <f>RANK(D42,$D$41:$D$44)</f>
        <v>1</v>
      </c>
      <c r="H42" s="321" t="s">
        <v>995</v>
      </c>
      <c r="I42" s="321">
        <v>2</v>
      </c>
      <c r="J42" s="321">
        <v>4</v>
      </c>
      <c r="K42" s="321">
        <f>INDEX($N$41:$N$45,INDEX(I42:J42,$A$15))</f>
        <v>1</v>
      </c>
      <c r="M42" s="321">
        <v>2</v>
      </c>
      <c r="N42" s="321">
        <v>10000</v>
      </c>
      <c r="AC42" s="321">
        <v>2</v>
      </c>
      <c r="AD42" s="321">
        <f>AI16*$AK$41+AI23*$AK$42+AI29*$AK$43+AD35*$AK$44+AH35*$AK$45</f>
        <v>1010101.01</v>
      </c>
      <c r="AE42" s="321">
        <f>RANK(AD42,$AD$41:$AD$44,1)</f>
        <v>1</v>
      </c>
      <c r="AF42" s="321">
        <f>RANK(AD42,$AD$41:$AD$44)</f>
        <v>1</v>
      </c>
      <c r="AH42" s="321" t="s">
        <v>995</v>
      </c>
      <c r="AI42" s="321">
        <v>2</v>
      </c>
      <c r="AJ42" s="321">
        <v>4</v>
      </c>
      <c r="AK42" s="321">
        <f>INDEX($AN$41:$AN$45,INDEX(AI42:AJ42,$AA$15))</f>
        <v>1</v>
      </c>
      <c r="AM42" s="321">
        <v>2</v>
      </c>
      <c r="AN42" s="321">
        <v>10000</v>
      </c>
    </row>
    <row r="43" spans="2:40" x14ac:dyDescent="0.2">
      <c r="C43" s="321">
        <v>3</v>
      </c>
      <c r="D43" s="321">
        <f>I17*$K$41+I24*$K$42+I30*$K$43+D36*$K$44+H36*$K$45</f>
        <v>1010101.01</v>
      </c>
      <c r="E43" s="321">
        <f>RANK(D43,$D$41:$D$44,1)</f>
        <v>1</v>
      </c>
      <c r="F43" s="321">
        <f>RANK(D43,$D$41:$D$44)</f>
        <v>1</v>
      </c>
      <c r="H43" s="321" t="s">
        <v>998</v>
      </c>
      <c r="I43" s="321">
        <v>3</v>
      </c>
      <c r="J43" s="321">
        <v>5</v>
      </c>
      <c r="K43" s="321">
        <f>INDEX($N$41:$N$45,INDEX(I43:J43,$A$15))</f>
        <v>0.01</v>
      </c>
      <c r="M43" s="321">
        <v>3</v>
      </c>
      <c r="N43" s="321">
        <v>100</v>
      </c>
      <c r="AC43" s="321">
        <v>3</v>
      </c>
      <c r="AD43" s="321">
        <f>AI17*$AK$41+AI24*$AK$42+AI30*$AK$43+AD36*$AK$44+AH36*$AK$45</f>
        <v>1010101.01</v>
      </c>
      <c r="AE43" s="321">
        <f>RANK(AD43,$AD$41:$AD$44,1)</f>
        <v>1</v>
      </c>
      <c r="AF43" s="321">
        <f>RANK(AD43,$AD$41:$AD$44)</f>
        <v>1</v>
      </c>
      <c r="AH43" s="321" t="s">
        <v>998</v>
      </c>
      <c r="AI43" s="321">
        <v>3</v>
      </c>
      <c r="AJ43" s="321">
        <v>5</v>
      </c>
      <c r="AK43" s="321">
        <f>INDEX($AN$41:$AN$45,INDEX(AI43:AJ43,$AA$15))</f>
        <v>0.01</v>
      </c>
      <c r="AM43" s="321">
        <v>3</v>
      </c>
      <c r="AN43" s="321">
        <v>100</v>
      </c>
    </row>
    <row r="44" spans="2:40" x14ac:dyDescent="0.2">
      <c r="C44" s="321">
        <v>4</v>
      </c>
      <c r="D44" s="321">
        <f>I18*$K$41+I25*$K$42+I31*$K$43+D37*$K$44+H37*$K$45</f>
        <v>1010101.01</v>
      </c>
      <c r="E44" s="321">
        <f>RANK(D44,$D$41:$D$44,1)</f>
        <v>1</v>
      </c>
      <c r="F44" s="321">
        <f>RANK(D44,$D$41:$D$44)</f>
        <v>1</v>
      </c>
      <c r="H44" s="321" t="s">
        <v>1004</v>
      </c>
      <c r="I44" s="321">
        <v>4</v>
      </c>
      <c r="J44" s="321">
        <v>2</v>
      </c>
      <c r="K44" s="321">
        <f>INDEX($N$41:$N$45,INDEX(I44:J44,$A$15))</f>
        <v>10000</v>
      </c>
      <c r="M44" s="321">
        <v>4</v>
      </c>
      <c r="N44" s="321">
        <v>1</v>
      </c>
      <c r="AC44" s="321">
        <v>4</v>
      </c>
      <c r="AD44" s="321">
        <f>AI18*$AK$41+AI25*$AK$42+AI31*$AK$43+AD37*$AK$44+AH37*$AK$45</f>
        <v>1010101.01</v>
      </c>
      <c r="AE44" s="321">
        <f>RANK(AD44,$AD$41:$AD$44,1)</f>
        <v>1</v>
      </c>
      <c r="AF44" s="321">
        <f>RANK(AD44,$AD$41:$AD$44)</f>
        <v>1</v>
      </c>
      <c r="AH44" s="321" t="s">
        <v>1004</v>
      </c>
      <c r="AI44" s="321">
        <v>4</v>
      </c>
      <c r="AJ44" s="321">
        <v>2</v>
      </c>
      <c r="AK44" s="321">
        <f>INDEX($AN$41:$AN$45,INDEX(AI44:AJ44,$AA$15))</f>
        <v>10000</v>
      </c>
      <c r="AM44" s="321">
        <v>4</v>
      </c>
      <c r="AN44" s="321">
        <v>1</v>
      </c>
    </row>
    <row r="45" spans="2:40" x14ac:dyDescent="0.2">
      <c r="H45" s="321" t="s">
        <v>1005</v>
      </c>
      <c r="I45" s="321">
        <v>5</v>
      </c>
      <c r="J45" s="321">
        <v>3</v>
      </c>
      <c r="K45" s="321">
        <f>INDEX($N$41:$N$45,INDEX(I45:J45,$A$15))</f>
        <v>100</v>
      </c>
      <c r="M45" s="321">
        <v>5</v>
      </c>
      <c r="N45" s="321">
        <f>1/100</f>
        <v>0.01</v>
      </c>
      <c r="AH45" s="321" t="s">
        <v>1005</v>
      </c>
      <c r="AI45" s="321">
        <v>5</v>
      </c>
      <c r="AJ45" s="321">
        <v>3</v>
      </c>
      <c r="AK45" s="321">
        <f>INDEX($AN$41:$AN$45,INDEX(AI45:AJ45,$AA$15))</f>
        <v>100</v>
      </c>
      <c r="AM45" s="321">
        <v>5</v>
      </c>
      <c r="AN45" s="321">
        <f>1/100</f>
        <v>0.01</v>
      </c>
    </row>
    <row r="46" spans="2:40" x14ac:dyDescent="0.2">
      <c r="H46" s="321" t="s">
        <v>1006</v>
      </c>
      <c r="I46" s="321">
        <v>6</v>
      </c>
      <c r="J46" s="321">
        <v>6</v>
      </c>
      <c r="AH46" s="321" t="s">
        <v>1006</v>
      </c>
      <c r="AI46" s="321">
        <v>6</v>
      </c>
      <c r="AJ46" s="321">
        <v>6</v>
      </c>
    </row>
    <row r="47" spans="2:40" x14ac:dyDescent="0.2">
      <c r="B47" s="321" t="s">
        <v>1006</v>
      </c>
      <c r="C47" s="321" t="b">
        <f>A15=1</f>
        <v>0</v>
      </c>
      <c r="D47" s="321" t="s">
        <v>1007</v>
      </c>
      <c r="H47" s="321" t="s">
        <v>993</v>
      </c>
      <c r="I47" s="321">
        <v>7</v>
      </c>
      <c r="J47" s="321">
        <v>7</v>
      </c>
      <c r="AB47" s="321" t="s">
        <v>1006</v>
      </c>
      <c r="AC47" s="321" t="b">
        <f>AA15=1</f>
        <v>0</v>
      </c>
      <c r="AD47" s="321" t="s">
        <v>1007</v>
      </c>
      <c r="AH47" s="321" t="s">
        <v>993</v>
      </c>
      <c r="AI47" s="321">
        <v>7</v>
      </c>
      <c r="AJ47" s="321">
        <v>7</v>
      </c>
    </row>
    <row r="48" spans="2:40" x14ac:dyDescent="0.2">
      <c r="C48" s="321" t="s">
        <v>1008</v>
      </c>
      <c r="D48" s="321" t="s">
        <v>1009</v>
      </c>
      <c r="E48" s="321" t="s">
        <v>1010</v>
      </c>
      <c r="AC48" s="321" t="s">
        <v>1008</v>
      </c>
      <c r="AD48" s="321" t="s">
        <v>1009</v>
      </c>
      <c r="AE48" s="321" t="s">
        <v>1010</v>
      </c>
    </row>
    <row r="49" spans="2:36" x14ac:dyDescent="0.2">
      <c r="B49" s="321" t="s">
        <v>1011</v>
      </c>
      <c r="C49" s="321">
        <f>COUNTIF($F$41:$F$44,"=1")</f>
        <v>4</v>
      </c>
      <c r="D49" s="321">
        <f>COUNTIF($F$41:$F$44,"=2")</f>
        <v>0</v>
      </c>
      <c r="E49" s="321">
        <f>COUNTIF($F$41:$F$44,"=3")</f>
        <v>0</v>
      </c>
      <c r="AB49" s="321" t="s">
        <v>1011</v>
      </c>
      <c r="AC49" s="321">
        <f>COUNTIF($AF$41:$AF$44,"=1")</f>
        <v>4</v>
      </c>
      <c r="AD49" s="321">
        <f>COUNTIF($AF$41:$AF$44,"=2")</f>
        <v>0</v>
      </c>
      <c r="AE49" s="321">
        <f>COUNTIF($AF$41:$AF$44,"=3")</f>
        <v>0</v>
      </c>
    </row>
    <row r="51" spans="2:36" x14ac:dyDescent="0.2">
      <c r="B51" s="321" t="s">
        <v>994</v>
      </c>
      <c r="C51" s="321">
        <f>IF(NOT(C47),0,IF(C49=2,1,IF(D49=2,2,IF(E49=2,3,0))))</f>
        <v>0</v>
      </c>
      <c r="E51" s="321" t="s">
        <v>106</v>
      </c>
      <c r="F51" s="321">
        <f t="array" ref="F51">MIN(IF($F$41:$F$44=$C$51,$C$15:$C$18))</f>
        <v>0</v>
      </c>
      <c r="G51" s="321">
        <f t="array" ref="G51">MAX(IF($F$41:$F$44=C51,$C$15:$C$18))</f>
        <v>0</v>
      </c>
      <c r="I51" s="321" t="s">
        <v>1012</v>
      </c>
      <c r="J51" s="321" t="e">
        <f>IF(ISERROR(F53),G53,F53)</f>
        <v>#N/A</v>
      </c>
      <c r="AB51" s="321" t="s">
        <v>994</v>
      </c>
      <c r="AC51" s="321">
        <f>IF(NOT(AC47),0,IF(AC49=2,1,IF(AD49=2,2,IF(AE49=2,3,0))))</f>
        <v>0</v>
      </c>
      <c r="AE51" s="321" t="s">
        <v>106</v>
      </c>
      <c r="AF51" s="321">
        <f t="array" ref="AF51">MIN(IF($AF$41:$AF$44=$AC$51,$AC$15:$AC$18))</f>
        <v>0</v>
      </c>
      <c r="AG51" s="321">
        <f t="array" ref="AG51">MAX(IF($AF$41:$AF$44=AC51,$AC$15:$AC$18))</f>
        <v>0</v>
      </c>
      <c r="AI51" s="321" t="s">
        <v>1012</v>
      </c>
      <c r="AJ51" s="321" t="e">
        <f>IF(ISERROR(AF53),AG53,AF53)</f>
        <v>#N/A</v>
      </c>
    </row>
    <row r="52" spans="2:36" x14ac:dyDescent="0.2">
      <c r="F52" s="321" t="str">
        <f>F51&amp;"#"&amp;G51</f>
        <v>0#0</v>
      </c>
      <c r="G52" s="321" t="str">
        <f>G51&amp;"#"&amp;F51</f>
        <v>0#0</v>
      </c>
      <c r="AF52" s="321" t="str">
        <f>AF51&amp;"#"&amp;AG51</f>
        <v>0#0</v>
      </c>
      <c r="AG52" s="321" t="str">
        <f>AG51&amp;"#"&amp;AF51</f>
        <v>0#0</v>
      </c>
    </row>
    <row r="53" spans="2:36" x14ac:dyDescent="0.2">
      <c r="F53" s="321" t="e">
        <f>MATCH(F52,$B$6:$B$11,0)</f>
        <v>#N/A</v>
      </c>
      <c r="G53" s="321" t="e">
        <f>MATCH(G52,$B$6:$B$11,0)</f>
        <v>#N/A</v>
      </c>
      <c r="AF53" s="321" t="e">
        <f>MATCH(AF52,$AB$6:$AB$11,0)</f>
        <v>#N/A</v>
      </c>
      <c r="AG53" s="321" t="e">
        <f>MATCH(AG52,$AB$6:$AB$11,0)</f>
        <v>#N/A</v>
      </c>
    </row>
    <row r="56" spans="2:36" x14ac:dyDescent="0.2">
      <c r="B56" s="321" t="s">
        <v>988</v>
      </c>
      <c r="C56" s="321" t="e">
        <f>INDEX(D6:D11,J51)</f>
        <v>#N/A</v>
      </c>
      <c r="D56" s="321" t="e">
        <f>INDEX(E6:E11,J51)</f>
        <v>#N/A</v>
      </c>
      <c r="E56" s="321" t="s">
        <v>1013</v>
      </c>
      <c r="F56" s="321" t="s">
        <v>833</v>
      </c>
      <c r="G56" s="321" t="s">
        <v>1014</v>
      </c>
      <c r="I56" s="321" t="s">
        <v>1015</v>
      </c>
      <c r="J56" s="321" t="str">
        <f>IF(G57=0,"","EMS um Rang " &amp;C51)</f>
        <v/>
      </c>
      <c r="AB56" s="321" t="s">
        <v>988</v>
      </c>
      <c r="AC56" s="321" t="e">
        <f>INDEX(AD6:AD11,AJ51)</f>
        <v>#N/A</v>
      </c>
      <c r="AD56" s="321" t="e">
        <f>INDEX(AE6:AE11,AJ51)</f>
        <v>#N/A</v>
      </c>
      <c r="AE56" s="321" t="s">
        <v>1013</v>
      </c>
      <c r="AF56" s="321" t="s">
        <v>833</v>
      </c>
      <c r="AG56" s="321" t="s">
        <v>1014</v>
      </c>
      <c r="AI56" s="321" t="s">
        <v>1015</v>
      </c>
      <c r="AJ56" s="321" t="str">
        <f>IF(AG57=0,"","EMS um Rang " &amp;AC51)</f>
        <v/>
      </c>
    </row>
    <row r="57" spans="2:36" x14ac:dyDescent="0.2">
      <c r="B57" s="321" t="s">
        <v>974</v>
      </c>
      <c r="C57" s="321" t="e">
        <f>VLOOKUP(C56,$C$15:$D$18,2,FALSE)</f>
        <v>#N/A</v>
      </c>
      <c r="D57" s="321" t="e">
        <f>VLOOKUP(D56,$C$15:$D$18,2,FALSE)</f>
        <v>#N/A</v>
      </c>
      <c r="E57" s="321">
        <f>COUNTIF($D$15:$D$18,"="&amp;D57)</f>
        <v>0</v>
      </c>
      <c r="F57" s="321" t="e">
        <f>INDEX(K6:K11,J51)=1</f>
        <v>#N/A</v>
      </c>
      <c r="G57" s="321">
        <f>IF(C51=0,0,IF(J51&lt;5,0,IF(E57&lt;&gt;2,0,IF(C57&lt;&gt;D57,0,IF(NOT(F57),0,1)))))</f>
        <v>0</v>
      </c>
      <c r="AB57" s="321" t="s">
        <v>974</v>
      </c>
      <c r="AC57" s="321" t="e">
        <f>VLOOKUP(AC56,$AC$15:$AD$18,2,FALSE)</f>
        <v>#N/A</v>
      </c>
      <c r="AD57" s="321" t="e">
        <f>VLOOKUP(AD56,$AC$15:$AD$18,2,FALSE)</f>
        <v>#N/A</v>
      </c>
      <c r="AE57" s="321">
        <f>COUNTIF($AD$15:$AD$18,"="&amp;AD57)</f>
        <v>0</v>
      </c>
      <c r="AF57" s="321" t="e">
        <f>INDEX(AK6:AK11,AJ51)=1</f>
        <v>#N/A</v>
      </c>
      <c r="AG57" s="321">
        <f>IF(AC51=0,0,IF(AJ51&lt;5,0,IF(AE57&lt;&gt;2,0,IF(AC57&lt;&gt;AD57,0,IF(NOT(AF57),0,1)))))</f>
        <v>0</v>
      </c>
    </row>
    <row r="59" spans="2:36" x14ac:dyDescent="0.2">
      <c r="E59" s="522" t="s">
        <v>1016</v>
      </c>
      <c r="F59" s="522"/>
      <c r="AE59" s="522" t="s">
        <v>1016</v>
      </c>
      <c r="AF59" s="522"/>
    </row>
    <row r="60" spans="2:36" x14ac:dyDescent="0.2">
      <c r="B60" s="321" t="s">
        <v>106</v>
      </c>
      <c r="C60" s="321" t="e">
        <f>VLOOKUP(C56,$C$15:$H$18,6,FALSE)</f>
        <v>#N/A</v>
      </c>
      <c r="D60" s="321" t="e">
        <f>VLOOKUP(D56,$C$15:$H$18,6,FALSE)</f>
        <v>#N/A</v>
      </c>
      <c r="AB60" s="321" t="s">
        <v>106</v>
      </c>
      <c r="AC60" s="321" t="e">
        <f>VLOOKUP(AC56,$AC$15:$AH$18,6,FALSE)</f>
        <v>#N/A</v>
      </c>
      <c r="AD60" s="321" t="e">
        <f>VLOOKUP(AD56,$AC$15:$AH$18,6,FALSE)</f>
        <v>#N/A</v>
      </c>
    </row>
    <row r="61" spans="2:36" x14ac:dyDescent="0.2">
      <c r="B61" s="321" t="s">
        <v>975</v>
      </c>
      <c r="C61" s="321" t="e">
        <f>MATCH(C56,$C$15:$C$18,0)</f>
        <v>#N/A</v>
      </c>
      <c r="D61" s="321" t="e">
        <f>MATCH(D56,$C$15:$C$18,0)</f>
        <v>#N/A</v>
      </c>
      <c r="E61" s="321">
        <f>IF(COUNT(E60:F60)&lt;&gt;2,0,IF(E60&gt;F60,1,0))</f>
        <v>0</v>
      </c>
      <c r="F61" s="321">
        <f>IF(COUNT(E60:F60)&lt;&gt;2,0,IF(E60&lt;F60,1,0))</f>
        <v>0</v>
      </c>
      <c r="G61" s="321" t="s">
        <v>1017</v>
      </c>
      <c r="AB61" s="321" t="s">
        <v>975</v>
      </c>
      <c r="AC61" s="321" t="e">
        <f>MATCH(AC56,$AC$15:$AC$18,0)</f>
        <v>#N/A</v>
      </c>
      <c r="AD61" s="321" t="e">
        <f>MATCH(AD56,$AC$15:$AC$18,0)</f>
        <v>#N/A</v>
      </c>
      <c r="AE61" s="321">
        <f>IF(COUNT(AE60:AF60)&lt;&gt;2,0,IF(AE60&gt;AF60,1,0))</f>
        <v>0</v>
      </c>
      <c r="AF61" s="321">
        <f>IF(COUNT(AE60:AF60)&lt;&gt;2,0,IF(AE60&lt;AF60,1,0))</f>
        <v>0</v>
      </c>
      <c r="AG61" s="321" t="s">
        <v>1017</v>
      </c>
    </row>
    <row r="64" spans="2:36" x14ac:dyDescent="0.2">
      <c r="C64" s="321" t="s">
        <v>1018</v>
      </c>
      <c r="AC64" s="321" t="s">
        <v>1018</v>
      </c>
    </row>
    <row r="65" spans="1:39" x14ac:dyDescent="0.2">
      <c r="C65" s="321" t="s">
        <v>1019</v>
      </c>
      <c r="D65" s="321" t="s">
        <v>992</v>
      </c>
      <c r="E65" s="321" t="s">
        <v>994</v>
      </c>
      <c r="F65" s="321" t="s">
        <v>1020</v>
      </c>
      <c r="AC65" s="321" t="s">
        <v>1019</v>
      </c>
      <c r="AD65" s="321" t="s">
        <v>992</v>
      </c>
      <c r="AE65" s="321" t="s">
        <v>994</v>
      </c>
      <c r="AF65" s="321" t="s">
        <v>1020</v>
      </c>
    </row>
    <row r="66" spans="1:39" x14ac:dyDescent="0.2">
      <c r="B66" s="321" t="s">
        <v>1003</v>
      </c>
      <c r="C66" s="321">
        <v>1</v>
      </c>
      <c r="D66" s="321">
        <f>E41+IF($G$57=0,0,SUMIF($C$61:$D$61,"="&amp;C66,$E$61:$F$61)/100)+N15/10000</f>
        <v>1.0001</v>
      </c>
      <c r="E66" s="321">
        <f>RANK(D66,$D$66:$D$69)</f>
        <v>1</v>
      </c>
      <c r="F66" s="321">
        <f>E66+COUNTIF(E$65:E65,"="&amp;E66)</f>
        <v>1</v>
      </c>
      <c r="AB66" s="321" t="s">
        <v>1003</v>
      </c>
      <c r="AC66" s="321">
        <v>1</v>
      </c>
      <c r="AD66" s="321">
        <f>AE41+IF($AG$57=0,0,SUMIF($AC$61:$AD$61,"="&amp;AC66,$AE$61:$AF$61)/100)+AN15/10000</f>
        <v>1.0001</v>
      </c>
      <c r="AE66" s="321">
        <f>RANK(AD66,$AD$66:$AD$69)</f>
        <v>1</v>
      </c>
      <c r="AF66" s="321">
        <f>AE66+COUNTIF(AE$65:AE65,"="&amp;AE66)</f>
        <v>1</v>
      </c>
    </row>
    <row r="67" spans="1:39" x14ac:dyDescent="0.2">
      <c r="C67" s="321">
        <v>2</v>
      </c>
      <c r="D67" s="321">
        <f>E42+IF($G$57=0,0,SUMIF($C$61:$D$61,"="&amp;C67,$E$61:$F$61)/100)+N16/10000</f>
        <v>1.0001</v>
      </c>
      <c r="E67" s="321">
        <f>RANK(D67,$D$66:$D$69)</f>
        <v>1</v>
      </c>
      <c r="F67" s="321">
        <f>E67+COUNTIF(E$65:E66,"="&amp;E67)</f>
        <v>2</v>
      </c>
      <c r="AC67" s="321">
        <v>2</v>
      </c>
      <c r="AD67" s="321">
        <f>AE42+IF($AG$57=0,0,SUMIF($AC$61:$AD$61,"="&amp;AC67,$AE$61:$AF$61)/100)+AN16/10000</f>
        <v>1.0001</v>
      </c>
      <c r="AE67" s="321">
        <f>RANK(AD67,$AD$66:$AD$69)</f>
        <v>1</v>
      </c>
      <c r="AF67" s="321">
        <f>AE67+COUNTIF(AE$65:AE66,"="&amp;AE67)</f>
        <v>2</v>
      </c>
    </row>
    <row r="68" spans="1:39" x14ac:dyDescent="0.2">
      <c r="C68" s="321">
        <v>3</v>
      </c>
      <c r="D68" s="321">
        <f>E43+IF($G$57=0,0,SUMIF($C$61:$D$61,"="&amp;C68,$E$61:$F$61)/100)+N17/10000</f>
        <v>1.0001</v>
      </c>
      <c r="E68" s="321">
        <f>RANK(D68,$D$66:$D$69)</f>
        <v>1</v>
      </c>
      <c r="F68" s="321">
        <f>E68+COUNTIF(E$65:E67,"="&amp;E68)</f>
        <v>3</v>
      </c>
      <c r="AC68" s="321">
        <v>3</v>
      </c>
      <c r="AD68" s="321">
        <f>AE43+IF($AG$57=0,0,SUMIF($AC$61:$AD$61,"="&amp;AC68,$AE$61:$AF$61)/100)+AN17/10000</f>
        <v>1.0001</v>
      </c>
      <c r="AE68" s="321">
        <f>RANK(AD68,$AD$66:$AD$69)</f>
        <v>1</v>
      </c>
      <c r="AF68" s="321">
        <f>AE68+COUNTIF(AE$65:AE67,"="&amp;AE68)</f>
        <v>3</v>
      </c>
    </row>
    <row r="69" spans="1:39" x14ac:dyDescent="0.2">
      <c r="C69" s="321">
        <v>4</v>
      </c>
      <c r="D69" s="321">
        <f>E44+IF($G$57=0,0,SUMIF($C$61:$D$61,"="&amp;C69,$E$61:$F$61)/100)+N18/10000</f>
        <v>1.0001</v>
      </c>
      <c r="E69" s="321">
        <f>RANK(D69,$D$66:$D$69)</f>
        <v>1</v>
      </c>
      <c r="F69" s="321">
        <f>E69+COUNTIF(E$65:E68,"="&amp;E69)</f>
        <v>4</v>
      </c>
      <c r="AC69" s="321">
        <v>4</v>
      </c>
      <c r="AD69" s="321">
        <f>AE44+IF($AG$57=0,0,SUMIF($AC$61:$AD$61,"="&amp;AC69,$AE$61:$AF$61)/100)+AN18/10000</f>
        <v>1.0001</v>
      </c>
      <c r="AE69" s="321">
        <f>RANK(AD69,$AD$66:$AD$69)</f>
        <v>1</v>
      </c>
      <c r="AF69" s="321">
        <f>AE69+COUNTIF(AE$65:AE68,"="&amp;AE69)</f>
        <v>4</v>
      </c>
    </row>
    <row r="70" spans="1:39" x14ac:dyDescent="0.2">
      <c r="J70" s="321" t="s">
        <v>1021</v>
      </c>
      <c r="AJ70" s="321" t="s">
        <v>1021</v>
      </c>
    </row>
    <row r="71" spans="1:39" x14ac:dyDescent="0.2">
      <c r="B71" s="322" t="s">
        <v>1022</v>
      </c>
      <c r="C71" s="321" t="s">
        <v>994</v>
      </c>
      <c r="D71" s="321" t="s">
        <v>975</v>
      </c>
      <c r="E71" s="321" t="s">
        <v>1023</v>
      </c>
      <c r="F71" s="323" t="s">
        <v>1024</v>
      </c>
      <c r="G71" s="324" t="b">
        <f>VLOOKUP(A4,Tippabgabe!$DM$69:$DN$74,2,FALSE)</f>
        <v>0</v>
      </c>
      <c r="H71" s="324" t="s">
        <v>975</v>
      </c>
      <c r="J71" s="321" t="s">
        <v>1025</v>
      </c>
      <c r="AB71" s="322" t="s">
        <v>1022</v>
      </c>
      <c r="AC71" s="321" t="s">
        <v>994</v>
      </c>
      <c r="AD71" s="321" t="s">
        <v>975</v>
      </c>
      <c r="AE71" s="321" t="s">
        <v>1023</v>
      </c>
      <c r="AF71" s="323" t="s">
        <v>1024</v>
      </c>
      <c r="AG71" s="324" t="b">
        <f>VLOOKUP(AA4,Tippabgabe!$DM$69:$DN$74,2,FALSE)</f>
        <v>0</v>
      </c>
      <c r="AH71" s="324" t="s">
        <v>975</v>
      </c>
      <c r="AJ71" s="321" t="s">
        <v>1025</v>
      </c>
    </row>
    <row r="72" spans="1:39" x14ac:dyDescent="0.2">
      <c r="B72" s="322" t="str">
        <f>INDEX(teams,INDEX(C15:C18,D72))</f>
        <v>Deutschland</v>
      </c>
      <c r="C72" s="321">
        <v>1</v>
      </c>
      <c r="D72" s="321">
        <f>SUMIF(F66:F69,"="&amp;C72,C66:C69)</f>
        <v>1</v>
      </c>
      <c r="E72" s="321">
        <f>IF(G71,C72,INDEX(E66:E69,D72))</f>
        <v>1</v>
      </c>
      <c r="F72" s="323"/>
      <c r="G72" s="324">
        <v>1</v>
      </c>
      <c r="H72" s="323">
        <f>IF(G71,VLOOKUP(A79,Tippabgabe!$DM$40:$DO$63,3,FALSE),D72)</f>
        <v>1</v>
      </c>
      <c r="J72" s="321">
        <f>IF(G71,H72,D72)</f>
        <v>1</v>
      </c>
      <c r="AB72" s="322" t="str">
        <f>INDEX(teams,INDEX(AC15:AC18,AD72))</f>
        <v>Spanien</v>
      </c>
      <c r="AC72" s="321">
        <v>1</v>
      </c>
      <c r="AD72" s="321">
        <f>SUMIF(AF66:AF69,"="&amp;AC72,AC66:AC69)</f>
        <v>1</v>
      </c>
      <c r="AE72" s="321">
        <f>IF(AG71,AC72,INDEX(AE66:AE69,AD72))</f>
        <v>1</v>
      </c>
      <c r="AF72" s="323"/>
      <c r="AG72" s="324">
        <v>1</v>
      </c>
      <c r="AH72" s="323">
        <f>IF(AG71,VLOOKUP(AA79,Tippabgabe!$DM$40:$DO$63,3,FALSE),AD72)</f>
        <v>1</v>
      </c>
      <c r="AJ72" s="321">
        <f>IF(AG71,AH72,AD72)</f>
        <v>1</v>
      </c>
    </row>
    <row r="73" spans="1:39" x14ac:dyDescent="0.2">
      <c r="B73" s="322" t="str">
        <f>INDEX(teams,INDEX(C15:C18,D73))</f>
        <v>Schottland</v>
      </c>
      <c r="C73" s="321">
        <v>2</v>
      </c>
      <c r="D73" s="321">
        <f>SUMIF(F66:F69,"="&amp;C73,C66:C69)</f>
        <v>2</v>
      </c>
      <c r="E73" s="321">
        <f>IF(G71,C73,INDEX(E66:E69,D73))</f>
        <v>1</v>
      </c>
      <c r="F73" s="323"/>
      <c r="G73" s="324">
        <v>2</v>
      </c>
      <c r="H73" s="323">
        <f>IF(G71,VLOOKUP(A80,Tippabgabe!$DM$40:$DO$63,3,FALSE),D73)</f>
        <v>2</v>
      </c>
      <c r="J73" s="321">
        <f>IF(G72,H73,D73)</f>
        <v>2</v>
      </c>
      <c r="AB73" s="322" t="str">
        <f>INDEX(teams,INDEX(AC15:AC18,AD73))</f>
        <v>Kroatien</v>
      </c>
      <c r="AC73" s="321">
        <v>2</v>
      </c>
      <c r="AD73" s="321">
        <f>SUMIF(AF66:AF69,"="&amp;AC73,AC66:AC69)</f>
        <v>2</v>
      </c>
      <c r="AE73" s="321">
        <f>IF(AG71,AC73,INDEX(AE66:AE69,AD73))</f>
        <v>1</v>
      </c>
      <c r="AF73" s="323"/>
      <c r="AG73" s="324">
        <v>2</v>
      </c>
      <c r="AH73" s="323">
        <f>IF(AG71,VLOOKUP(AA80,Tippabgabe!$DM$40:$DO$63,3,FALSE),AD73)</f>
        <v>2</v>
      </c>
      <c r="AJ73" s="321">
        <f>IF(AG72,AH73,AD73)</f>
        <v>2</v>
      </c>
    </row>
    <row r="74" spans="1:39" x14ac:dyDescent="0.2">
      <c r="B74" s="322" t="str">
        <f>INDEX(teams,INDEX(C15:C18,D74))</f>
        <v>Ungarn</v>
      </c>
      <c r="C74" s="321">
        <v>3</v>
      </c>
      <c r="D74" s="321">
        <f>SUMIF(F66:F69,"="&amp;C74,C66:C69)</f>
        <v>3</v>
      </c>
      <c r="E74" s="321">
        <f>IF(G71,C74,INDEX(E66:E69,D74))</f>
        <v>1</v>
      </c>
      <c r="F74" s="323"/>
      <c r="G74" s="324">
        <v>3</v>
      </c>
      <c r="H74" s="323">
        <f>IF(G71,VLOOKUP(A81,Tippabgabe!$DM$40:$DO$63,3,FALSE),D74)</f>
        <v>3</v>
      </c>
      <c r="J74" s="321">
        <f>IF(G73,H74,D74)</f>
        <v>3</v>
      </c>
      <c r="AB74" s="322" t="str">
        <f>INDEX(teams,INDEX(AC15:AC18,AD74))</f>
        <v>Italien</v>
      </c>
      <c r="AC74" s="321">
        <v>3</v>
      </c>
      <c r="AD74" s="321">
        <f>SUMIF(AF66:AF69,"="&amp;AC74,AC66:AC69)</f>
        <v>3</v>
      </c>
      <c r="AE74" s="321">
        <f>IF(AG71,AC74,INDEX(AE66:AE69,AD74))</f>
        <v>1</v>
      </c>
      <c r="AF74" s="323"/>
      <c r="AG74" s="324">
        <v>3</v>
      </c>
      <c r="AH74" s="323">
        <f>IF(AG71,VLOOKUP(AA81,Tippabgabe!$DM$40:$DO$63,3,FALSE),AD74)</f>
        <v>3</v>
      </c>
      <c r="AJ74" s="321">
        <f>IF(AG73,AH74,AD74)</f>
        <v>3</v>
      </c>
    </row>
    <row r="75" spans="1:39" x14ac:dyDescent="0.2">
      <c r="B75" s="322" t="str">
        <f>INDEX(teams,INDEX(C15:C18,D75))</f>
        <v>Schweiz</v>
      </c>
      <c r="C75" s="321">
        <v>4</v>
      </c>
      <c r="D75" s="321">
        <f>SUMIF(F66:F69,"="&amp;C75,C66:C69)</f>
        <v>4</v>
      </c>
      <c r="E75" s="321">
        <f>IF(G71,C75,INDEX(E66:E69,D75))</f>
        <v>1</v>
      </c>
      <c r="F75" s="323"/>
      <c r="G75" s="324">
        <v>4</v>
      </c>
      <c r="H75" s="323">
        <f>IF(G71,VLOOKUP(A82,Tippabgabe!$DM$40:$DO$63,3,FALSE),D75)</f>
        <v>4</v>
      </c>
      <c r="J75" s="321">
        <f>IF(G74,H75,D75)</f>
        <v>4</v>
      </c>
      <c r="AB75" s="322" t="str">
        <f>INDEX(teams,INDEX(AC15:AC18,AD75))</f>
        <v>Albanien</v>
      </c>
      <c r="AC75" s="321">
        <v>4</v>
      </c>
      <c r="AD75" s="321">
        <f>SUMIF(AF66:AF69,"="&amp;AC75,AC66:AC69)</f>
        <v>4</v>
      </c>
      <c r="AE75" s="321">
        <f>IF(AG71,AC75,INDEX(AE66:AE69,AD75))</f>
        <v>1</v>
      </c>
      <c r="AF75" s="323"/>
      <c r="AG75" s="324">
        <v>4</v>
      </c>
      <c r="AH75" s="323">
        <f>IF(AG71,VLOOKUP(AA82,Tippabgabe!$DM$40:$DO$63,3,FALSE),AD75)</f>
        <v>4</v>
      </c>
      <c r="AJ75" s="321">
        <f>IF(AG74,AH75,AD75)</f>
        <v>4</v>
      </c>
    </row>
    <row r="78" spans="1:39" x14ac:dyDescent="0.2">
      <c r="B78" s="321" t="s">
        <v>1022</v>
      </c>
      <c r="C78" s="321" t="s">
        <v>996</v>
      </c>
      <c r="D78" s="321" t="s">
        <v>975</v>
      </c>
      <c r="E78" s="321" t="s">
        <v>108</v>
      </c>
      <c r="F78" s="321" t="s">
        <v>1026</v>
      </c>
      <c r="G78" s="321" t="s">
        <v>587</v>
      </c>
      <c r="H78" s="321" t="s">
        <v>1027</v>
      </c>
      <c r="I78" s="321" t="s">
        <v>1028</v>
      </c>
      <c r="J78" s="321" t="s">
        <v>999</v>
      </c>
      <c r="K78" s="321" t="s">
        <v>498</v>
      </c>
      <c r="L78" s="321" t="s">
        <v>848</v>
      </c>
      <c r="M78" s="321" t="s">
        <v>1029</v>
      </c>
      <c r="AB78" s="321" t="s">
        <v>1022</v>
      </c>
      <c r="AC78" s="321" t="s">
        <v>996</v>
      </c>
      <c r="AD78" s="321" t="s">
        <v>975</v>
      </c>
      <c r="AE78" s="321" t="s">
        <v>108</v>
      </c>
      <c r="AF78" s="321" t="s">
        <v>1026</v>
      </c>
      <c r="AG78" s="321" t="s">
        <v>587</v>
      </c>
      <c r="AH78" s="321" t="s">
        <v>1027</v>
      </c>
      <c r="AI78" s="321" t="s">
        <v>1028</v>
      </c>
      <c r="AJ78" s="321" t="s">
        <v>999</v>
      </c>
      <c r="AK78" s="321" t="s">
        <v>498</v>
      </c>
      <c r="AL78" s="321" t="s">
        <v>848</v>
      </c>
      <c r="AM78" s="321" t="s">
        <v>1029</v>
      </c>
    </row>
    <row r="79" spans="1:39" x14ac:dyDescent="0.2">
      <c r="A79" s="321" t="str">
        <f>"S"&amp;A4</f>
        <v>SA</v>
      </c>
      <c r="B79" s="321">
        <v>1</v>
      </c>
      <c r="C79" s="321">
        <f>INDEX($C$15:$C$18,J72)</f>
        <v>1</v>
      </c>
      <c r="D79" s="321">
        <f>J72</f>
        <v>1</v>
      </c>
      <c r="E79" s="321" t="str">
        <f>INDEX($H$15:$H$18,J72)</f>
        <v>GER</v>
      </c>
      <c r="F79" s="321">
        <f>SUMIF($D$6:$E$11,"="&amp;$C79,$Q$6:$R$11)</f>
        <v>0</v>
      </c>
      <c r="G79" s="321">
        <f>INDEX($D$15:$D$18,$J72)</f>
        <v>0</v>
      </c>
      <c r="H79" s="321">
        <f>INDEX($E$15:$E$18,$J72)</f>
        <v>0</v>
      </c>
      <c r="I79" s="321">
        <f>INDEX($F$15:$F$18,$J72)</f>
        <v>0</v>
      </c>
      <c r="J79" s="321">
        <f>INDEX($G$15:$G$18,$J72)</f>
        <v>0</v>
      </c>
      <c r="K79" s="321">
        <f t="shared" ref="K79:M82" si="28">COUNTIF($S$6:$T$11,"="&amp;K$78&amp;$C79)</f>
        <v>0</v>
      </c>
      <c r="L79" s="321">
        <f t="shared" si="28"/>
        <v>0</v>
      </c>
      <c r="M79" s="321">
        <f t="shared" si="28"/>
        <v>0</v>
      </c>
      <c r="AA79" s="321" t="str">
        <f>"S"&amp;AA4</f>
        <v>SB</v>
      </c>
      <c r="AB79" s="321">
        <v>1</v>
      </c>
      <c r="AC79" s="321">
        <f>INDEX($AC$15:$AC$18,AJ72)</f>
        <v>5</v>
      </c>
      <c r="AD79" s="321">
        <f>AJ72</f>
        <v>1</v>
      </c>
      <c r="AE79" s="321" t="str">
        <f>INDEX($AH$15:$AH$18,AJ72)</f>
        <v>ESP</v>
      </c>
      <c r="AF79" s="321">
        <f>SUMIF($AD$6:$AE$11,"="&amp;$AC79,$AQ$6:$AR$11)</f>
        <v>0</v>
      </c>
      <c r="AG79" s="321">
        <f>INDEX($AD$15:$AD$18,$AJ72)</f>
        <v>0</v>
      </c>
      <c r="AH79" s="321">
        <f>INDEX($AE$15:$AE$18,$AJ72)</f>
        <v>0</v>
      </c>
      <c r="AI79" s="321">
        <f>INDEX($AF$15:$AF$18,$AJ72)</f>
        <v>0</v>
      </c>
      <c r="AJ79" s="321">
        <f>INDEX($AG$15:$AG$18,$AJ72)</f>
        <v>0</v>
      </c>
      <c r="AK79" s="321">
        <f t="shared" ref="AK79:AM82" si="29">COUNTIF($AS$6:$AT$11,"="&amp;AK$78&amp;$AC79)</f>
        <v>0</v>
      </c>
      <c r="AL79" s="321">
        <f t="shared" si="29"/>
        <v>0</v>
      </c>
      <c r="AM79" s="321">
        <f t="shared" si="29"/>
        <v>0</v>
      </c>
    </row>
    <row r="80" spans="1:39" x14ac:dyDescent="0.2">
      <c r="A80" s="321" t="str">
        <f>"Z"&amp;A4</f>
        <v>ZA</v>
      </c>
      <c r="B80" s="321">
        <v>2</v>
      </c>
      <c r="C80" s="321">
        <f>INDEX($C$15:$C$18,J73)</f>
        <v>2</v>
      </c>
      <c r="D80" s="321">
        <f>J73</f>
        <v>2</v>
      </c>
      <c r="E80" s="321" t="str">
        <f>INDEX($H$15:$H$18,J73)</f>
        <v>SCO</v>
      </c>
      <c r="F80" s="321">
        <f>SUMIF($D$6:$E$11,"="&amp;$C80,$Q$6:$R$11)</f>
        <v>0</v>
      </c>
      <c r="G80" s="321">
        <f>INDEX($D$15:$D$18,$J73)</f>
        <v>0</v>
      </c>
      <c r="H80" s="321">
        <f>INDEX($E$15:$E$18,$J73)</f>
        <v>0</v>
      </c>
      <c r="I80" s="321">
        <f>INDEX($F$15:$F$18,$J73)</f>
        <v>0</v>
      </c>
      <c r="J80" s="321">
        <f>INDEX($G$15:$G$18,$J73)</f>
        <v>0</v>
      </c>
      <c r="K80" s="321">
        <f t="shared" si="28"/>
        <v>0</v>
      </c>
      <c r="L80" s="321">
        <f t="shared" si="28"/>
        <v>0</v>
      </c>
      <c r="M80" s="321">
        <f t="shared" si="28"/>
        <v>0</v>
      </c>
      <c r="AA80" s="321" t="str">
        <f>"Z"&amp;AA4</f>
        <v>ZB</v>
      </c>
      <c r="AB80" s="321">
        <v>2</v>
      </c>
      <c r="AC80" s="321">
        <f>INDEX($AC$15:$AC$18,AJ73)</f>
        <v>6</v>
      </c>
      <c r="AD80" s="321">
        <f>AJ73</f>
        <v>2</v>
      </c>
      <c r="AE80" s="321" t="str">
        <f>INDEX($AH$15:$AH$18,AJ73)</f>
        <v>CRO</v>
      </c>
      <c r="AF80" s="321">
        <f>SUMIF($AD$6:$AE$11,"="&amp;$AC80,$AQ$6:$AR$11)</f>
        <v>0</v>
      </c>
      <c r="AG80" s="321">
        <f>INDEX($AD$15:$AD$18,$AJ73)</f>
        <v>0</v>
      </c>
      <c r="AH80" s="321">
        <f>INDEX($AE$15:$AE$18,$AJ73)</f>
        <v>0</v>
      </c>
      <c r="AI80" s="321">
        <f>INDEX($AF$15:$AF$18,$AJ73)</f>
        <v>0</v>
      </c>
      <c r="AJ80" s="321">
        <f>INDEX($AG$15:$AG$18,$AJ73)</f>
        <v>0</v>
      </c>
      <c r="AK80" s="321">
        <f t="shared" si="29"/>
        <v>0</v>
      </c>
      <c r="AL80" s="321">
        <f t="shared" si="29"/>
        <v>0</v>
      </c>
      <c r="AM80" s="321">
        <f t="shared" si="29"/>
        <v>0</v>
      </c>
    </row>
    <row r="81" spans="1:46" x14ac:dyDescent="0.2">
      <c r="A81" s="321" t="str">
        <f>"D"&amp;A4</f>
        <v>DA</v>
      </c>
      <c r="B81" s="321">
        <v>3</v>
      </c>
      <c r="C81" s="321">
        <f>INDEX($C$15:$C$18,J74)</f>
        <v>3</v>
      </c>
      <c r="D81" s="321">
        <f>J74</f>
        <v>3</v>
      </c>
      <c r="E81" s="321" t="str">
        <f>INDEX($H$15:$H$18,J74)</f>
        <v>HUN</v>
      </c>
      <c r="F81" s="321">
        <f>SUMIF($D$6:$E$11,"="&amp;$C81,$Q$6:$R$11)</f>
        <v>0</v>
      </c>
      <c r="G81" s="321">
        <f>INDEX($D$15:$D$18,$J74)</f>
        <v>0</v>
      </c>
      <c r="H81" s="321">
        <f>INDEX($E$15:$E$18,$J74)</f>
        <v>0</v>
      </c>
      <c r="I81" s="321">
        <f>INDEX($F$15:$F$18,$J74)</f>
        <v>0</v>
      </c>
      <c r="J81" s="321">
        <f>INDEX($G$15:$G$18,$J74)</f>
        <v>0</v>
      </c>
      <c r="K81" s="321">
        <f t="shared" si="28"/>
        <v>0</v>
      </c>
      <c r="L81" s="321">
        <f t="shared" si="28"/>
        <v>0</v>
      </c>
      <c r="M81" s="321">
        <f t="shared" si="28"/>
        <v>0</v>
      </c>
      <c r="AA81" s="321" t="str">
        <f>"D"&amp;AA4</f>
        <v>DB</v>
      </c>
      <c r="AB81" s="321">
        <v>3</v>
      </c>
      <c r="AC81" s="321">
        <f>INDEX($AC$15:$AC$18,AJ74)</f>
        <v>7</v>
      </c>
      <c r="AD81" s="321">
        <f>AJ74</f>
        <v>3</v>
      </c>
      <c r="AE81" s="321" t="str">
        <f>INDEX($AH$15:$AH$18,AJ74)</f>
        <v>ITA</v>
      </c>
      <c r="AF81" s="321">
        <f>SUMIF($AD$6:$AE$11,"="&amp;$AC81,$AQ$6:$AR$11)</f>
        <v>0</v>
      </c>
      <c r="AG81" s="321">
        <f>INDEX($AD$15:$AD$18,$AJ74)</f>
        <v>0</v>
      </c>
      <c r="AH81" s="321">
        <f>INDEX($AE$15:$AE$18,$AJ74)</f>
        <v>0</v>
      </c>
      <c r="AI81" s="321">
        <f>INDEX($AF$15:$AF$18,$AJ74)</f>
        <v>0</v>
      </c>
      <c r="AJ81" s="321">
        <f>INDEX($AG$15:$AG$18,$AJ74)</f>
        <v>0</v>
      </c>
      <c r="AK81" s="321">
        <f t="shared" si="29"/>
        <v>0</v>
      </c>
      <c r="AL81" s="321">
        <f t="shared" si="29"/>
        <v>0</v>
      </c>
      <c r="AM81" s="321">
        <f t="shared" si="29"/>
        <v>0</v>
      </c>
    </row>
    <row r="82" spans="1:46" x14ac:dyDescent="0.2">
      <c r="A82" s="321" t="str">
        <f>"V"&amp;A4</f>
        <v>VA</v>
      </c>
      <c r="B82" s="321">
        <v>4</v>
      </c>
      <c r="C82" s="321">
        <f>INDEX($C$15:$C$18,J75)</f>
        <v>4</v>
      </c>
      <c r="D82" s="321">
        <f>J75</f>
        <v>4</v>
      </c>
      <c r="E82" s="321" t="str">
        <f>INDEX($H$15:$H$18,J75)</f>
        <v>SUI</v>
      </c>
      <c r="F82" s="321">
        <f>SUMIF($D$6:$E$11,"="&amp;$C82,$Q$6:$R$11)</f>
        <v>0</v>
      </c>
      <c r="G82" s="321">
        <f>INDEX($D$15:$D$18,$J75)</f>
        <v>0</v>
      </c>
      <c r="H82" s="321">
        <f>INDEX($E$15:$E$18,$J75)</f>
        <v>0</v>
      </c>
      <c r="I82" s="321">
        <f>INDEX($F$15:$F$18,$J75)</f>
        <v>0</v>
      </c>
      <c r="J82" s="321">
        <f>INDEX($G$15:$G$18,$J75)</f>
        <v>0</v>
      </c>
      <c r="K82" s="321">
        <f t="shared" si="28"/>
        <v>0</v>
      </c>
      <c r="L82" s="321">
        <f t="shared" si="28"/>
        <v>0</v>
      </c>
      <c r="M82" s="321">
        <f t="shared" si="28"/>
        <v>0</v>
      </c>
      <c r="AA82" s="321" t="str">
        <f>"V"&amp;AA4</f>
        <v>VB</v>
      </c>
      <c r="AB82" s="321">
        <v>4</v>
      </c>
      <c r="AC82" s="321">
        <f>INDEX($AC$15:$AC$18,AJ75)</f>
        <v>8</v>
      </c>
      <c r="AD82" s="321">
        <f>AJ75</f>
        <v>4</v>
      </c>
      <c r="AE82" s="321" t="str">
        <f>INDEX($AH$15:$AH$18,AJ75)</f>
        <v>ALB</v>
      </c>
      <c r="AF82" s="321">
        <f>SUMIF($AD$6:$AE$11,"="&amp;$AC82,$AQ$6:$AR$11)</f>
        <v>0</v>
      </c>
      <c r="AG82" s="321">
        <f>INDEX($AD$15:$AD$18,$AJ75)</f>
        <v>0</v>
      </c>
      <c r="AH82" s="321">
        <f>INDEX($AE$15:$AE$18,$AJ75)</f>
        <v>0</v>
      </c>
      <c r="AI82" s="321">
        <f>INDEX($AF$15:$AF$18,$AJ75)</f>
        <v>0</v>
      </c>
      <c r="AJ82" s="321">
        <f>INDEX($AG$15:$AG$18,$AJ75)</f>
        <v>0</v>
      </c>
      <c r="AK82" s="321">
        <f t="shared" si="29"/>
        <v>0</v>
      </c>
      <c r="AL82" s="321">
        <f t="shared" si="29"/>
        <v>0</v>
      </c>
      <c r="AM82" s="321">
        <f t="shared" si="29"/>
        <v>0</v>
      </c>
    </row>
    <row r="86" spans="1:46" x14ac:dyDescent="0.2">
      <c r="A86" s="321" t="s">
        <v>613</v>
      </c>
      <c r="B86" s="321" t="s">
        <v>394</v>
      </c>
      <c r="G86" s="321" t="s">
        <v>473</v>
      </c>
      <c r="K86" s="321" t="s">
        <v>974</v>
      </c>
      <c r="AA86" s="321" t="s">
        <v>608</v>
      </c>
      <c r="AB86" s="321" t="s">
        <v>394</v>
      </c>
      <c r="AG86" s="321" t="s">
        <v>473</v>
      </c>
      <c r="AK86" s="321" t="s">
        <v>974</v>
      </c>
    </row>
    <row r="87" spans="1:46" x14ac:dyDescent="0.2">
      <c r="A87" s="321" t="s">
        <v>975</v>
      </c>
      <c r="D87" s="321" t="s">
        <v>976</v>
      </c>
      <c r="E87" s="321" t="s">
        <v>977</v>
      </c>
      <c r="F87" s="321" t="s">
        <v>978</v>
      </c>
      <c r="G87" s="321" t="s">
        <v>979</v>
      </c>
      <c r="H87" s="321" t="s">
        <v>980</v>
      </c>
      <c r="I87" s="321" t="s">
        <v>981</v>
      </c>
      <c r="K87" s="321" t="s">
        <v>982</v>
      </c>
      <c r="L87" s="321" t="s">
        <v>983</v>
      </c>
      <c r="M87" s="321" t="s">
        <v>984</v>
      </c>
      <c r="N87" s="321" t="s">
        <v>985</v>
      </c>
      <c r="O87" s="321" t="s">
        <v>986</v>
      </c>
      <c r="P87" s="321" t="s">
        <v>987</v>
      </c>
      <c r="Q87" s="321" t="s">
        <v>879</v>
      </c>
      <c r="S87" s="321" t="s">
        <v>473</v>
      </c>
      <c r="AA87" s="321" t="s">
        <v>975</v>
      </c>
      <c r="AD87" s="321" t="s">
        <v>976</v>
      </c>
      <c r="AE87" s="321" t="s">
        <v>977</v>
      </c>
      <c r="AF87" s="321" t="s">
        <v>978</v>
      </c>
      <c r="AG87" s="321" t="s">
        <v>979</v>
      </c>
      <c r="AH87" s="321" t="s">
        <v>980</v>
      </c>
      <c r="AI87" s="321" t="s">
        <v>981</v>
      </c>
      <c r="AK87" s="321" t="s">
        <v>982</v>
      </c>
      <c r="AL87" s="321" t="s">
        <v>983</v>
      </c>
      <c r="AM87" s="321" t="s">
        <v>984</v>
      </c>
      <c r="AN87" s="321" t="s">
        <v>985</v>
      </c>
      <c r="AO87" s="321" t="s">
        <v>986</v>
      </c>
      <c r="AP87" s="321" t="s">
        <v>987</v>
      </c>
      <c r="AQ87" s="321" t="s">
        <v>879</v>
      </c>
      <c r="AS87" s="321" t="s">
        <v>473</v>
      </c>
    </row>
    <row r="88" spans="1:46" x14ac:dyDescent="0.2">
      <c r="A88" s="316">
        <v>1</v>
      </c>
      <c r="B88" s="316" t="str">
        <f t="shared" ref="B88:B93" si="30">D88&amp;"#"&amp;E88</f>
        <v>9#10</v>
      </c>
      <c r="C88" s="316" t="str">
        <f t="shared" ref="C88:C93" si="31">E88&amp;"#"&amp;D88</f>
        <v>10#9</v>
      </c>
      <c r="D88" s="316">
        <f>VLOOKUP(J88,daten!$G$59:$L$94,5,FALSE)</f>
        <v>9</v>
      </c>
      <c r="E88" s="316">
        <f>VLOOKUP(J88,daten!$G$59:$L$94,6,FALSE)</f>
        <v>10</v>
      </c>
      <c r="F88" s="316">
        <f t="shared" ref="F88:F93" si="32">D88</f>
        <v>9</v>
      </c>
      <c r="G88" s="316" t="str">
        <f>VLOOKUP(J88,Tippabgabe!$DQ$40:$DW$75,6,FALSE)</f>
        <v/>
      </c>
      <c r="H88" s="316" t="str">
        <f>VLOOKUP(J88,Tippabgabe!$DQ$40:$DW$75,7,FALSE)</f>
        <v/>
      </c>
      <c r="I88" s="316" t="str">
        <f t="shared" ref="I88:I93" si="33">IF(LEN(G88)&gt;0,G88,"")</f>
        <v/>
      </c>
      <c r="J88" s="316" t="str">
        <f>A86&amp;"-"&amp;A88</f>
        <v>C-1</v>
      </c>
      <c r="K88" s="321">
        <f t="shared" ref="K88:K93" si="34">IF(COUNT(G88:H88)&lt;&gt;2,0,IF(G88&gt;H88,3,IF(H88&gt;G88,0,1)))</f>
        <v>0</v>
      </c>
      <c r="L88" s="321">
        <f t="shared" ref="L88:L93" si="35">IF(COUNT(G88:H88)&lt;&gt;2,0,IF(G88&gt;H88,0,IF(H88&gt;G88,3,1)))</f>
        <v>0</v>
      </c>
      <c r="M88" s="321">
        <f t="shared" ref="M88:M93" si="36">IF(COUNT(G88:H88)&lt;&gt;2,0,G88-H88)</f>
        <v>0</v>
      </c>
      <c r="N88" s="321">
        <f t="shared" ref="N88:N93" si="37">IF(COUNT(G88:H88)&lt;&gt;2,0,H88-I88)</f>
        <v>0</v>
      </c>
      <c r="O88" s="321">
        <f t="shared" ref="O88:P93" si="38">K88*1000+M88+IF(LEN(G88)=0,0,G88/1000)</f>
        <v>0</v>
      </c>
      <c r="P88" s="321">
        <f t="shared" si="38"/>
        <v>0</v>
      </c>
      <c r="Q88" s="321">
        <f t="shared" ref="Q88:Q93" si="39">IF(COUNT(G88:H88)=2,1,0)</f>
        <v>0</v>
      </c>
      <c r="R88" s="321">
        <f t="shared" ref="R88:R93" si="40">Q88</f>
        <v>0</v>
      </c>
      <c r="S88" s="321" t="str">
        <f t="shared" ref="S88:T93" si="41">IF(Q88=0,"X",IF(K88=3,"S",IF(K88=0,"N","U")))&amp;D88</f>
        <v>X9</v>
      </c>
      <c r="T88" s="321" t="str">
        <f t="shared" si="41"/>
        <v>X10</v>
      </c>
      <c r="AA88" s="316">
        <v>1</v>
      </c>
      <c r="AB88" s="316" t="str">
        <f t="shared" ref="AB88:AB93" si="42">AD88&amp;"#"&amp;AE88</f>
        <v>13#14</v>
      </c>
      <c r="AC88" s="316" t="str">
        <f t="shared" ref="AC88:AC93" si="43">AE88&amp;"#"&amp;AD88</f>
        <v>14#13</v>
      </c>
      <c r="AD88" s="316">
        <f>VLOOKUP(AJ88,daten!$G$59:$L$94,5,FALSE)</f>
        <v>13</v>
      </c>
      <c r="AE88" s="316">
        <f>VLOOKUP(AJ88,daten!$G$59:$L$94,6,FALSE)</f>
        <v>14</v>
      </c>
      <c r="AF88" s="316">
        <f t="shared" ref="AF88:AF93" si="44">AD88</f>
        <v>13</v>
      </c>
      <c r="AG88" s="316" t="str">
        <f>VLOOKUP(AJ88,Tippabgabe!$DQ$40:$DW$75,6,FALSE)</f>
        <v/>
      </c>
      <c r="AH88" s="316" t="str">
        <f>VLOOKUP(AJ88,Tippabgabe!$DQ$40:$DW$75,7,FALSE)</f>
        <v/>
      </c>
      <c r="AI88" s="316" t="str">
        <f t="shared" ref="AI88:AI93" si="45">IF(LEN(AG88)&gt;0,AG88,"")</f>
        <v/>
      </c>
      <c r="AJ88" s="316" t="str">
        <f>AA86&amp;"-"&amp;AA88</f>
        <v>D-1</v>
      </c>
      <c r="AK88" s="321">
        <f t="shared" ref="AK88:AK93" si="46">IF(COUNT(AG88:AH88)&lt;&gt;2,0,IF(AG88&gt;AH88,3,IF(AH88&gt;AG88,0,1)))</f>
        <v>0</v>
      </c>
      <c r="AL88" s="321">
        <f t="shared" ref="AL88:AL93" si="47">IF(COUNT(AG88:AH88)&lt;&gt;2,0,IF(AG88&gt;AH88,0,IF(AH88&gt;AG88,3,1)))</f>
        <v>0</v>
      </c>
      <c r="AM88" s="321">
        <f t="shared" ref="AM88:AM93" si="48">IF(COUNT(AG88:AH88)&lt;&gt;2,0,AG88-AH88)</f>
        <v>0</v>
      </c>
      <c r="AN88" s="321">
        <f t="shared" ref="AN88:AN93" si="49">IF(COUNT(AG88:AH88)&lt;&gt;2,0,AH88-AI88)</f>
        <v>0</v>
      </c>
      <c r="AO88" s="321">
        <f t="shared" ref="AO88:AP93" si="50">AK88*1000+AM88+IF(LEN(AG88)=0,0,AG88/1000)</f>
        <v>0</v>
      </c>
      <c r="AP88" s="321">
        <f t="shared" si="50"/>
        <v>0</v>
      </c>
      <c r="AQ88" s="321">
        <f t="shared" ref="AQ88:AQ93" si="51">IF(COUNT(AG88:AH88)=2,1,0)</f>
        <v>0</v>
      </c>
      <c r="AR88" s="321">
        <f t="shared" ref="AR88:AR93" si="52">AQ88</f>
        <v>0</v>
      </c>
      <c r="AS88" s="321" t="str">
        <f t="shared" ref="AS88:AT93" si="53">IF(AQ88=0,"X",IF(AK88=3,"S",IF(AK88=0,"N","U")))&amp;AD88</f>
        <v>X13</v>
      </c>
      <c r="AT88" s="321" t="str">
        <f t="shared" si="53"/>
        <v>X14</v>
      </c>
    </row>
    <row r="89" spans="1:46" x14ac:dyDescent="0.2">
      <c r="A89" s="316">
        <v>2</v>
      </c>
      <c r="B89" s="316" t="str">
        <f t="shared" si="30"/>
        <v>11#12</v>
      </c>
      <c r="C89" s="316" t="str">
        <f t="shared" si="31"/>
        <v>12#11</v>
      </c>
      <c r="D89" s="316">
        <f>VLOOKUP(J89,daten!$G$59:$L$94,5,FALSE)</f>
        <v>11</v>
      </c>
      <c r="E89" s="316">
        <f>VLOOKUP(J89,daten!$G$59:$L$94,6,FALSE)</f>
        <v>12</v>
      </c>
      <c r="F89" s="316">
        <f t="shared" si="32"/>
        <v>11</v>
      </c>
      <c r="G89" s="316" t="str">
        <f>VLOOKUP(J89,Tippabgabe!$DQ$40:$DW$75,6,FALSE)</f>
        <v/>
      </c>
      <c r="H89" s="316" t="str">
        <f>VLOOKUP(J89,Tippabgabe!$DQ$40:$DW$75,7,FALSE)</f>
        <v/>
      </c>
      <c r="I89" s="316" t="str">
        <f t="shared" si="33"/>
        <v/>
      </c>
      <c r="J89" s="316" t="str">
        <f>A86&amp;"-"&amp;A89</f>
        <v>C-2</v>
      </c>
      <c r="K89" s="321">
        <f t="shared" si="34"/>
        <v>0</v>
      </c>
      <c r="L89" s="321">
        <f t="shared" si="35"/>
        <v>0</v>
      </c>
      <c r="M89" s="321">
        <f t="shared" si="36"/>
        <v>0</v>
      </c>
      <c r="N89" s="321">
        <f t="shared" si="37"/>
        <v>0</v>
      </c>
      <c r="O89" s="321">
        <f t="shared" si="38"/>
        <v>0</v>
      </c>
      <c r="P89" s="321">
        <f t="shared" si="38"/>
        <v>0</v>
      </c>
      <c r="Q89" s="321">
        <f t="shared" si="39"/>
        <v>0</v>
      </c>
      <c r="R89" s="321">
        <f t="shared" si="40"/>
        <v>0</v>
      </c>
      <c r="S89" s="321" t="str">
        <f t="shared" si="41"/>
        <v>X11</v>
      </c>
      <c r="T89" s="321" t="str">
        <f t="shared" si="41"/>
        <v>X12</v>
      </c>
      <c r="AA89" s="316">
        <v>2</v>
      </c>
      <c r="AB89" s="316" t="str">
        <f t="shared" si="42"/>
        <v>15#16</v>
      </c>
      <c r="AC89" s="316" t="str">
        <f t="shared" si="43"/>
        <v>16#15</v>
      </c>
      <c r="AD89" s="316">
        <f>VLOOKUP(AJ89,daten!$G$59:$L$94,5,FALSE)</f>
        <v>15</v>
      </c>
      <c r="AE89" s="316">
        <f>VLOOKUP(AJ89,daten!$G$59:$L$94,6,FALSE)</f>
        <v>16</v>
      </c>
      <c r="AF89" s="316">
        <f t="shared" si="44"/>
        <v>15</v>
      </c>
      <c r="AG89" s="316" t="str">
        <f>VLOOKUP(AJ89,Tippabgabe!$DQ$40:$DW$75,6,FALSE)</f>
        <v/>
      </c>
      <c r="AH89" s="316" t="str">
        <f>VLOOKUP(AJ89,Tippabgabe!$DQ$40:$DW$75,7,FALSE)</f>
        <v/>
      </c>
      <c r="AI89" s="316" t="str">
        <f t="shared" si="45"/>
        <v/>
      </c>
      <c r="AJ89" s="316" t="str">
        <f>AA86&amp;"-"&amp;AA89</f>
        <v>D-2</v>
      </c>
      <c r="AK89" s="321">
        <f t="shared" si="46"/>
        <v>0</v>
      </c>
      <c r="AL89" s="321">
        <f t="shared" si="47"/>
        <v>0</v>
      </c>
      <c r="AM89" s="321">
        <f t="shared" si="48"/>
        <v>0</v>
      </c>
      <c r="AN89" s="321">
        <f t="shared" si="49"/>
        <v>0</v>
      </c>
      <c r="AO89" s="321">
        <f t="shared" si="50"/>
        <v>0</v>
      </c>
      <c r="AP89" s="321">
        <f t="shared" si="50"/>
        <v>0</v>
      </c>
      <c r="AQ89" s="321">
        <f t="shared" si="51"/>
        <v>0</v>
      </c>
      <c r="AR89" s="321">
        <f t="shared" si="52"/>
        <v>0</v>
      </c>
      <c r="AS89" s="321" t="str">
        <f t="shared" si="53"/>
        <v>X15</v>
      </c>
      <c r="AT89" s="321" t="str">
        <f t="shared" si="53"/>
        <v>X16</v>
      </c>
    </row>
    <row r="90" spans="1:46" x14ac:dyDescent="0.2">
      <c r="A90" s="316">
        <v>3</v>
      </c>
      <c r="B90" s="316" t="str">
        <f t="shared" si="30"/>
        <v>9#11</v>
      </c>
      <c r="C90" s="316" t="str">
        <f t="shared" si="31"/>
        <v>11#9</v>
      </c>
      <c r="D90" s="316">
        <f>VLOOKUP(J90,daten!$G$59:$L$94,5,FALSE)</f>
        <v>9</v>
      </c>
      <c r="E90" s="316">
        <f>VLOOKUP(J90,daten!$G$59:$L$94,6,FALSE)</f>
        <v>11</v>
      </c>
      <c r="F90" s="316">
        <f t="shared" si="32"/>
        <v>9</v>
      </c>
      <c r="G90" s="316" t="str">
        <f>VLOOKUP(J90,Tippabgabe!$DQ$40:$DW$75,6,FALSE)</f>
        <v/>
      </c>
      <c r="H90" s="316" t="str">
        <f>VLOOKUP(J90,Tippabgabe!$DQ$40:$DW$75,7,FALSE)</f>
        <v/>
      </c>
      <c r="I90" s="316" t="str">
        <f t="shared" si="33"/>
        <v/>
      </c>
      <c r="J90" s="316" t="str">
        <f>A86&amp;"-"&amp;A90</f>
        <v>C-3</v>
      </c>
      <c r="K90" s="321">
        <f t="shared" si="34"/>
        <v>0</v>
      </c>
      <c r="L90" s="321">
        <f t="shared" si="35"/>
        <v>0</v>
      </c>
      <c r="M90" s="321">
        <f t="shared" si="36"/>
        <v>0</v>
      </c>
      <c r="N90" s="321">
        <f t="shared" si="37"/>
        <v>0</v>
      </c>
      <c r="O90" s="321">
        <f t="shared" si="38"/>
        <v>0</v>
      </c>
      <c r="P90" s="321">
        <f t="shared" si="38"/>
        <v>0</v>
      </c>
      <c r="Q90" s="321">
        <f t="shared" si="39"/>
        <v>0</v>
      </c>
      <c r="R90" s="321">
        <f t="shared" si="40"/>
        <v>0</v>
      </c>
      <c r="S90" s="321" t="str">
        <f t="shared" si="41"/>
        <v>X9</v>
      </c>
      <c r="T90" s="321" t="str">
        <f t="shared" si="41"/>
        <v>X11</v>
      </c>
      <c r="AA90" s="316">
        <v>3</v>
      </c>
      <c r="AB90" s="316" t="str">
        <f t="shared" si="42"/>
        <v>13#15</v>
      </c>
      <c r="AC90" s="316" t="str">
        <f t="shared" si="43"/>
        <v>15#13</v>
      </c>
      <c r="AD90" s="316">
        <f>VLOOKUP(AJ90,daten!$G$59:$L$94,5,FALSE)</f>
        <v>13</v>
      </c>
      <c r="AE90" s="316">
        <f>VLOOKUP(AJ90,daten!$G$59:$L$94,6,FALSE)</f>
        <v>15</v>
      </c>
      <c r="AF90" s="316">
        <f t="shared" si="44"/>
        <v>13</v>
      </c>
      <c r="AG90" s="316" t="str">
        <f>VLOOKUP(AJ90,Tippabgabe!$DQ$40:$DW$75,6,FALSE)</f>
        <v/>
      </c>
      <c r="AH90" s="316" t="str">
        <f>VLOOKUP(AJ90,Tippabgabe!$DQ$40:$DW$75,7,FALSE)</f>
        <v/>
      </c>
      <c r="AI90" s="316" t="str">
        <f t="shared" si="45"/>
        <v/>
      </c>
      <c r="AJ90" s="316" t="str">
        <f>AA86&amp;"-"&amp;AA90</f>
        <v>D-3</v>
      </c>
      <c r="AK90" s="321">
        <f t="shared" si="46"/>
        <v>0</v>
      </c>
      <c r="AL90" s="321">
        <f t="shared" si="47"/>
        <v>0</v>
      </c>
      <c r="AM90" s="321">
        <f t="shared" si="48"/>
        <v>0</v>
      </c>
      <c r="AN90" s="321">
        <f t="shared" si="49"/>
        <v>0</v>
      </c>
      <c r="AO90" s="321">
        <f t="shared" si="50"/>
        <v>0</v>
      </c>
      <c r="AP90" s="321">
        <f t="shared" si="50"/>
        <v>0</v>
      </c>
      <c r="AQ90" s="321">
        <f t="shared" si="51"/>
        <v>0</v>
      </c>
      <c r="AR90" s="321">
        <f t="shared" si="52"/>
        <v>0</v>
      </c>
      <c r="AS90" s="321" t="str">
        <f t="shared" si="53"/>
        <v>X13</v>
      </c>
      <c r="AT90" s="321" t="str">
        <f t="shared" si="53"/>
        <v>X15</v>
      </c>
    </row>
    <row r="91" spans="1:46" x14ac:dyDescent="0.2">
      <c r="A91" s="316">
        <v>4</v>
      </c>
      <c r="B91" s="316" t="str">
        <f t="shared" si="30"/>
        <v>10#12</v>
      </c>
      <c r="C91" s="316" t="str">
        <f t="shared" si="31"/>
        <v>12#10</v>
      </c>
      <c r="D91" s="316">
        <f>VLOOKUP(J91,daten!$G$59:$L$94,5,FALSE)</f>
        <v>10</v>
      </c>
      <c r="E91" s="316">
        <f>VLOOKUP(J91,daten!$G$59:$L$94,6,FALSE)</f>
        <v>12</v>
      </c>
      <c r="F91" s="316">
        <f t="shared" si="32"/>
        <v>10</v>
      </c>
      <c r="G91" s="316" t="str">
        <f>VLOOKUP(J91,Tippabgabe!$DQ$40:$DW$75,6,FALSE)</f>
        <v/>
      </c>
      <c r="H91" s="316" t="str">
        <f>VLOOKUP(J91,Tippabgabe!$DQ$40:$DW$75,7,FALSE)</f>
        <v/>
      </c>
      <c r="I91" s="316" t="str">
        <f t="shared" si="33"/>
        <v/>
      </c>
      <c r="J91" s="316" t="str">
        <f>A86&amp;"-"&amp;A91</f>
        <v>C-4</v>
      </c>
      <c r="K91" s="321">
        <f t="shared" si="34"/>
        <v>0</v>
      </c>
      <c r="L91" s="321">
        <f t="shared" si="35"/>
        <v>0</v>
      </c>
      <c r="M91" s="321">
        <f t="shared" si="36"/>
        <v>0</v>
      </c>
      <c r="N91" s="321">
        <f t="shared" si="37"/>
        <v>0</v>
      </c>
      <c r="O91" s="321">
        <f t="shared" si="38"/>
        <v>0</v>
      </c>
      <c r="P91" s="321">
        <f t="shared" si="38"/>
        <v>0</v>
      </c>
      <c r="Q91" s="321">
        <f t="shared" si="39"/>
        <v>0</v>
      </c>
      <c r="R91" s="321">
        <f t="shared" si="40"/>
        <v>0</v>
      </c>
      <c r="S91" s="321" t="str">
        <f t="shared" si="41"/>
        <v>X10</v>
      </c>
      <c r="T91" s="321" t="str">
        <f t="shared" si="41"/>
        <v>X12</v>
      </c>
      <c r="AA91" s="316">
        <v>4</v>
      </c>
      <c r="AB91" s="316" t="str">
        <f t="shared" si="42"/>
        <v>14#16</v>
      </c>
      <c r="AC91" s="316" t="str">
        <f t="shared" si="43"/>
        <v>16#14</v>
      </c>
      <c r="AD91" s="316">
        <f>VLOOKUP(AJ91,daten!$G$59:$L$94,5,FALSE)</f>
        <v>14</v>
      </c>
      <c r="AE91" s="316">
        <f>VLOOKUP(AJ91,daten!$G$59:$L$94,6,FALSE)</f>
        <v>16</v>
      </c>
      <c r="AF91" s="316">
        <f t="shared" si="44"/>
        <v>14</v>
      </c>
      <c r="AG91" s="316" t="str">
        <f>VLOOKUP(AJ91,Tippabgabe!$DQ$40:$DW$75,6,FALSE)</f>
        <v/>
      </c>
      <c r="AH91" s="316" t="str">
        <f>VLOOKUP(AJ91,Tippabgabe!$DQ$40:$DW$75,7,FALSE)</f>
        <v/>
      </c>
      <c r="AI91" s="316" t="str">
        <f t="shared" si="45"/>
        <v/>
      </c>
      <c r="AJ91" s="316" t="str">
        <f>AA86&amp;"-"&amp;AA91</f>
        <v>D-4</v>
      </c>
      <c r="AK91" s="321">
        <f t="shared" si="46"/>
        <v>0</v>
      </c>
      <c r="AL91" s="321">
        <f t="shared" si="47"/>
        <v>0</v>
      </c>
      <c r="AM91" s="321">
        <f t="shared" si="48"/>
        <v>0</v>
      </c>
      <c r="AN91" s="321">
        <f t="shared" si="49"/>
        <v>0</v>
      </c>
      <c r="AO91" s="321">
        <f t="shared" si="50"/>
        <v>0</v>
      </c>
      <c r="AP91" s="321">
        <f t="shared" si="50"/>
        <v>0</v>
      </c>
      <c r="AQ91" s="321">
        <f t="shared" si="51"/>
        <v>0</v>
      </c>
      <c r="AR91" s="321">
        <f t="shared" si="52"/>
        <v>0</v>
      </c>
      <c r="AS91" s="321" t="str">
        <f t="shared" si="53"/>
        <v>X14</v>
      </c>
      <c r="AT91" s="321" t="str">
        <f t="shared" si="53"/>
        <v>X16</v>
      </c>
    </row>
    <row r="92" spans="1:46" x14ac:dyDescent="0.2">
      <c r="A92" s="316">
        <v>5</v>
      </c>
      <c r="B92" s="316" t="str">
        <f t="shared" si="30"/>
        <v>12#9</v>
      </c>
      <c r="C92" s="316" t="str">
        <f t="shared" si="31"/>
        <v>9#12</v>
      </c>
      <c r="D92" s="316">
        <f>VLOOKUP(J92,daten!$G$59:$L$94,5,FALSE)</f>
        <v>12</v>
      </c>
      <c r="E92" s="316">
        <f>VLOOKUP(J92,daten!$G$59:$L$94,6,FALSE)</f>
        <v>9</v>
      </c>
      <c r="F92" s="316">
        <f t="shared" si="32"/>
        <v>12</v>
      </c>
      <c r="G92" s="316" t="str">
        <f>VLOOKUP(J92,Tippabgabe!$DQ$40:$DW$75,6,FALSE)</f>
        <v/>
      </c>
      <c r="H92" s="316" t="str">
        <f>VLOOKUP(J92,Tippabgabe!$DQ$40:$DW$75,7,FALSE)</f>
        <v/>
      </c>
      <c r="I92" s="316" t="str">
        <f t="shared" si="33"/>
        <v/>
      </c>
      <c r="J92" s="316" t="str">
        <f>A86&amp;"-"&amp;A92</f>
        <v>C-5</v>
      </c>
      <c r="K92" s="321">
        <f t="shared" si="34"/>
        <v>0</v>
      </c>
      <c r="L92" s="321">
        <f t="shared" si="35"/>
        <v>0</v>
      </c>
      <c r="M92" s="321">
        <f t="shared" si="36"/>
        <v>0</v>
      </c>
      <c r="N92" s="321">
        <f t="shared" si="37"/>
        <v>0</v>
      </c>
      <c r="O92" s="321">
        <f t="shared" si="38"/>
        <v>0</v>
      </c>
      <c r="P92" s="321">
        <f t="shared" si="38"/>
        <v>0</v>
      </c>
      <c r="Q92" s="321">
        <f t="shared" si="39"/>
        <v>0</v>
      </c>
      <c r="R92" s="321">
        <f t="shared" si="40"/>
        <v>0</v>
      </c>
      <c r="S92" s="321" t="str">
        <f t="shared" si="41"/>
        <v>X12</v>
      </c>
      <c r="T92" s="321" t="str">
        <f t="shared" si="41"/>
        <v>X9</v>
      </c>
      <c r="AA92" s="316">
        <v>5</v>
      </c>
      <c r="AB92" s="316" t="str">
        <f t="shared" si="42"/>
        <v>14#15</v>
      </c>
      <c r="AC92" s="316" t="str">
        <f t="shared" si="43"/>
        <v>15#14</v>
      </c>
      <c r="AD92" s="316">
        <f>VLOOKUP(AJ92,daten!$G$59:$L$94,5,FALSE)</f>
        <v>14</v>
      </c>
      <c r="AE92" s="316">
        <f>VLOOKUP(AJ92,daten!$G$59:$L$94,6,FALSE)</f>
        <v>15</v>
      </c>
      <c r="AF92" s="316">
        <f t="shared" si="44"/>
        <v>14</v>
      </c>
      <c r="AG92" s="316" t="str">
        <f>VLOOKUP(AJ92,Tippabgabe!$DQ$40:$DW$75,6,FALSE)</f>
        <v/>
      </c>
      <c r="AH92" s="316" t="str">
        <f>VLOOKUP(AJ92,Tippabgabe!$DQ$40:$DW$75,7,FALSE)</f>
        <v/>
      </c>
      <c r="AI92" s="316" t="str">
        <f t="shared" si="45"/>
        <v/>
      </c>
      <c r="AJ92" s="316" t="str">
        <f>AA86&amp;"-"&amp;AA92</f>
        <v>D-5</v>
      </c>
      <c r="AK92" s="321">
        <f t="shared" si="46"/>
        <v>0</v>
      </c>
      <c r="AL92" s="321">
        <f t="shared" si="47"/>
        <v>0</v>
      </c>
      <c r="AM92" s="321">
        <f t="shared" si="48"/>
        <v>0</v>
      </c>
      <c r="AN92" s="321">
        <f t="shared" si="49"/>
        <v>0</v>
      </c>
      <c r="AO92" s="321">
        <f t="shared" si="50"/>
        <v>0</v>
      </c>
      <c r="AP92" s="321">
        <f t="shared" si="50"/>
        <v>0</v>
      </c>
      <c r="AQ92" s="321">
        <f t="shared" si="51"/>
        <v>0</v>
      </c>
      <c r="AR92" s="321">
        <f t="shared" si="52"/>
        <v>0</v>
      </c>
      <c r="AS92" s="321" t="str">
        <f t="shared" si="53"/>
        <v>X14</v>
      </c>
      <c r="AT92" s="321" t="str">
        <f t="shared" si="53"/>
        <v>X15</v>
      </c>
    </row>
    <row r="93" spans="1:46" x14ac:dyDescent="0.2">
      <c r="A93" s="316">
        <v>6</v>
      </c>
      <c r="B93" s="316" t="str">
        <f t="shared" si="30"/>
        <v>10#11</v>
      </c>
      <c r="C93" s="316" t="str">
        <f t="shared" si="31"/>
        <v>11#10</v>
      </c>
      <c r="D93" s="316">
        <f>VLOOKUP(J93,daten!$G$59:$L$94,5,FALSE)</f>
        <v>10</v>
      </c>
      <c r="E93" s="316">
        <f>VLOOKUP(J93,daten!$G$59:$L$94,6,FALSE)</f>
        <v>11</v>
      </c>
      <c r="F93" s="316">
        <f t="shared" si="32"/>
        <v>10</v>
      </c>
      <c r="G93" s="316" t="str">
        <f>VLOOKUP(J93,Tippabgabe!$DQ$40:$DW$75,6,FALSE)</f>
        <v/>
      </c>
      <c r="H93" s="316" t="str">
        <f>VLOOKUP(J93,Tippabgabe!$DQ$40:$DW$75,7,FALSE)</f>
        <v/>
      </c>
      <c r="I93" s="316" t="str">
        <f t="shared" si="33"/>
        <v/>
      </c>
      <c r="J93" s="316" t="str">
        <f>A86&amp;"-"&amp;A93</f>
        <v>C-6</v>
      </c>
      <c r="K93" s="321">
        <f t="shared" si="34"/>
        <v>0</v>
      </c>
      <c r="L93" s="321">
        <f t="shared" si="35"/>
        <v>0</v>
      </c>
      <c r="M93" s="321">
        <f t="shared" si="36"/>
        <v>0</v>
      </c>
      <c r="N93" s="321">
        <f t="shared" si="37"/>
        <v>0</v>
      </c>
      <c r="O93" s="321">
        <f t="shared" si="38"/>
        <v>0</v>
      </c>
      <c r="P93" s="321">
        <f t="shared" si="38"/>
        <v>0</v>
      </c>
      <c r="Q93" s="321">
        <f t="shared" si="39"/>
        <v>0</v>
      </c>
      <c r="R93" s="321">
        <f t="shared" si="40"/>
        <v>0</v>
      </c>
      <c r="S93" s="321" t="str">
        <f t="shared" si="41"/>
        <v>X10</v>
      </c>
      <c r="T93" s="321" t="str">
        <f t="shared" si="41"/>
        <v>X11</v>
      </c>
      <c r="AA93" s="316">
        <v>6</v>
      </c>
      <c r="AB93" s="316" t="str">
        <f t="shared" si="42"/>
        <v>16#13</v>
      </c>
      <c r="AC93" s="316" t="str">
        <f t="shared" si="43"/>
        <v>13#16</v>
      </c>
      <c r="AD93" s="316">
        <f>VLOOKUP(AJ93,daten!$G$59:$L$94,5,FALSE)</f>
        <v>16</v>
      </c>
      <c r="AE93" s="316">
        <f>VLOOKUP(AJ93,daten!$G$59:$L$94,6,FALSE)</f>
        <v>13</v>
      </c>
      <c r="AF93" s="316">
        <f t="shared" si="44"/>
        <v>16</v>
      </c>
      <c r="AG93" s="316" t="str">
        <f>VLOOKUP(AJ93,Tippabgabe!$DQ$40:$DW$75,6,FALSE)</f>
        <v/>
      </c>
      <c r="AH93" s="316" t="str">
        <f>VLOOKUP(AJ93,Tippabgabe!$DQ$40:$DW$75,7,FALSE)</f>
        <v/>
      </c>
      <c r="AI93" s="316" t="str">
        <f t="shared" si="45"/>
        <v/>
      </c>
      <c r="AJ93" s="316" t="str">
        <f>AA86&amp;"-"&amp;AA93</f>
        <v>D-6</v>
      </c>
      <c r="AK93" s="321">
        <f t="shared" si="46"/>
        <v>0</v>
      </c>
      <c r="AL93" s="321">
        <f t="shared" si="47"/>
        <v>0</v>
      </c>
      <c r="AM93" s="321">
        <f t="shared" si="48"/>
        <v>0</v>
      </c>
      <c r="AN93" s="321">
        <f t="shared" si="49"/>
        <v>0</v>
      </c>
      <c r="AO93" s="321">
        <f t="shared" si="50"/>
        <v>0</v>
      </c>
      <c r="AP93" s="321">
        <f t="shared" si="50"/>
        <v>0</v>
      </c>
      <c r="AQ93" s="321">
        <f t="shared" si="51"/>
        <v>0</v>
      </c>
      <c r="AR93" s="321">
        <f t="shared" si="52"/>
        <v>0</v>
      </c>
      <c r="AS93" s="321" t="str">
        <f t="shared" si="53"/>
        <v>X16</v>
      </c>
      <c r="AT93" s="321" t="str">
        <f t="shared" si="53"/>
        <v>X13</v>
      </c>
    </row>
    <row r="96" spans="1:46" x14ac:dyDescent="0.2">
      <c r="A96" s="321" t="s">
        <v>374</v>
      </c>
      <c r="C96" s="321" t="s">
        <v>988</v>
      </c>
      <c r="D96" s="321" t="s">
        <v>587</v>
      </c>
      <c r="E96" s="321" t="s">
        <v>989</v>
      </c>
      <c r="F96" s="321" t="s">
        <v>990</v>
      </c>
      <c r="G96" s="321" t="s">
        <v>991</v>
      </c>
      <c r="H96" s="321" t="s">
        <v>108</v>
      </c>
      <c r="I96" s="321" t="s">
        <v>992</v>
      </c>
      <c r="K96" s="321" t="s">
        <v>993</v>
      </c>
      <c r="M96" s="321" t="s">
        <v>994</v>
      </c>
      <c r="N96" s="321" t="s">
        <v>992</v>
      </c>
      <c r="AA96" s="321" t="s">
        <v>374</v>
      </c>
      <c r="AC96" s="321" t="s">
        <v>988</v>
      </c>
      <c r="AD96" s="321" t="s">
        <v>587</v>
      </c>
      <c r="AE96" s="321" t="s">
        <v>989</v>
      </c>
      <c r="AF96" s="321" t="s">
        <v>990</v>
      </c>
      <c r="AG96" s="321" t="s">
        <v>991</v>
      </c>
      <c r="AH96" s="321" t="s">
        <v>108</v>
      </c>
      <c r="AI96" s="321" t="s">
        <v>992</v>
      </c>
      <c r="AK96" s="321" t="s">
        <v>993</v>
      </c>
      <c r="AM96" s="321" t="s">
        <v>994</v>
      </c>
      <c r="AN96" s="321" t="s">
        <v>992</v>
      </c>
    </row>
    <row r="97" spans="1:40" x14ac:dyDescent="0.2">
      <c r="A97" s="321">
        <v>2</v>
      </c>
      <c r="C97" s="321">
        <v>9</v>
      </c>
      <c r="D97" s="321">
        <f>SUMIF($D$88:$E$93,"="&amp;C97,$K$88:$L$93)</f>
        <v>0</v>
      </c>
      <c r="E97" s="321">
        <f>SUMIF($D$88:$E$93,"="&amp;$C97,$G$88:$H$93)</f>
        <v>0</v>
      </c>
      <c r="F97" s="321">
        <f>E97-G97</f>
        <v>0</v>
      </c>
      <c r="G97" s="321">
        <f>SUMIF($D$88:$E$93,"="&amp;$C97,$G$88:$H$93)-SUMIF($D$88:$E$93,"="&amp;$C97,$H$88:$I$93)</f>
        <v>0</v>
      </c>
      <c r="H97" s="321" t="str">
        <f>INDEX(teams_k,C97)</f>
        <v>SLO</v>
      </c>
      <c r="I97" s="321">
        <f>RANK(D97,$D$97:$D$100,1)</f>
        <v>1</v>
      </c>
      <c r="L97" s="321">
        <v>1</v>
      </c>
      <c r="M97" s="321">
        <v>1</v>
      </c>
      <c r="N97" s="321">
        <f>RANK(M97,$M$97:$M$100)</f>
        <v>1</v>
      </c>
      <c r="AA97" s="321">
        <v>2</v>
      </c>
      <c r="AC97" s="321">
        <v>13</v>
      </c>
      <c r="AD97" s="321">
        <f>SUMIF($AD$88:$AE$93,"="&amp;AC97,$AK$88:$AL$93)</f>
        <v>0</v>
      </c>
      <c r="AE97" s="321">
        <f>SUMIF($AD$88:$AE$93,"="&amp;$AC97,$AG$88:$AH$93)</f>
        <v>0</v>
      </c>
      <c r="AF97" s="321">
        <f>AE97-AG97</f>
        <v>0</v>
      </c>
      <c r="AG97" s="321">
        <f>SUMIF($AD$88:$AE$93,"="&amp;$AC97,$AG$88:$AH$93)-SUMIF($AD$88:$AE$93,"="&amp;$AC97,$AH$88:$AI$93)</f>
        <v>0</v>
      </c>
      <c r="AH97" s="321" t="str">
        <f>INDEX(teams_k,AC97)</f>
        <v>POL</v>
      </c>
      <c r="AI97" s="321">
        <f>RANK(AD97,$AD$97:$AD$100,1)</f>
        <v>1</v>
      </c>
      <c r="AL97" s="321">
        <v>1</v>
      </c>
      <c r="AM97" s="321">
        <v>1</v>
      </c>
      <c r="AN97" s="321">
        <f>RANK(AM97,$AM$97:$AM$100)</f>
        <v>1</v>
      </c>
    </row>
    <row r="98" spans="1:40" x14ac:dyDescent="0.2">
      <c r="C98" s="321">
        <v>10</v>
      </c>
      <c r="D98" s="321">
        <f>SUMIF($D$88:$E$93,"="&amp;C98,$K$88:$L$93)</f>
        <v>0</v>
      </c>
      <c r="E98" s="321">
        <f>SUMIF($D$88:$E$93,"="&amp;$C98,$G$88:$H$93)</f>
        <v>0</v>
      </c>
      <c r="F98" s="321">
        <f>E98-G98</f>
        <v>0</v>
      </c>
      <c r="G98" s="321">
        <f>SUMIF($D$88:$E$93,"="&amp;$C98,$G$88:$H$93)-SUMIF($D$88:$E$93,"="&amp;$C98,$H$88:$I$93)</f>
        <v>0</v>
      </c>
      <c r="H98" s="321" t="str">
        <f>INDEX(teams_k,C98)</f>
        <v>DEN</v>
      </c>
      <c r="I98" s="321">
        <f>RANK(D98,$D$97:$D$100,1)</f>
        <v>1</v>
      </c>
      <c r="L98" s="321">
        <v>2</v>
      </c>
      <c r="M98" s="321">
        <v>1</v>
      </c>
      <c r="N98" s="321">
        <f>RANK(M98,$M$97:$M$100)</f>
        <v>1</v>
      </c>
      <c r="AC98" s="321">
        <v>14</v>
      </c>
      <c r="AD98" s="321">
        <f>SUMIF($AD$88:$AE$93,"="&amp;AC98,$AK$88:$AL$93)</f>
        <v>0</v>
      </c>
      <c r="AE98" s="321">
        <f>SUMIF($AD$88:$AE$93,"="&amp;$AC98,$AG$88:$AH$93)</f>
        <v>0</v>
      </c>
      <c r="AF98" s="321">
        <f>AE98-AG98</f>
        <v>0</v>
      </c>
      <c r="AG98" s="321">
        <f>SUMIF($AD$88:$AE$93,"="&amp;$AC98,$AG$88:$AH$93)-SUMIF($AD$88:$AE$93,"="&amp;$AC98,$AH$88:$AI$93)</f>
        <v>0</v>
      </c>
      <c r="AH98" s="321" t="str">
        <f>INDEX(teams_k,AC98)</f>
        <v>NED</v>
      </c>
      <c r="AI98" s="321">
        <f>RANK(AD98,$AD$97:$AD$100,1)</f>
        <v>1</v>
      </c>
      <c r="AL98" s="321">
        <v>2</v>
      </c>
      <c r="AM98" s="321">
        <v>1</v>
      </c>
      <c r="AN98" s="321">
        <f>RANK(AM98,$AM$97:$AM$100)</f>
        <v>1</v>
      </c>
    </row>
    <row r="99" spans="1:40" x14ac:dyDescent="0.2">
      <c r="C99" s="321">
        <v>11</v>
      </c>
      <c r="D99" s="321">
        <f>SUMIF($D$88:$E$93,"="&amp;C99,$K$88:$L$93)</f>
        <v>0</v>
      </c>
      <c r="E99" s="321">
        <f>SUMIF($D$88:$E$93,"="&amp;$C99,$G$88:$H$93)</f>
        <v>0</v>
      </c>
      <c r="F99" s="321">
        <f>E99-G99</f>
        <v>0</v>
      </c>
      <c r="G99" s="321">
        <f>SUMIF($D$88:$E$93,"="&amp;$C99,$G$88:$H$93)-SUMIF($D$88:$E$93,"="&amp;$C99,$H$88:$I$93)</f>
        <v>0</v>
      </c>
      <c r="H99" s="321" t="str">
        <f>INDEX(teams_k,C99)</f>
        <v>SRB</v>
      </c>
      <c r="I99" s="321">
        <f>RANK(D99,$D$97:$D$100,1)</f>
        <v>1</v>
      </c>
      <c r="L99" s="321">
        <v>3</v>
      </c>
      <c r="M99" s="321">
        <v>1</v>
      </c>
      <c r="N99" s="321">
        <f>RANK(M99,$M$97:$M$100)</f>
        <v>1</v>
      </c>
      <c r="AC99" s="321">
        <v>15</v>
      </c>
      <c r="AD99" s="321">
        <f>SUMIF($AD$88:$AE$93,"="&amp;AC99,$AK$88:$AL$93)</f>
        <v>0</v>
      </c>
      <c r="AE99" s="321">
        <f>SUMIF($AD$88:$AE$93,"="&amp;$AC99,$AG$88:$AH$93)</f>
        <v>0</v>
      </c>
      <c r="AF99" s="321">
        <f>AE99-AG99</f>
        <v>0</v>
      </c>
      <c r="AG99" s="321">
        <f>SUMIF($AD$88:$AE$93,"="&amp;$AC99,$AG$88:$AH$93)-SUMIF($AD$88:$AE$93,"="&amp;$AC99,$AH$88:$AI$93)</f>
        <v>0</v>
      </c>
      <c r="AH99" s="321" t="str">
        <f>INDEX(teams_k,AC99)</f>
        <v>AUT</v>
      </c>
      <c r="AI99" s="321">
        <f>RANK(AD99,$AD$97:$AD$100,1)</f>
        <v>1</v>
      </c>
      <c r="AL99" s="321">
        <v>3</v>
      </c>
      <c r="AM99" s="321">
        <v>1</v>
      </c>
      <c r="AN99" s="321">
        <f>RANK(AM99,$AM$97:$AM$100)</f>
        <v>1</v>
      </c>
    </row>
    <row r="100" spans="1:40" x14ac:dyDescent="0.2">
      <c r="C100" s="321">
        <v>12</v>
      </c>
      <c r="D100" s="321">
        <f>SUMIF($D$88:$E$93,"="&amp;C100,$K$88:$L$93)</f>
        <v>0</v>
      </c>
      <c r="E100" s="321">
        <f>SUMIF($D$88:$E$93,"="&amp;$C100,$G$88:$H$93)</f>
        <v>0</v>
      </c>
      <c r="F100" s="321">
        <f>E100-G100</f>
        <v>0</v>
      </c>
      <c r="G100" s="321">
        <f>SUMIF($D$88:$E$93,"="&amp;$C100,$G$88:$H$93)-SUMIF($D$88:$E$93,"="&amp;$C100,$H$88:$I$93)</f>
        <v>0</v>
      </c>
      <c r="H100" s="321" t="str">
        <f>INDEX(teams_k,C100)</f>
        <v>ENG</v>
      </c>
      <c r="I100" s="321">
        <f>RANK(D100,$D$97:$D$100,1)</f>
        <v>1</v>
      </c>
      <c r="L100" s="321">
        <v>4</v>
      </c>
      <c r="M100" s="321">
        <v>1</v>
      </c>
      <c r="N100" s="321">
        <f>RANK(M100,$M$97:$M$100)</f>
        <v>1</v>
      </c>
      <c r="AC100" s="321">
        <v>16</v>
      </c>
      <c r="AD100" s="321">
        <f>SUMIF($AD$88:$AE$93,"="&amp;AC100,$AK$88:$AL$93)</f>
        <v>0</v>
      </c>
      <c r="AE100" s="321">
        <f>SUMIF($AD$88:$AE$93,"="&amp;$AC100,$AG$88:$AH$93)</f>
        <v>0</v>
      </c>
      <c r="AF100" s="321">
        <f>AE100-AG100</f>
        <v>0</v>
      </c>
      <c r="AG100" s="321">
        <f>SUMIF($AD$88:$AE$93,"="&amp;$AC100,$AG$88:$AH$93)-SUMIF($AD$88:$AE$93,"="&amp;$AC100,$AH$88:$AI$93)</f>
        <v>0</v>
      </c>
      <c r="AH100" s="321" t="str">
        <f>INDEX(teams_k,AC100)</f>
        <v>FRA</v>
      </c>
      <c r="AI100" s="321">
        <f>RANK(AD100,$AD$97:$AD$100,1)</f>
        <v>1</v>
      </c>
      <c r="AL100" s="321">
        <v>4</v>
      </c>
      <c r="AM100" s="321">
        <v>1</v>
      </c>
      <c r="AN100" s="321">
        <f>RANK(AM100,$AM$97:$AM$100)</f>
        <v>1</v>
      </c>
    </row>
    <row r="102" spans="1:40" x14ac:dyDescent="0.2">
      <c r="B102" s="321" t="s">
        <v>995</v>
      </c>
      <c r="D102" s="321">
        <f>B104</f>
        <v>9</v>
      </c>
      <c r="E102" s="321">
        <f>B105</f>
        <v>10</v>
      </c>
      <c r="F102" s="321">
        <f>B106</f>
        <v>11</v>
      </c>
      <c r="G102" s="321">
        <f>B107</f>
        <v>12</v>
      </c>
      <c r="AB102" s="321" t="s">
        <v>995</v>
      </c>
      <c r="AD102" s="321">
        <f>AB104</f>
        <v>13</v>
      </c>
      <c r="AE102" s="321">
        <f>AB105</f>
        <v>14</v>
      </c>
      <c r="AF102" s="321">
        <f>AB106</f>
        <v>15</v>
      </c>
      <c r="AG102" s="321">
        <f>AB107</f>
        <v>16</v>
      </c>
    </row>
    <row r="103" spans="1:40" x14ac:dyDescent="0.2">
      <c r="B103" s="321" t="s">
        <v>996</v>
      </c>
      <c r="C103" s="321" t="s">
        <v>975</v>
      </c>
      <c r="D103" s="321">
        <f>C104</f>
        <v>1</v>
      </c>
      <c r="E103" s="321">
        <f>C105</f>
        <v>2</v>
      </c>
      <c r="F103" s="321">
        <f>C106</f>
        <v>3</v>
      </c>
      <c r="G103" s="321">
        <f>C107</f>
        <v>4</v>
      </c>
      <c r="I103" s="321" t="s">
        <v>997</v>
      </c>
      <c r="AB103" s="321" t="s">
        <v>996</v>
      </c>
      <c r="AC103" s="321" t="s">
        <v>975</v>
      </c>
      <c r="AD103" s="321">
        <f>AC104</f>
        <v>1</v>
      </c>
      <c r="AE103" s="321">
        <f>AC105</f>
        <v>2</v>
      </c>
      <c r="AF103" s="321">
        <f>AC106</f>
        <v>3</v>
      </c>
      <c r="AG103" s="321">
        <f>AC107</f>
        <v>4</v>
      </c>
      <c r="AI103" s="321" t="s">
        <v>997</v>
      </c>
    </row>
    <row r="104" spans="1:40" x14ac:dyDescent="0.2">
      <c r="B104" s="321">
        <f>INDEX($C$97:$C$100,C104)</f>
        <v>9</v>
      </c>
      <c r="C104" s="321">
        <v>1</v>
      </c>
      <c r="D104" s="321">
        <f t="shared" ref="D104:G107" si="54">IF(INDEX($I$97:$I$100,$C104)&lt;&gt;INDEX($I$97:$I$100,D$103),0,SUMIF($B$88:$C$93,"="&amp;$B104&amp;"#"&amp;D$102,$O$88:$P$93))</f>
        <v>0</v>
      </c>
      <c r="E104" s="321">
        <f t="shared" si="54"/>
        <v>0</v>
      </c>
      <c r="F104" s="321">
        <f t="shared" si="54"/>
        <v>0</v>
      </c>
      <c r="G104" s="321">
        <f t="shared" si="54"/>
        <v>0</v>
      </c>
      <c r="H104" s="321">
        <f>SUM(D104:G104)</f>
        <v>0</v>
      </c>
      <c r="I104" s="321">
        <f>RANK(H104,$H$104:$H$107,1)</f>
        <v>1</v>
      </c>
      <c r="AB104" s="321">
        <f>INDEX($AC$97:$AC$100,AC104)</f>
        <v>13</v>
      </c>
      <c r="AC104" s="321">
        <v>1</v>
      </c>
      <c r="AD104" s="321">
        <f t="shared" ref="AD104:AG107" si="55">IF(INDEX($AI$97:$AI$100,$AC104)&lt;&gt;INDEX($AI$97:$AI$100,AD$103),0,SUMIF($AB$88:$AC$93,"="&amp;$AB104&amp;"#"&amp;AD$102,$AO$88:$AP$93))</f>
        <v>0</v>
      </c>
      <c r="AE104" s="321">
        <f t="shared" si="55"/>
        <v>0</v>
      </c>
      <c r="AF104" s="321">
        <f t="shared" si="55"/>
        <v>0</v>
      </c>
      <c r="AG104" s="321">
        <f t="shared" si="55"/>
        <v>0</v>
      </c>
      <c r="AH104" s="321">
        <f>SUM(AD104:AG104)</f>
        <v>0</v>
      </c>
      <c r="AI104" s="321">
        <f>RANK(AH104,$AH$104:$AH$107,1)</f>
        <v>1</v>
      </c>
    </row>
    <row r="105" spans="1:40" x14ac:dyDescent="0.2">
      <c r="B105" s="321">
        <f>INDEX($C$97:$C$100,C105)</f>
        <v>10</v>
      </c>
      <c r="C105" s="321">
        <v>2</v>
      </c>
      <c r="D105" s="321">
        <f t="shared" si="54"/>
        <v>0</v>
      </c>
      <c r="E105" s="321">
        <f t="shared" si="54"/>
        <v>0</v>
      </c>
      <c r="F105" s="321">
        <f t="shared" si="54"/>
        <v>0</v>
      </c>
      <c r="G105" s="321">
        <f t="shared" si="54"/>
        <v>0</v>
      </c>
      <c r="H105" s="321">
        <f>SUM(D105:G105)</f>
        <v>0</v>
      </c>
      <c r="I105" s="321">
        <f>RANK(H105,$H$104:$H$107,1)</f>
        <v>1</v>
      </c>
      <c r="AB105" s="321">
        <f>INDEX($AC$97:$AC$100,AC105)</f>
        <v>14</v>
      </c>
      <c r="AC105" s="321">
        <v>2</v>
      </c>
      <c r="AD105" s="321">
        <f t="shared" si="55"/>
        <v>0</v>
      </c>
      <c r="AE105" s="321">
        <f t="shared" si="55"/>
        <v>0</v>
      </c>
      <c r="AF105" s="321">
        <f t="shared" si="55"/>
        <v>0</v>
      </c>
      <c r="AG105" s="321">
        <f t="shared" si="55"/>
        <v>0</v>
      </c>
      <c r="AH105" s="321">
        <f>SUM(AD105:AG105)</f>
        <v>0</v>
      </c>
      <c r="AI105" s="321">
        <f>RANK(AH105,$AH$104:$AH$107,1)</f>
        <v>1</v>
      </c>
    </row>
    <row r="106" spans="1:40" x14ac:dyDescent="0.2">
      <c r="B106" s="321">
        <f>INDEX($C$97:$C$100,C106)</f>
        <v>11</v>
      </c>
      <c r="C106" s="321">
        <v>3</v>
      </c>
      <c r="D106" s="321">
        <f t="shared" si="54"/>
        <v>0</v>
      </c>
      <c r="E106" s="321">
        <f t="shared" si="54"/>
        <v>0</v>
      </c>
      <c r="F106" s="321">
        <f t="shared" si="54"/>
        <v>0</v>
      </c>
      <c r="G106" s="321">
        <f t="shared" si="54"/>
        <v>0</v>
      </c>
      <c r="H106" s="321">
        <f>SUM(D106:G106)</f>
        <v>0</v>
      </c>
      <c r="I106" s="321">
        <f>RANK(H106,$H$104:$H$107,1)</f>
        <v>1</v>
      </c>
      <c r="AB106" s="321">
        <f>INDEX($AC$97:$AC$100,AC106)</f>
        <v>15</v>
      </c>
      <c r="AC106" s="321">
        <v>3</v>
      </c>
      <c r="AD106" s="321">
        <f t="shared" si="55"/>
        <v>0</v>
      </c>
      <c r="AE106" s="321">
        <f t="shared" si="55"/>
        <v>0</v>
      </c>
      <c r="AF106" s="321">
        <f t="shared" si="55"/>
        <v>0</v>
      </c>
      <c r="AG106" s="321">
        <f t="shared" si="55"/>
        <v>0</v>
      </c>
      <c r="AH106" s="321">
        <f>SUM(AD106:AG106)</f>
        <v>0</v>
      </c>
      <c r="AI106" s="321">
        <f>RANK(AH106,$AH$104:$AH$107,1)</f>
        <v>1</v>
      </c>
    </row>
    <row r="107" spans="1:40" x14ac:dyDescent="0.2">
      <c r="B107" s="321">
        <f>INDEX($C$97:$C$100,C107)</f>
        <v>12</v>
      </c>
      <c r="C107" s="321">
        <v>4</v>
      </c>
      <c r="D107" s="321">
        <f t="shared" si="54"/>
        <v>0</v>
      </c>
      <c r="E107" s="321">
        <f t="shared" si="54"/>
        <v>0</v>
      </c>
      <c r="F107" s="321">
        <f t="shared" si="54"/>
        <v>0</v>
      </c>
      <c r="G107" s="321">
        <f t="shared" si="54"/>
        <v>0</v>
      </c>
      <c r="H107" s="321">
        <f>SUM(D107:G107)</f>
        <v>0</v>
      </c>
      <c r="I107" s="321">
        <f>RANK(H107,$H$104:$H$107,1)</f>
        <v>1</v>
      </c>
      <c r="AB107" s="321">
        <f>INDEX($AC$97:$AC$100,AC107)</f>
        <v>16</v>
      </c>
      <c r="AC107" s="321">
        <v>4</v>
      </c>
      <c r="AD107" s="321">
        <f t="shared" si="55"/>
        <v>0</v>
      </c>
      <c r="AE107" s="321">
        <f t="shared" si="55"/>
        <v>0</v>
      </c>
      <c r="AF107" s="321">
        <f t="shared" si="55"/>
        <v>0</v>
      </c>
      <c r="AG107" s="321">
        <f t="shared" si="55"/>
        <v>0</v>
      </c>
      <c r="AH107" s="321">
        <f>SUM(AD107:AG107)</f>
        <v>0</v>
      </c>
      <c r="AI107" s="321">
        <f>RANK(AH107,$AH$104:$AH$107,1)</f>
        <v>1</v>
      </c>
    </row>
    <row r="109" spans="1:40" x14ac:dyDescent="0.2">
      <c r="B109" s="321" t="s">
        <v>998</v>
      </c>
      <c r="C109" s="321" t="s">
        <v>975</v>
      </c>
      <c r="D109" s="321">
        <f>C110</f>
        <v>1</v>
      </c>
      <c r="E109" s="321">
        <f>C111</f>
        <v>2</v>
      </c>
      <c r="F109" s="321">
        <f>C112</f>
        <v>3</v>
      </c>
      <c r="G109" s="321">
        <f>C113</f>
        <v>4</v>
      </c>
      <c r="I109" s="321" t="s">
        <v>997</v>
      </c>
      <c r="AB109" s="321" t="s">
        <v>998</v>
      </c>
      <c r="AC109" s="321" t="s">
        <v>975</v>
      </c>
      <c r="AD109" s="321">
        <f>AC110</f>
        <v>1</v>
      </c>
      <c r="AE109" s="321">
        <f>AC111</f>
        <v>2</v>
      </c>
      <c r="AF109" s="321">
        <f>AC112</f>
        <v>3</v>
      </c>
      <c r="AG109" s="321">
        <f>AC113</f>
        <v>4</v>
      </c>
      <c r="AI109" s="321" t="s">
        <v>997</v>
      </c>
    </row>
    <row r="110" spans="1:40" x14ac:dyDescent="0.2">
      <c r="B110" s="321">
        <f>B104</f>
        <v>9</v>
      </c>
      <c r="C110" s="321">
        <v>1</v>
      </c>
      <c r="D110" s="321">
        <f t="shared" ref="D110:G113" si="56">IF(D104=0,0,IF(INDEX($I$104:$I$107,$C104)&lt;&gt;INDEX($I$104:$I$107,D$103),0,SUMIF($B$88:$C$93,"="&amp;$B104&amp;"#"&amp;D$102,$K$88:$L$93)*1000+SUMIF($B$88:$C$93,"="&amp;$B104&amp;"#"&amp;D$102,$M$88:$N$93)+SUMIF($B$88:$C$93,"="&amp;$B104&amp;"#"&amp;D$102,$G$88:$H$93)/1000))</f>
        <v>0</v>
      </c>
      <c r="E110" s="321">
        <f t="shared" si="56"/>
        <v>0</v>
      </c>
      <c r="F110" s="321">
        <f t="shared" si="56"/>
        <v>0</v>
      </c>
      <c r="G110" s="321">
        <f t="shared" si="56"/>
        <v>0</v>
      </c>
      <c r="H110" s="321">
        <f>SUM(D110:G110)</f>
        <v>0</v>
      </c>
      <c r="I110" s="321">
        <f>RANK(H110,$H$110:$H$113,1)</f>
        <v>1</v>
      </c>
      <c r="AB110" s="321">
        <f>AB104</f>
        <v>13</v>
      </c>
      <c r="AC110" s="321">
        <v>1</v>
      </c>
      <c r="AD110" s="321">
        <f t="shared" ref="AD110:AG113" si="57">IF(AD104=0,0,IF(INDEX($AI$104:$AI$107,$AC104)&lt;&gt;INDEX($AI$104:$AI$107,AD$103),0,SUMIF($AB$88:$AC$93,"="&amp;$AB104&amp;"#"&amp;AD$102,$AK$88:$AL$93)*1000+SUMIF($AB$88:$AC$93,"="&amp;$AB104&amp;"#"&amp;AD$102,$AM$88:$AN$93)+SUMIF($AB$88:$AC$93,"="&amp;$AB104&amp;"#"&amp;AD$102,$AG$88:$AH$93)/1000))</f>
        <v>0</v>
      </c>
      <c r="AE110" s="321">
        <f t="shared" si="57"/>
        <v>0</v>
      </c>
      <c r="AF110" s="321">
        <f t="shared" si="57"/>
        <v>0</v>
      </c>
      <c r="AG110" s="321">
        <f t="shared" si="57"/>
        <v>0</v>
      </c>
      <c r="AH110" s="321">
        <f>SUM(AD110:AG110)</f>
        <v>0</v>
      </c>
      <c r="AI110" s="321">
        <f>RANK(AH110,$AH$110:$AH$113,1)</f>
        <v>1</v>
      </c>
    </row>
    <row r="111" spans="1:40" x14ac:dyDescent="0.2">
      <c r="B111" s="321">
        <f>B105</f>
        <v>10</v>
      </c>
      <c r="C111" s="321">
        <v>2</v>
      </c>
      <c r="D111" s="321">
        <f t="shared" si="56"/>
        <v>0</v>
      </c>
      <c r="E111" s="321">
        <f t="shared" si="56"/>
        <v>0</v>
      </c>
      <c r="F111" s="321">
        <f t="shared" si="56"/>
        <v>0</v>
      </c>
      <c r="G111" s="321">
        <f t="shared" si="56"/>
        <v>0</v>
      </c>
      <c r="H111" s="321">
        <f>SUM(D111:G111)</f>
        <v>0</v>
      </c>
      <c r="I111" s="321">
        <f>RANK(H111,$H$110:$H$113,1)</f>
        <v>1</v>
      </c>
      <c r="AB111" s="321">
        <f>AB105</f>
        <v>14</v>
      </c>
      <c r="AC111" s="321">
        <v>2</v>
      </c>
      <c r="AD111" s="321">
        <f t="shared" si="57"/>
        <v>0</v>
      </c>
      <c r="AE111" s="321">
        <f t="shared" si="57"/>
        <v>0</v>
      </c>
      <c r="AF111" s="321">
        <f t="shared" si="57"/>
        <v>0</v>
      </c>
      <c r="AG111" s="321">
        <f t="shared" si="57"/>
        <v>0</v>
      </c>
      <c r="AH111" s="321">
        <f>SUM(AD111:AG111)</f>
        <v>0</v>
      </c>
      <c r="AI111" s="321">
        <f>RANK(AH111,$AH$110:$AH$113,1)</f>
        <v>1</v>
      </c>
    </row>
    <row r="112" spans="1:40" x14ac:dyDescent="0.2">
      <c r="B112" s="321">
        <f>B106</f>
        <v>11</v>
      </c>
      <c r="C112" s="321">
        <v>3</v>
      </c>
      <c r="D112" s="321">
        <f t="shared" si="56"/>
        <v>0</v>
      </c>
      <c r="E112" s="321">
        <f t="shared" si="56"/>
        <v>0</v>
      </c>
      <c r="F112" s="321">
        <f t="shared" si="56"/>
        <v>0</v>
      </c>
      <c r="G112" s="321">
        <f t="shared" si="56"/>
        <v>0</v>
      </c>
      <c r="H112" s="321">
        <f>SUM(D112:G112)</f>
        <v>0</v>
      </c>
      <c r="I112" s="321">
        <f>RANK(H112,$H$110:$H$113,1)</f>
        <v>1</v>
      </c>
      <c r="AB112" s="321">
        <f>AB106</f>
        <v>15</v>
      </c>
      <c r="AC112" s="321">
        <v>3</v>
      </c>
      <c r="AD112" s="321">
        <f t="shared" si="57"/>
        <v>0</v>
      </c>
      <c r="AE112" s="321">
        <f t="shared" si="57"/>
        <v>0</v>
      </c>
      <c r="AF112" s="321">
        <f t="shared" si="57"/>
        <v>0</v>
      </c>
      <c r="AG112" s="321">
        <f t="shared" si="57"/>
        <v>0</v>
      </c>
      <c r="AH112" s="321">
        <f>SUM(AD112:AG112)</f>
        <v>0</v>
      </c>
      <c r="AI112" s="321">
        <f>RANK(AH112,$AH$110:$AH$113,1)</f>
        <v>1</v>
      </c>
    </row>
    <row r="113" spans="2:40" x14ac:dyDescent="0.2">
      <c r="B113" s="321">
        <f>B107</f>
        <v>12</v>
      </c>
      <c r="C113" s="321">
        <v>4</v>
      </c>
      <c r="D113" s="321">
        <f t="shared" si="56"/>
        <v>0</v>
      </c>
      <c r="E113" s="321">
        <f t="shared" si="56"/>
        <v>0</v>
      </c>
      <c r="F113" s="321">
        <f t="shared" si="56"/>
        <v>0</v>
      </c>
      <c r="G113" s="321">
        <f t="shared" si="56"/>
        <v>0</v>
      </c>
      <c r="H113" s="321">
        <f>SUM(D113:G113)</f>
        <v>0</v>
      </c>
      <c r="I113" s="321">
        <f>RANK(H113,$H$110:$H$113,1)</f>
        <v>1</v>
      </c>
      <c r="AB113" s="321">
        <f>AB107</f>
        <v>16</v>
      </c>
      <c r="AC113" s="321">
        <v>4</v>
      </c>
      <c r="AD113" s="321">
        <f t="shared" si="57"/>
        <v>0</v>
      </c>
      <c r="AE113" s="321">
        <f t="shared" si="57"/>
        <v>0</v>
      </c>
      <c r="AF113" s="321">
        <f t="shared" si="57"/>
        <v>0</v>
      </c>
      <c r="AG113" s="321">
        <f t="shared" si="57"/>
        <v>0</v>
      </c>
      <c r="AH113" s="321">
        <f>SUM(AD113:AG113)</f>
        <v>0</v>
      </c>
      <c r="AI113" s="321">
        <f>RANK(AH113,$AH$110:$AH$113,1)</f>
        <v>1</v>
      </c>
    </row>
    <row r="115" spans="2:40" x14ac:dyDescent="0.2">
      <c r="C115" s="321" t="s">
        <v>975</v>
      </c>
      <c r="D115" s="321" t="s">
        <v>992</v>
      </c>
      <c r="H115" s="321" t="s">
        <v>992</v>
      </c>
      <c r="AC115" s="321" t="s">
        <v>975</v>
      </c>
      <c r="AD115" s="321" t="s">
        <v>992</v>
      </c>
      <c r="AH115" s="321" t="s">
        <v>992</v>
      </c>
    </row>
    <row r="116" spans="2:40" x14ac:dyDescent="0.2">
      <c r="B116" s="321" t="s">
        <v>999</v>
      </c>
      <c r="C116" s="321">
        <v>1</v>
      </c>
      <c r="D116" s="321">
        <f>RANK(G97,$G$97:$G$100,1)</f>
        <v>1</v>
      </c>
      <c r="F116" s="321" t="s">
        <v>585</v>
      </c>
      <c r="G116" s="321">
        <v>1</v>
      </c>
      <c r="H116" s="321">
        <f>RANK(E97,$E$97:$E$100,1)</f>
        <v>1</v>
      </c>
      <c r="AB116" s="321" t="s">
        <v>999</v>
      </c>
      <c r="AC116" s="321">
        <v>1</v>
      </c>
      <c r="AD116" s="321">
        <f>RANK(AG97,$AG$97:$AG$100,1)</f>
        <v>1</v>
      </c>
      <c r="AF116" s="321" t="s">
        <v>585</v>
      </c>
      <c r="AG116" s="321">
        <v>1</v>
      </c>
      <c r="AH116" s="321">
        <f>RANK(AE97,$AE$97:$AE$100,1)</f>
        <v>1</v>
      </c>
    </row>
    <row r="117" spans="2:40" x14ac:dyDescent="0.2">
      <c r="C117" s="321">
        <v>2</v>
      </c>
      <c r="D117" s="321">
        <f>RANK(G98,$G$97:$G$100,1)</f>
        <v>1</v>
      </c>
      <c r="G117" s="321">
        <v>2</v>
      </c>
      <c r="H117" s="321">
        <f>RANK(E98,$E$97:$E$100,1)</f>
        <v>1</v>
      </c>
      <c r="AC117" s="321">
        <v>2</v>
      </c>
      <c r="AD117" s="321">
        <f>RANK(AG98,$AG$97:$AG$100,1)</f>
        <v>1</v>
      </c>
      <c r="AG117" s="321">
        <v>2</v>
      </c>
      <c r="AH117" s="321">
        <f>RANK(AE98,$AE$97:$AE$100,1)</f>
        <v>1</v>
      </c>
    </row>
    <row r="118" spans="2:40" x14ac:dyDescent="0.2">
      <c r="C118" s="321">
        <v>3</v>
      </c>
      <c r="D118" s="321">
        <f>RANK(G99,$G$97:$G$100,1)</f>
        <v>1</v>
      </c>
      <c r="G118" s="321">
        <v>3</v>
      </c>
      <c r="H118" s="321">
        <f>RANK(E99,$E$97:$E$100,1)</f>
        <v>1</v>
      </c>
      <c r="AC118" s="321">
        <v>3</v>
      </c>
      <c r="AD118" s="321">
        <f>RANK(AG99,$AG$97:$AG$100,1)</f>
        <v>1</v>
      </c>
      <c r="AG118" s="321">
        <v>3</v>
      </c>
      <c r="AH118" s="321">
        <f>RANK(AE99,$AE$97:$AE$100,1)</f>
        <v>1</v>
      </c>
    </row>
    <row r="119" spans="2:40" x14ac:dyDescent="0.2">
      <c r="C119" s="321">
        <v>4</v>
      </c>
      <c r="D119" s="321">
        <f>RANK(G100,$G$97:$G$100,1)</f>
        <v>1</v>
      </c>
      <c r="G119" s="321">
        <v>4</v>
      </c>
      <c r="H119" s="321">
        <f>RANK(E100,$E$97:$E$100,1)</f>
        <v>1</v>
      </c>
      <c r="AC119" s="321">
        <v>4</v>
      </c>
      <c r="AD119" s="321">
        <f>RANK(AG100,$AG$97:$AG$100,1)</f>
        <v>1</v>
      </c>
      <c r="AG119" s="321">
        <v>4</v>
      </c>
      <c r="AH119" s="321">
        <f>RANK(AE100,$AE$97:$AE$100,1)</f>
        <v>1</v>
      </c>
    </row>
    <row r="121" spans="2:40" x14ac:dyDescent="0.2">
      <c r="I121" s="321" t="s">
        <v>374</v>
      </c>
      <c r="AI121" s="321" t="s">
        <v>374</v>
      </c>
    </row>
    <row r="122" spans="2:40" x14ac:dyDescent="0.2">
      <c r="C122" s="321" t="s">
        <v>975</v>
      </c>
      <c r="E122" s="321" t="s">
        <v>992</v>
      </c>
      <c r="F122" s="321" t="s">
        <v>994</v>
      </c>
      <c r="H122" s="321" t="s">
        <v>1000</v>
      </c>
      <c r="I122" s="321">
        <v>1</v>
      </c>
      <c r="J122" s="321">
        <v>2</v>
      </c>
      <c r="K122" s="321" t="s">
        <v>1001</v>
      </c>
      <c r="M122" s="321" t="s">
        <v>1002</v>
      </c>
      <c r="AC122" s="321" t="s">
        <v>975</v>
      </c>
      <c r="AE122" s="321" t="s">
        <v>992</v>
      </c>
      <c r="AF122" s="321" t="s">
        <v>994</v>
      </c>
      <c r="AH122" s="321" t="s">
        <v>1000</v>
      </c>
      <c r="AI122" s="321">
        <v>1</v>
      </c>
      <c r="AJ122" s="321">
        <v>2</v>
      </c>
      <c r="AK122" s="321" t="s">
        <v>1001</v>
      </c>
      <c r="AM122" s="321" t="s">
        <v>1002</v>
      </c>
    </row>
    <row r="123" spans="2:40" x14ac:dyDescent="0.2">
      <c r="B123" s="321" t="s">
        <v>1003</v>
      </c>
      <c r="C123" s="321">
        <v>1</v>
      </c>
      <c r="D123" s="321">
        <f>I97*$K$123+I104*$K$124+I110*$K$125+D116*$K$126+H116*$K$127</f>
        <v>1010101.01</v>
      </c>
      <c r="E123" s="321">
        <f>RANK(D123,$D$123:$D$126,1)</f>
        <v>1</v>
      </c>
      <c r="F123" s="321">
        <f>RANK(D123,$D$123:$D$126)</f>
        <v>1</v>
      </c>
      <c r="H123" s="321" t="s">
        <v>974</v>
      </c>
      <c r="I123" s="321">
        <v>1</v>
      </c>
      <c r="J123" s="321">
        <v>1</v>
      </c>
      <c r="K123" s="321">
        <f>INDEX($N$123:$N$127,INDEX(I123:J123,$A$97))</f>
        <v>1000000</v>
      </c>
      <c r="M123" s="321">
        <v>1</v>
      </c>
      <c r="N123" s="321">
        <v>1000000</v>
      </c>
      <c r="AB123" s="321" t="s">
        <v>1003</v>
      </c>
      <c r="AC123" s="321">
        <v>1</v>
      </c>
      <c r="AD123" s="321">
        <f>AI97*$AK$123+AI104*$AK$124+AI110*$AK$125+AD116*$AK$126+AH116*$AK$127</f>
        <v>1010101.01</v>
      </c>
      <c r="AE123" s="321">
        <f>RANK(AD123,$AD$123:$AD$126,1)</f>
        <v>1</v>
      </c>
      <c r="AF123" s="321">
        <f>RANK(AD123,$AD$123:$AD$126)</f>
        <v>1</v>
      </c>
      <c r="AH123" s="321" t="s">
        <v>974</v>
      </c>
      <c r="AI123" s="321">
        <v>1</v>
      </c>
      <c r="AJ123" s="321">
        <v>1</v>
      </c>
      <c r="AK123" s="321">
        <f>INDEX($AN$123:$AN$127,INDEX(AI123:AJ123,$AA$97))</f>
        <v>1000000</v>
      </c>
      <c r="AM123" s="321">
        <v>1</v>
      </c>
      <c r="AN123" s="321">
        <v>1000000</v>
      </c>
    </row>
    <row r="124" spans="2:40" x14ac:dyDescent="0.2">
      <c r="C124" s="321">
        <v>2</v>
      </c>
      <c r="D124" s="321">
        <f>I98*$K$123+I105*$K$124+I111*$K$125+D117*$K$126+H117*$K$127</f>
        <v>1010101.01</v>
      </c>
      <c r="E124" s="321">
        <f>RANK(D124,$D$123:$D$126,1)</f>
        <v>1</v>
      </c>
      <c r="F124" s="321">
        <f>RANK(D124,$D$123:$D$126)</f>
        <v>1</v>
      </c>
      <c r="H124" s="321" t="s">
        <v>995</v>
      </c>
      <c r="I124" s="321">
        <v>2</v>
      </c>
      <c r="J124" s="321">
        <v>4</v>
      </c>
      <c r="K124" s="321">
        <f>INDEX($N$123:$N$127,INDEX(I124:J124,$A$97))</f>
        <v>1</v>
      </c>
      <c r="M124" s="321">
        <v>2</v>
      </c>
      <c r="N124" s="321">
        <v>10000</v>
      </c>
      <c r="AC124" s="321">
        <v>2</v>
      </c>
      <c r="AD124" s="321">
        <f>AI98*$AK$123+AI105*$AK$124+AI111*$AK$125+AD117*$AK$126+AH117*$AK$127</f>
        <v>1010101.01</v>
      </c>
      <c r="AE124" s="321">
        <f>RANK(AD124,$AD$123:$AD$126,1)</f>
        <v>1</v>
      </c>
      <c r="AF124" s="321">
        <f>RANK(AD124,$AD$123:$AD$126)</f>
        <v>1</v>
      </c>
      <c r="AH124" s="321" t="s">
        <v>995</v>
      </c>
      <c r="AI124" s="321">
        <v>2</v>
      </c>
      <c r="AJ124" s="321">
        <v>4</v>
      </c>
      <c r="AK124" s="321">
        <f>INDEX($AN$123:$AN$127,INDEX(AI124:AJ124,$AA$97))</f>
        <v>1</v>
      </c>
      <c r="AM124" s="321">
        <v>2</v>
      </c>
      <c r="AN124" s="321">
        <v>10000</v>
      </c>
    </row>
    <row r="125" spans="2:40" x14ac:dyDescent="0.2">
      <c r="C125" s="321">
        <v>3</v>
      </c>
      <c r="D125" s="321">
        <f>I99*$K$123+I106*$K$124+I112*$K$125+D118*$K$126+H118*$K$127</f>
        <v>1010101.01</v>
      </c>
      <c r="E125" s="321">
        <f>RANK(D125,$D$123:$D$126,1)</f>
        <v>1</v>
      </c>
      <c r="F125" s="321">
        <f>RANK(D125,$D$123:$D$126)</f>
        <v>1</v>
      </c>
      <c r="H125" s="321" t="s">
        <v>998</v>
      </c>
      <c r="I125" s="321">
        <v>3</v>
      </c>
      <c r="J125" s="321">
        <v>5</v>
      </c>
      <c r="K125" s="321">
        <f>INDEX($N$123:$N$127,INDEX(I125:J125,$A$97))</f>
        <v>0.01</v>
      </c>
      <c r="M125" s="321">
        <v>3</v>
      </c>
      <c r="N125" s="321">
        <v>100</v>
      </c>
      <c r="AC125" s="321">
        <v>3</v>
      </c>
      <c r="AD125" s="321">
        <f>AI99*$AK$123+AI106*$AK$124+AI112*$AK$125+AD118*$AK$126+AH118*$AK$127</f>
        <v>1010101.01</v>
      </c>
      <c r="AE125" s="321">
        <f>RANK(AD125,$AD$123:$AD$126,1)</f>
        <v>1</v>
      </c>
      <c r="AF125" s="321">
        <f>RANK(AD125,$AD$123:$AD$126)</f>
        <v>1</v>
      </c>
      <c r="AH125" s="321" t="s">
        <v>998</v>
      </c>
      <c r="AI125" s="321">
        <v>3</v>
      </c>
      <c r="AJ125" s="321">
        <v>5</v>
      </c>
      <c r="AK125" s="321">
        <f>INDEX($AN$123:$AN$127,INDEX(AI125:AJ125,$AA$97))</f>
        <v>0.01</v>
      </c>
      <c r="AM125" s="321">
        <v>3</v>
      </c>
      <c r="AN125" s="321">
        <v>100</v>
      </c>
    </row>
    <row r="126" spans="2:40" x14ac:dyDescent="0.2">
      <c r="C126" s="321">
        <v>4</v>
      </c>
      <c r="D126" s="321">
        <f>I100*$K$123+I107*$K$124+I113*$K$125+D119*$K$126+H119*$K$127</f>
        <v>1010101.01</v>
      </c>
      <c r="E126" s="321">
        <f>RANK(D126,$D$123:$D$126,1)</f>
        <v>1</v>
      </c>
      <c r="F126" s="321">
        <f>RANK(D126,$D$123:$D$126)</f>
        <v>1</v>
      </c>
      <c r="H126" s="321" t="s">
        <v>1004</v>
      </c>
      <c r="I126" s="321">
        <v>4</v>
      </c>
      <c r="J126" s="321">
        <v>2</v>
      </c>
      <c r="K126" s="321">
        <f>INDEX($N$123:$N$127,INDEX(I126:J126,$A$97))</f>
        <v>10000</v>
      </c>
      <c r="M126" s="321">
        <v>4</v>
      </c>
      <c r="N126" s="321">
        <v>1</v>
      </c>
      <c r="AC126" s="321">
        <v>4</v>
      </c>
      <c r="AD126" s="321">
        <f>AI100*$AK$123+AI107*$AK$124+AI113*$AK$125+AD119*$AK$126+AH119*$AK$127</f>
        <v>1010101.01</v>
      </c>
      <c r="AE126" s="321">
        <f>RANK(AD126,$AD$123:$AD$126,1)</f>
        <v>1</v>
      </c>
      <c r="AF126" s="321">
        <f>RANK(AD126,$AD$123:$AD$126)</f>
        <v>1</v>
      </c>
      <c r="AH126" s="321" t="s">
        <v>1004</v>
      </c>
      <c r="AI126" s="321">
        <v>4</v>
      </c>
      <c r="AJ126" s="321">
        <v>2</v>
      </c>
      <c r="AK126" s="321">
        <f>INDEX($AN$123:$AN$127,INDEX(AI126:AJ126,$AA$97))</f>
        <v>10000</v>
      </c>
      <c r="AM126" s="321">
        <v>4</v>
      </c>
      <c r="AN126" s="321">
        <v>1</v>
      </c>
    </row>
    <row r="127" spans="2:40" x14ac:dyDescent="0.2">
      <c r="H127" s="321" t="s">
        <v>1005</v>
      </c>
      <c r="I127" s="321">
        <v>5</v>
      </c>
      <c r="J127" s="321">
        <v>3</v>
      </c>
      <c r="K127" s="321">
        <f>INDEX($N$123:$N$127,INDEX(I127:J127,$A$97))</f>
        <v>100</v>
      </c>
      <c r="M127" s="321">
        <v>5</v>
      </c>
      <c r="N127" s="321">
        <f>1/100</f>
        <v>0.01</v>
      </c>
      <c r="AH127" s="321" t="s">
        <v>1005</v>
      </c>
      <c r="AI127" s="321">
        <v>5</v>
      </c>
      <c r="AJ127" s="321">
        <v>3</v>
      </c>
      <c r="AK127" s="321">
        <f>INDEX($AN$123:$AN$127,INDEX(AI127:AJ127,$AA$97))</f>
        <v>100</v>
      </c>
      <c r="AM127" s="321">
        <v>5</v>
      </c>
      <c r="AN127" s="321">
        <f>1/100</f>
        <v>0.01</v>
      </c>
    </row>
    <row r="128" spans="2:40" x14ac:dyDescent="0.2">
      <c r="H128" s="321" t="s">
        <v>1006</v>
      </c>
      <c r="I128" s="321">
        <v>6</v>
      </c>
      <c r="J128" s="321">
        <v>6</v>
      </c>
      <c r="AH128" s="321" t="s">
        <v>1006</v>
      </c>
      <c r="AI128" s="321">
        <v>6</v>
      </c>
      <c r="AJ128" s="321">
        <v>6</v>
      </c>
    </row>
    <row r="129" spans="2:36" x14ac:dyDescent="0.2">
      <c r="B129" s="321" t="s">
        <v>1006</v>
      </c>
      <c r="C129" s="321" t="b">
        <f>A97=1</f>
        <v>0</v>
      </c>
      <c r="D129" s="321" t="s">
        <v>1007</v>
      </c>
      <c r="H129" s="321" t="s">
        <v>993</v>
      </c>
      <c r="I129" s="321">
        <v>7</v>
      </c>
      <c r="J129" s="321">
        <v>7</v>
      </c>
      <c r="AB129" s="321" t="s">
        <v>1006</v>
      </c>
      <c r="AC129" s="321" t="b">
        <f>AA97=1</f>
        <v>0</v>
      </c>
      <c r="AD129" s="321" t="s">
        <v>1007</v>
      </c>
      <c r="AH129" s="321" t="s">
        <v>993</v>
      </c>
      <c r="AI129" s="321">
        <v>7</v>
      </c>
      <c r="AJ129" s="321">
        <v>7</v>
      </c>
    </row>
    <row r="130" spans="2:36" x14ac:dyDescent="0.2">
      <c r="C130" s="321" t="s">
        <v>1008</v>
      </c>
      <c r="D130" s="321" t="s">
        <v>1009</v>
      </c>
      <c r="E130" s="321" t="s">
        <v>1010</v>
      </c>
      <c r="AC130" s="321" t="s">
        <v>1008</v>
      </c>
      <c r="AD130" s="321" t="s">
        <v>1009</v>
      </c>
      <c r="AE130" s="321" t="s">
        <v>1010</v>
      </c>
    </row>
    <row r="131" spans="2:36" x14ac:dyDescent="0.2">
      <c r="B131" s="321" t="s">
        <v>1011</v>
      </c>
      <c r="C131" s="321">
        <f>COUNTIF($F$123:$F$126,"=1")</f>
        <v>4</v>
      </c>
      <c r="D131" s="321">
        <f>COUNTIF($F$123:$F$126,"=2")</f>
        <v>0</v>
      </c>
      <c r="E131" s="321">
        <f>COUNTIF($F$123:$F$126,"=3")</f>
        <v>0</v>
      </c>
      <c r="AB131" s="321" t="s">
        <v>1011</v>
      </c>
      <c r="AC131" s="321">
        <f>COUNTIF($AF$123:$AF$126,"=1")</f>
        <v>4</v>
      </c>
      <c r="AD131" s="321">
        <f>COUNTIF($AF$123:$AF$126,"=2")</f>
        <v>0</v>
      </c>
      <c r="AE131" s="321">
        <f>COUNTIF($AF$123:$AF$126,"=3")</f>
        <v>0</v>
      </c>
    </row>
    <row r="133" spans="2:36" x14ac:dyDescent="0.2">
      <c r="B133" s="321" t="s">
        <v>994</v>
      </c>
      <c r="C133" s="321">
        <f>IF(NOT(C129),0,IF(C131=2,1,IF(D131=2,2,IF(E131=2,3,0))))</f>
        <v>0</v>
      </c>
      <c r="E133" s="321" t="s">
        <v>106</v>
      </c>
      <c r="F133" s="321">
        <f t="array" ref="F133">MIN(IF($F$123:$F$126=$C$133,$C$97:$C$100))</f>
        <v>0</v>
      </c>
      <c r="G133" s="321">
        <f t="array" ref="G133">MAX(IF($F$123:$F$126=C133,$C$97:$C$100))</f>
        <v>0</v>
      </c>
      <c r="I133" s="321" t="s">
        <v>1012</v>
      </c>
      <c r="J133" s="321" t="e">
        <f>IF(ISERROR(F135),G135,F135)</f>
        <v>#N/A</v>
      </c>
      <c r="AB133" s="321" t="s">
        <v>994</v>
      </c>
      <c r="AC133" s="321">
        <f>IF(NOT(AC129),0,IF(AC131=2,1,IF(AD131=2,2,IF(AE131=2,3,0))))</f>
        <v>0</v>
      </c>
      <c r="AE133" s="321" t="s">
        <v>106</v>
      </c>
      <c r="AF133" s="321">
        <f t="array" ref="AF133">MIN(IF($AF$123:$AF$126=$AC$133,$AC$97:$AC$100))</f>
        <v>0</v>
      </c>
      <c r="AG133" s="321">
        <f t="array" ref="AG133">MAX(IF($AF$123:$AF$126=AC133,$AC$97:$AC$100))</f>
        <v>0</v>
      </c>
      <c r="AI133" s="321" t="s">
        <v>1012</v>
      </c>
      <c r="AJ133" s="321" t="e">
        <f>IF(ISERROR(AF135),AG135,AF135)</f>
        <v>#N/A</v>
      </c>
    </row>
    <row r="134" spans="2:36" x14ac:dyDescent="0.2">
      <c r="F134" s="321" t="str">
        <f>F133&amp;"#"&amp;G133</f>
        <v>0#0</v>
      </c>
      <c r="G134" s="321" t="str">
        <f>G133&amp;"#"&amp;F133</f>
        <v>0#0</v>
      </c>
      <c r="AF134" s="321" t="str">
        <f>AF133&amp;"#"&amp;AG133</f>
        <v>0#0</v>
      </c>
      <c r="AG134" s="321" t="str">
        <f>AG133&amp;"#"&amp;AF133</f>
        <v>0#0</v>
      </c>
    </row>
    <row r="135" spans="2:36" x14ac:dyDescent="0.2">
      <c r="F135" s="321" t="e">
        <f>MATCH(F134,$B$88:$B$93,0)</f>
        <v>#N/A</v>
      </c>
      <c r="G135" s="321" t="e">
        <f>MATCH(G134,$B$88:$B$93,0)</f>
        <v>#N/A</v>
      </c>
      <c r="AF135" s="321" t="e">
        <f>MATCH(AF134,$AB$88:$AB$93,0)</f>
        <v>#N/A</v>
      </c>
      <c r="AG135" s="321" t="e">
        <f>MATCH(AG134,$AB$88:$AB$93,0)</f>
        <v>#N/A</v>
      </c>
    </row>
    <row r="138" spans="2:36" x14ac:dyDescent="0.2">
      <c r="B138" s="321" t="s">
        <v>988</v>
      </c>
      <c r="C138" s="321" t="e">
        <f>INDEX(D88:D93,J133)</f>
        <v>#N/A</v>
      </c>
      <c r="D138" s="321" t="e">
        <f>INDEX(E88:E93,J133)</f>
        <v>#N/A</v>
      </c>
      <c r="E138" s="321" t="s">
        <v>1013</v>
      </c>
      <c r="F138" s="321" t="s">
        <v>833</v>
      </c>
      <c r="G138" s="321" t="s">
        <v>1014</v>
      </c>
      <c r="I138" s="321" t="s">
        <v>1015</v>
      </c>
      <c r="J138" s="321" t="str">
        <f>IF(G139=0,"","EMS um Rang " &amp;C133)</f>
        <v/>
      </c>
      <c r="AB138" s="321" t="s">
        <v>988</v>
      </c>
      <c r="AC138" s="321" t="e">
        <f>INDEX(AD88:AD93,AJ133)</f>
        <v>#N/A</v>
      </c>
      <c r="AD138" s="321" t="e">
        <f>INDEX(AE88:AE93,AJ133)</f>
        <v>#N/A</v>
      </c>
      <c r="AE138" s="321" t="s">
        <v>1013</v>
      </c>
      <c r="AF138" s="321" t="s">
        <v>833</v>
      </c>
      <c r="AG138" s="321" t="s">
        <v>1014</v>
      </c>
      <c r="AI138" s="321" t="s">
        <v>1015</v>
      </c>
      <c r="AJ138" s="321" t="str">
        <f>IF(AG139=0,"","EMS um Rang " &amp;AC133)</f>
        <v/>
      </c>
    </row>
    <row r="139" spans="2:36" x14ac:dyDescent="0.2">
      <c r="B139" s="321" t="s">
        <v>974</v>
      </c>
      <c r="C139" s="321" t="e">
        <f>VLOOKUP(C138,$C$97:$D$100,2,FALSE)</f>
        <v>#N/A</v>
      </c>
      <c r="D139" s="321" t="e">
        <f>VLOOKUP(D138,$C$97:$D$100,2,FALSE)</f>
        <v>#N/A</v>
      </c>
      <c r="E139" s="321">
        <f>COUNTIF($D$97:$D$100,"="&amp;D139)</f>
        <v>0</v>
      </c>
      <c r="F139" s="321" t="e">
        <f>INDEX(K88:K93,J133)=1</f>
        <v>#N/A</v>
      </c>
      <c r="G139" s="321">
        <f>IF(C133=0,0,IF(J133&lt;5,0,IF(E139&lt;&gt;2,0,IF(C139&lt;&gt;D139,0,IF(NOT(F139),0,1)))))</f>
        <v>0</v>
      </c>
      <c r="AB139" s="321" t="s">
        <v>974</v>
      </c>
      <c r="AC139" s="321" t="e">
        <f>VLOOKUP(AC138,$AC$97:$AD$100,2,FALSE)</f>
        <v>#N/A</v>
      </c>
      <c r="AD139" s="321" t="e">
        <f>VLOOKUP(AD138,$AC$97:$AD$100,2,FALSE)</f>
        <v>#N/A</v>
      </c>
      <c r="AE139" s="321">
        <f>COUNTIF($AD$97:$AD$100,"="&amp;AD139)</f>
        <v>0</v>
      </c>
      <c r="AF139" s="321" t="e">
        <f>INDEX(AK88:AK93,AJ133)=1</f>
        <v>#N/A</v>
      </c>
      <c r="AG139" s="321">
        <f>IF(AC133=0,0,IF(AJ133&lt;5,0,IF(AE139&lt;&gt;2,0,IF(AC139&lt;&gt;AD139,0,IF(NOT(AF139),0,1)))))</f>
        <v>0</v>
      </c>
    </row>
    <row r="141" spans="2:36" x14ac:dyDescent="0.2">
      <c r="E141" s="522" t="s">
        <v>1016</v>
      </c>
      <c r="F141" s="522"/>
      <c r="AE141" s="522" t="s">
        <v>1016</v>
      </c>
      <c r="AF141" s="522"/>
    </row>
    <row r="142" spans="2:36" x14ac:dyDescent="0.2">
      <c r="B142" s="321" t="s">
        <v>106</v>
      </c>
      <c r="C142" s="321" t="e">
        <f>VLOOKUP(C138,$C$97:$H$100,6,FALSE)</f>
        <v>#N/A</v>
      </c>
      <c r="D142" s="321" t="e">
        <f>VLOOKUP(D138,$C$97:$H$100,6,FALSE)</f>
        <v>#N/A</v>
      </c>
      <c r="AB142" s="321" t="s">
        <v>106</v>
      </c>
      <c r="AC142" s="321" t="e">
        <f>VLOOKUP(AC138,$AC$97:$AH$100,6,FALSE)</f>
        <v>#N/A</v>
      </c>
      <c r="AD142" s="321" t="e">
        <f>VLOOKUP(AD138,$AC$97:$AH$100,6,FALSE)</f>
        <v>#N/A</v>
      </c>
    </row>
    <row r="143" spans="2:36" x14ac:dyDescent="0.2">
      <c r="B143" s="321" t="s">
        <v>975</v>
      </c>
      <c r="C143" s="321" t="e">
        <f>MATCH(C138,$C$97:$C$100,0)</f>
        <v>#N/A</v>
      </c>
      <c r="D143" s="321" t="e">
        <f>MATCH(D138,$C$97:$C$100,0)</f>
        <v>#N/A</v>
      </c>
      <c r="E143" s="321">
        <f>IF(COUNT(E142:F142)&lt;&gt;2,0,IF(E142&gt;F142,1,0))</f>
        <v>0</v>
      </c>
      <c r="F143" s="321">
        <f>IF(COUNT(E142:F142)&lt;&gt;2,0,IF(E142&lt;F142,1,0))</f>
        <v>0</v>
      </c>
      <c r="G143" s="321" t="s">
        <v>1017</v>
      </c>
      <c r="AB143" s="321" t="s">
        <v>975</v>
      </c>
      <c r="AC143" s="321" t="e">
        <f>MATCH(AC138,$AC$97:$AC$100,0)</f>
        <v>#N/A</v>
      </c>
      <c r="AD143" s="321" t="e">
        <f>MATCH(AD138,$AC$97:$AC$100,0)</f>
        <v>#N/A</v>
      </c>
      <c r="AE143" s="321">
        <f>IF(COUNT(AE142:AF142)&lt;&gt;2,0,IF(AE142&gt;AF142,1,0))</f>
        <v>0</v>
      </c>
      <c r="AF143" s="321">
        <f>IF(COUNT(AE142:AF142)&lt;&gt;2,0,IF(AE142&lt;AF142,1,0))</f>
        <v>0</v>
      </c>
      <c r="AG143" s="321" t="s">
        <v>1017</v>
      </c>
    </row>
    <row r="146" spans="2:39" x14ac:dyDescent="0.2">
      <c r="C146" s="321" t="s">
        <v>1018</v>
      </c>
      <c r="AC146" s="321" t="s">
        <v>1018</v>
      </c>
    </row>
    <row r="147" spans="2:39" x14ac:dyDescent="0.2">
      <c r="C147" s="321" t="s">
        <v>1019</v>
      </c>
      <c r="D147" s="321" t="s">
        <v>992</v>
      </c>
      <c r="E147" s="321" t="s">
        <v>994</v>
      </c>
      <c r="F147" s="321" t="s">
        <v>1020</v>
      </c>
      <c r="AC147" s="321" t="s">
        <v>1019</v>
      </c>
      <c r="AD147" s="321" t="s">
        <v>992</v>
      </c>
      <c r="AE147" s="321" t="s">
        <v>994</v>
      </c>
      <c r="AF147" s="321" t="s">
        <v>1020</v>
      </c>
    </row>
    <row r="148" spans="2:39" x14ac:dyDescent="0.2">
      <c r="B148" s="321" t="s">
        <v>1003</v>
      </c>
      <c r="C148" s="321">
        <v>1</v>
      </c>
      <c r="D148" s="321">
        <f>E123+IF($G$139=0,0,SUMIF($C$143:$D$143,"="&amp;C148,$E$143:$F$143)/100)+N97/10000</f>
        <v>1.0001</v>
      </c>
      <c r="E148" s="321">
        <f>RANK(D148,$D$148:$D$151)</f>
        <v>1</v>
      </c>
      <c r="F148" s="321">
        <f>E148+COUNTIF(E$147:E147,"="&amp;E148)</f>
        <v>1</v>
      </c>
      <c r="AB148" s="321" t="s">
        <v>1003</v>
      </c>
      <c r="AC148" s="321">
        <v>1</v>
      </c>
      <c r="AD148" s="321">
        <f>AE123+IF($AG$139=0,0,SUMIF($AC$143:$AD$143,"="&amp;AC148,$AE$143:$AF$143)/100)+AN97/10000</f>
        <v>1.0001</v>
      </c>
      <c r="AE148" s="321">
        <f>RANK(AD148,$AD$148:$AD$151)</f>
        <v>1</v>
      </c>
      <c r="AF148" s="321">
        <f>AE148+COUNTIF(AE$147:AE147,"="&amp;AE148)</f>
        <v>1</v>
      </c>
    </row>
    <row r="149" spans="2:39" x14ac:dyDescent="0.2">
      <c r="C149" s="321">
        <v>2</v>
      </c>
      <c r="D149" s="321">
        <f>E124+IF($G$139=0,0,SUMIF($C$143:$D$143,"="&amp;C149,$E$143:$F$143)/100)+N98/10000</f>
        <v>1.0001</v>
      </c>
      <c r="E149" s="321">
        <f>RANK(D149,$D$148:$D$151)</f>
        <v>1</v>
      </c>
      <c r="F149" s="321">
        <f>E149+COUNTIF(E$147:E148,"="&amp;E149)</f>
        <v>2</v>
      </c>
      <c r="AC149" s="321">
        <v>2</v>
      </c>
      <c r="AD149" s="321">
        <f>AE124+IF($AG$139=0,0,SUMIF($AC$143:$AD$143,"="&amp;AC149,$AE$143:$AF$143)/100)+AN98/10000</f>
        <v>1.0001</v>
      </c>
      <c r="AE149" s="321">
        <f>RANK(AD149,$AD$148:$AD$151)</f>
        <v>1</v>
      </c>
      <c r="AF149" s="321">
        <f>AE149+COUNTIF(AE$147:AE148,"="&amp;AE149)</f>
        <v>2</v>
      </c>
    </row>
    <row r="150" spans="2:39" x14ac:dyDescent="0.2">
      <c r="C150" s="321">
        <v>3</v>
      </c>
      <c r="D150" s="321">
        <f>E125+IF($G$139=0,0,SUMIF($C$143:$D$143,"="&amp;C150,$E$143:$F$143)/100)+N99/10000</f>
        <v>1.0001</v>
      </c>
      <c r="E150" s="321">
        <f>RANK(D150,$D$148:$D$151)</f>
        <v>1</v>
      </c>
      <c r="F150" s="321">
        <f>E150+COUNTIF(E$147:E149,"="&amp;E150)</f>
        <v>3</v>
      </c>
      <c r="AC150" s="321">
        <v>3</v>
      </c>
      <c r="AD150" s="321">
        <f>AE125+IF($AG$139=0,0,SUMIF($AC$143:$AD$143,"="&amp;AC150,$AE$143:$AF$143)/100)+AN99/10000</f>
        <v>1.0001</v>
      </c>
      <c r="AE150" s="321">
        <f>RANK(AD150,$AD$148:$AD$151)</f>
        <v>1</v>
      </c>
      <c r="AF150" s="321">
        <f>AE150+COUNTIF(AE$147:AE149,"="&amp;AE150)</f>
        <v>3</v>
      </c>
    </row>
    <row r="151" spans="2:39" x14ac:dyDescent="0.2">
      <c r="C151" s="321">
        <v>4</v>
      </c>
      <c r="D151" s="321">
        <f>E126+IF($G$139=0,0,SUMIF($C$143:$D$143,"="&amp;C151,$E$143:$F$143)/100)+N100/10000</f>
        <v>1.0001</v>
      </c>
      <c r="E151" s="321">
        <f>RANK(D151,$D$148:$D$151)</f>
        <v>1</v>
      </c>
      <c r="F151" s="321">
        <f>E151+COUNTIF(E$147:E150,"="&amp;E151)</f>
        <v>4</v>
      </c>
      <c r="AC151" s="321">
        <v>4</v>
      </c>
      <c r="AD151" s="321">
        <f>AE126+IF($AG$139=0,0,SUMIF($AC$143:$AD$143,"="&amp;AC151,$AE$143:$AF$143)/100)+AN100/10000</f>
        <v>1.0001</v>
      </c>
      <c r="AE151" s="321">
        <f>RANK(AD151,$AD$148:$AD$151)</f>
        <v>1</v>
      </c>
      <c r="AF151" s="321">
        <f>AE151+COUNTIF(AE$147:AE150,"="&amp;AE151)</f>
        <v>4</v>
      </c>
    </row>
    <row r="152" spans="2:39" x14ac:dyDescent="0.2">
      <c r="J152" s="321" t="s">
        <v>1021</v>
      </c>
      <c r="AJ152" s="321" t="s">
        <v>1021</v>
      </c>
    </row>
    <row r="153" spans="2:39" x14ac:dyDescent="0.2">
      <c r="B153" s="322" t="s">
        <v>1022</v>
      </c>
      <c r="C153" s="321" t="s">
        <v>994</v>
      </c>
      <c r="D153" s="321" t="s">
        <v>975</v>
      </c>
      <c r="E153" s="321" t="s">
        <v>1023</v>
      </c>
      <c r="F153" s="323" t="s">
        <v>1024</v>
      </c>
      <c r="G153" s="324" t="b">
        <f>VLOOKUP(A86,Tippabgabe!$DM$69:$DN$74,2,FALSE)</f>
        <v>0</v>
      </c>
      <c r="H153" s="324" t="s">
        <v>975</v>
      </c>
      <c r="J153" s="321" t="s">
        <v>1025</v>
      </c>
      <c r="AB153" s="322" t="s">
        <v>1022</v>
      </c>
      <c r="AC153" s="321" t="s">
        <v>994</v>
      </c>
      <c r="AD153" s="321" t="s">
        <v>975</v>
      </c>
      <c r="AE153" s="321" t="s">
        <v>1023</v>
      </c>
      <c r="AF153" s="323" t="s">
        <v>1024</v>
      </c>
      <c r="AG153" s="324" t="b">
        <f>VLOOKUP(AA86,Tippabgabe!$DM$69:$DN$74,2,FALSE)</f>
        <v>0</v>
      </c>
      <c r="AH153" s="324" t="s">
        <v>975</v>
      </c>
      <c r="AJ153" s="321" t="s">
        <v>1025</v>
      </c>
    </row>
    <row r="154" spans="2:39" x14ac:dyDescent="0.2">
      <c r="B154" s="322" t="str">
        <f>INDEX(teams,INDEX(C97:C100,D154))</f>
        <v>Slowenien</v>
      </c>
      <c r="C154" s="321">
        <v>1</v>
      </c>
      <c r="D154" s="321">
        <f>SUMIF(F148:F151,"="&amp;C154,C148:C151)</f>
        <v>1</v>
      </c>
      <c r="E154" s="321">
        <f>IF(G153,C154,INDEX(E148:E151,D154))</f>
        <v>1</v>
      </c>
      <c r="F154" s="323"/>
      <c r="G154" s="324">
        <v>1</v>
      </c>
      <c r="H154" s="323">
        <f>IF(G153,VLOOKUP(A161,Tippabgabe!$DM$40:$DO$63,3,FALSE),D154)</f>
        <v>1</v>
      </c>
      <c r="J154" s="321">
        <f>IF(G153,H154,D154)</f>
        <v>1</v>
      </c>
      <c r="AB154" s="322" t="str">
        <f>INDEX(teams,INDEX(AC97:AC100,AD154))</f>
        <v>Polen</v>
      </c>
      <c r="AC154" s="321">
        <v>1</v>
      </c>
      <c r="AD154" s="321">
        <f>SUMIF(AF148:AF151,"="&amp;AC154,AC148:AC151)</f>
        <v>1</v>
      </c>
      <c r="AE154" s="321">
        <f>IF(AG153,AC154,INDEX(AE148:AE151,AD154))</f>
        <v>1</v>
      </c>
      <c r="AF154" s="323"/>
      <c r="AG154" s="324">
        <v>1</v>
      </c>
      <c r="AH154" s="323">
        <f>IF(AG153,VLOOKUP(AA161,Tippabgabe!$DM$40:$DO$63,3,FALSE),AD154)</f>
        <v>1</v>
      </c>
      <c r="AJ154" s="321">
        <f>IF(AG153,AH154,AD154)</f>
        <v>1</v>
      </c>
    </row>
    <row r="155" spans="2:39" x14ac:dyDescent="0.2">
      <c r="B155" s="322" t="str">
        <f>INDEX(teams,INDEX(C97:C100,D155))</f>
        <v>Dänemark</v>
      </c>
      <c r="C155" s="321">
        <v>2</v>
      </c>
      <c r="D155" s="321">
        <f>SUMIF(F148:F151,"="&amp;C155,C148:C151)</f>
        <v>2</v>
      </c>
      <c r="E155" s="321">
        <f>IF(G153,C155,INDEX(E148:E151,D155))</f>
        <v>1</v>
      </c>
      <c r="F155" s="323"/>
      <c r="G155" s="324">
        <v>2</v>
      </c>
      <c r="H155" s="323">
        <f>IF(G153,VLOOKUP(A162,Tippabgabe!$DM$40:$DO$63,3,FALSE),D155)</f>
        <v>2</v>
      </c>
      <c r="J155" s="321">
        <f>IF(G154,H155,D155)</f>
        <v>2</v>
      </c>
      <c r="AB155" s="322" t="str">
        <f>INDEX(teams,INDEX(AC97:AC100,AD155))</f>
        <v>Niederlande</v>
      </c>
      <c r="AC155" s="321">
        <v>2</v>
      </c>
      <c r="AD155" s="321">
        <f>SUMIF(AF148:AF151,"="&amp;AC155,AC148:AC151)</f>
        <v>2</v>
      </c>
      <c r="AE155" s="321">
        <f>IF(AG153,AC155,INDEX(AE148:AE151,AD155))</f>
        <v>1</v>
      </c>
      <c r="AF155" s="323"/>
      <c r="AG155" s="324">
        <v>2</v>
      </c>
      <c r="AH155" s="323">
        <f>IF(AG153,VLOOKUP(AA162,Tippabgabe!$DM$40:$DO$63,3,FALSE),AD155)</f>
        <v>2</v>
      </c>
      <c r="AJ155" s="321">
        <f>IF(AG154,AH155,AD155)</f>
        <v>2</v>
      </c>
    </row>
    <row r="156" spans="2:39" x14ac:dyDescent="0.2">
      <c r="B156" s="322" t="str">
        <f>INDEX(teams,INDEX(C97:C100,D156))</f>
        <v>Serbien</v>
      </c>
      <c r="C156" s="321">
        <v>3</v>
      </c>
      <c r="D156" s="321">
        <f>SUMIF(F148:F151,"="&amp;C156,C148:C151)</f>
        <v>3</v>
      </c>
      <c r="E156" s="321">
        <f>IF(G153,C156,INDEX(E148:E151,D156))</f>
        <v>1</v>
      </c>
      <c r="F156" s="323"/>
      <c r="G156" s="324">
        <v>3</v>
      </c>
      <c r="H156" s="323">
        <f>IF(G153,VLOOKUP(A163,Tippabgabe!$DM$40:$DO$63,3,FALSE),D156)</f>
        <v>3</v>
      </c>
      <c r="J156" s="321">
        <f>IF(G155,H156,D156)</f>
        <v>3</v>
      </c>
      <c r="AB156" s="322" t="str">
        <f>INDEX(teams,INDEX(AC97:AC100,AD156))</f>
        <v>Österreich</v>
      </c>
      <c r="AC156" s="321">
        <v>3</v>
      </c>
      <c r="AD156" s="321">
        <f>SUMIF(AF148:AF151,"="&amp;AC156,AC148:AC151)</f>
        <v>3</v>
      </c>
      <c r="AE156" s="321">
        <f>IF(AG153,AC156,INDEX(AE148:AE151,AD156))</f>
        <v>1</v>
      </c>
      <c r="AF156" s="323"/>
      <c r="AG156" s="324">
        <v>3</v>
      </c>
      <c r="AH156" s="323">
        <f>IF(AG153,VLOOKUP(AA163,Tippabgabe!$DM$40:$DO$63,3,FALSE),AD156)</f>
        <v>3</v>
      </c>
      <c r="AJ156" s="321">
        <f>IF(AG155,AH156,AD156)</f>
        <v>3</v>
      </c>
    </row>
    <row r="157" spans="2:39" x14ac:dyDescent="0.2">
      <c r="B157" s="322" t="str">
        <f>INDEX(teams,INDEX(C97:C100,D157))</f>
        <v>England</v>
      </c>
      <c r="C157" s="321">
        <v>4</v>
      </c>
      <c r="D157" s="321">
        <f>SUMIF(F148:F151,"="&amp;C157,C148:C151)</f>
        <v>4</v>
      </c>
      <c r="E157" s="321">
        <f>IF(G153,C157,INDEX(E148:E151,D157))</f>
        <v>1</v>
      </c>
      <c r="F157" s="323"/>
      <c r="G157" s="324">
        <v>4</v>
      </c>
      <c r="H157" s="323">
        <f>IF(G153,VLOOKUP(A164,Tippabgabe!$DM$40:$DO$63,3,FALSE),D157)</f>
        <v>4</v>
      </c>
      <c r="J157" s="321">
        <f>IF(G156,H157,D157)</f>
        <v>4</v>
      </c>
      <c r="AB157" s="322" t="str">
        <f>INDEX(teams,INDEX(AC97:AC100,AD157))</f>
        <v>Frankreich</v>
      </c>
      <c r="AC157" s="321">
        <v>4</v>
      </c>
      <c r="AD157" s="321">
        <f>SUMIF(AF148:AF151,"="&amp;AC157,AC148:AC151)</f>
        <v>4</v>
      </c>
      <c r="AE157" s="321">
        <f>IF(AG153,AC157,INDEX(AE148:AE151,AD157))</f>
        <v>1</v>
      </c>
      <c r="AF157" s="323"/>
      <c r="AG157" s="324">
        <v>4</v>
      </c>
      <c r="AH157" s="323">
        <f>IF(AG153,VLOOKUP(AA164,Tippabgabe!$DM$40:$DO$63,3,FALSE),AD157)</f>
        <v>4</v>
      </c>
      <c r="AJ157" s="321">
        <f>IF(AG156,AH157,AD157)</f>
        <v>4</v>
      </c>
    </row>
    <row r="160" spans="2:39" x14ac:dyDescent="0.2">
      <c r="B160" s="321" t="s">
        <v>1022</v>
      </c>
      <c r="C160" s="321" t="s">
        <v>996</v>
      </c>
      <c r="D160" s="321" t="s">
        <v>975</v>
      </c>
      <c r="E160" s="321" t="s">
        <v>108</v>
      </c>
      <c r="F160" s="321" t="s">
        <v>1026</v>
      </c>
      <c r="G160" s="321" t="s">
        <v>587</v>
      </c>
      <c r="H160" s="321" t="s">
        <v>1027</v>
      </c>
      <c r="I160" s="321" t="s">
        <v>1028</v>
      </c>
      <c r="J160" s="321" t="s">
        <v>999</v>
      </c>
      <c r="K160" s="321" t="s">
        <v>498</v>
      </c>
      <c r="L160" s="321" t="s">
        <v>848</v>
      </c>
      <c r="M160" s="321" t="s">
        <v>1029</v>
      </c>
      <c r="AB160" s="321" t="s">
        <v>1022</v>
      </c>
      <c r="AC160" s="321" t="s">
        <v>996</v>
      </c>
      <c r="AD160" s="321" t="s">
        <v>975</v>
      </c>
      <c r="AE160" s="321" t="s">
        <v>108</v>
      </c>
      <c r="AF160" s="321" t="s">
        <v>1026</v>
      </c>
      <c r="AG160" s="321" t="s">
        <v>587</v>
      </c>
      <c r="AH160" s="321" t="s">
        <v>1027</v>
      </c>
      <c r="AI160" s="321" t="s">
        <v>1028</v>
      </c>
      <c r="AJ160" s="321" t="s">
        <v>999</v>
      </c>
      <c r="AK160" s="321" t="s">
        <v>498</v>
      </c>
      <c r="AL160" s="321" t="s">
        <v>848</v>
      </c>
      <c r="AM160" s="321" t="s">
        <v>1029</v>
      </c>
    </row>
    <row r="161" spans="1:46" x14ac:dyDescent="0.2">
      <c r="A161" s="321" t="str">
        <f>"S"&amp;A86</f>
        <v>SC</v>
      </c>
      <c r="B161" s="321">
        <v>1</v>
      </c>
      <c r="C161" s="321">
        <f>INDEX($C$97:$C$100,J154)</f>
        <v>9</v>
      </c>
      <c r="D161" s="321">
        <f>J154</f>
        <v>1</v>
      </c>
      <c r="E161" s="321" t="str">
        <f>INDEX($H$97:$H$100,J154)</f>
        <v>SLO</v>
      </c>
      <c r="F161" s="321">
        <f>SUMIF($D$88:$E$93,"="&amp;$C161,$Q$88:$R$93)</f>
        <v>0</v>
      </c>
      <c r="G161" s="321">
        <f>INDEX($D$97:$D$100,$J154)</f>
        <v>0</v>
      </c>
      <c r="H161" s="321">
        <f>INDEX($E$97:$E$100,$J154)</f>
        <v>0</v>
      </c>
      <c r="I161" s="321">
        <f>INDEX($F$97:$F$100,$J154)</f>
        <v>0</v>
      </c>
      <c r="J161" s="321">
        <f>INDEX($G$97:$G$100,$J154)</f>
        <v>0</v>
      </c>
      <c r="K161" s="321">
        <f t="shared" ref="K161:M164" si="58">COUNTIF($S$88:$T$93,"="&amp;K$160&amp;$C161)</f>
        <v>0</v>
      </c>
      <c r="L161" s="321">
        <f t="shared" si="58"/>
        <v>0</v>
      </c>
      <c r="M161" s="321">
        <f t="shared" si="58"/>
        <v>0</v>
      </c>
      <c r="AA161" s="321" t="str">
        <f>"S"&amp;AA86</f>
        <v>SD</v>
      </c>
      <c r="AB161" s="321">
        <v>1</v>
      </c>
      <c r="AC161" s="321">
        <f>INDEX($AC$97:$AC$100,AJ154)</f>
        <v>13</v>
      </c>
      <c r="AD161" s="321">
        <f>AJ154</f>
        <v>1</v>
      </c>
      <c r="AE161" s="321" t="str">
        <f>INDEX($AH$97:$AH$100,AJ154)</f>
        <v>POL</v>
      </c>
      <c r="AF161" s="321">
        <f>SUMIF($AD$88:$AE$93,"="&amp;$AC161,$AQ$88:$AR$93)</f>
        <v>0</v>
      </c>
      <c r="AG161" s="321">
        <f>INDEX($AD$97:$AD$100,$AJ154)</f>
        <v>0</v>
      </c>
      <c r="AH161" s="321">
        <f>INDEX($AE$97:$AE$100,$AJ154)</f>
        <v>0</v>
      </c>
      <c r="AI161" s="321">
        <f>INDEX($AF$97:$AF$100,$AJ154)</f>
        <v>0</v>
      </c>
      <c r="AJ161" s="321">
        <f>INDEX($AG$97:$AG$100,$AJ154)</f>
        <v>0</v>
      </c>
      <c r="AK161" s="321">
        <f t="shared" ref="AK161:AM164" si="59">COUNTIF($AS$88:$AT$93,"="&amp;AK$160&amp;$AC161)</f>
        <v>0</v>
      </c>
      <c r="AL161" s="321">
        <f t="shared" si="59"/>
        <v>0</v>
      </c>
      <c r="AM161" s="321">
        <f t="shared" si="59"/>
        <v>0</v>
      </c>
    </row>
    <row r="162" spans="1:46" x14ac:dyDescent="0.2">
      <c r="A162" s="321" t="str">
        <f>"Z"&amp;A86</f>
        <v>ZC</v>
      </c>
      <c r="B162" s="321">
        <v>2</v>
      </c>
      <c r="C162" s="321">
        <f>INDEX($C$97:$C$100,J155)</f>
        <v>10</v>
      </c>
      <c r="D162" s="321">
        <f>J155</f>
        <v>2</v>
      </c>
      <c r="E162" s="321" t="str">
        <f>INDEX($H$97:$H$100,J155)</f>
        <v>DEN</v>
      </c>
      <c r="F162" s="321">
        <f>SUMIF($D$88:$E$93,"="&amp;$C162,$Q$88:$R$93)</f>
        <v>0</v>
      </c>
      <c r="G162" s="321">
        <f>INDEX($D$97:$D$100,$J155)</f>
        <v>0</v>
      </c>
      <c r="H162" s="321">
        <f>INDEX($E$97:$E$100,$J155)</f>
        <v>0</v>
      </c>
      <c r="I162" s="321">
        <f>INDEX($F$97:$F$100,$J155)</f>
        <v>0</v>
      </c>
      <c r="J162" s="321">
        <f>INDEX($G$97:$G$100,$J155)</f>
        <v>0</v>
      </c>
      <c r="K162" s="321">
        <f t="shared" si="58"/>
        <v>0</v>
      </c>
      <c r="L162" s="321">
        <f t="shared" si="58"/>
        <v>0</v>
      </c>
      <c r="M162" s="321">
        <f t="shared" si="58"/>
        <v>0</v>
      </c>
      <c r="AA162" s="321" t="str">
        <f>"Z"&amp;AA86</f>
        <v>ZD</v>
      </c>
      <c r="AB162" s="321">
        <v>2</v>
      </c>
      <c r="AC162" s="321">
        <f>INDEX($AC$97:$AC$100,AJ155)</f>
        <v>14</v>
      </c>
      <c r="AD162" s="321">
        <f>AJ155</f>
        <v>2</v>
      </c>
      <c r="AE162" s="321" t="str">
        <f>INDEX($AH$97:$AH$100,AJ155)</f>
        <v>NED</v>
      </c>
      <c r="AF162" s="321">
        <f>SUMIF($AD$88:$AE$93,"="&amp;$AC162,$AQ$88:$AR$93)</f>
        <v>0</v>
      </c>
      <c r="AG162" s="321">
        <f>INDEX($AD$97:$AD$100,$AJ155)</f>
        <v>0</v>
      </c>
      <c r="AH162" s="321">
        <f>INDEX($AE$97:$AE$100,$AJ155)</f>
        <v>0</v>
      </c>
      <c r="AI162" s="321">
        <f>INDEX($AF$97:$AF$100,$AJ155)</f>
        <v>0</v>
      </c>
      <c r="AJ162" s="321">
        <f>INDEX($AG$97:$AG$100,$AJ155)</f>
        <v>0</v>
      </c>
      <c r="AK162" s="321">
        <f t="shared" si="59"/>
        <v>0</v>
      </c>
      <c r="AL162" s="321">
        <f t="shared" si="59"/>
        <v>0</v>
      </c>
      <c r="AM162" s="321">
        <f t="shared" si="59"/>
        <v>0</v>
      </c>
    </row>
    <row r="163" spans="1:46" x14ac:dyDescent="0.2">
      <c r="A163" s="321" t="str">
        <f>"D"&amp;A86</f>
        <v>DC</v>
      </c>
      <c r="B163" s="321">
        <v>3</v>
      </c>
      <c r="C163" s="321">
        <f>INDEX($C$97:$C$100,J156)</f>
        <v>11</v>
      </c>
      <c r="D163" s="321">
        <f>J156</f>
        <v>3</v>
      </c>
      <c r="E163" s="321" t="str">
        <f>INDEX($H$97:$H$100,J156)</f>
        <v>SRB</v>
      </c>
      <c r="F163" s="321">
        <f>SUMIF($D$88:$E$93,"="&amp;$C163,$Q$88:$R$93)</f>
        <v>0</v>
      </c>
      <c r="G163" s="321">
        <f>INDEX($D$97:$D$100,$J156)</f>
        <v>0</v>
      </c>
      <c r="H163" s="321">
        <f>INDEX($E$97:$E$100,$J156)</f>
        <v>0</v>
      </c>
      <c r="I163" s="321">
        <f>INDEX($F$97:$F$100,$J156)</f>
        <v>0</v>
      </c>
      <c r="J163" s="321">
        <f>INDEX($G$97:$G$100,$J156)</f>
        <v>0</v>
      </c>
      <c r="K163" s="321">
        <f t="shared" si="58"/>
        <v>0</v>
      </c>
      <c r="L163" s="321">
        <f t="shared" si="58"/>
        <v>0</v>
      </c>
      <c r="M163" s="321">
        <f t="shared" si="58"/>
        <v>0</v>
      </c>
      <c r="AA163" s="321" t="str">
        <f>"D"&amp;AA86</f>
        <v>DD</v>
      </c>
      <c r="AB163" s="321">
        <v>3</v>
      </c>
      <c r="AC163" s="321">
        <f>INDEX($AC$97:$AC$100,AJ156)</f>
        <v>15</v>
      </c>
      <c r="AD163" s="321">
        <f>AJ156</f>
        <v>3</v>
      </c>
      <c r="AE163" s="321" t="str">
        <f>INDEX($AH$97:$AH$100,AJ156)</f>
        <v>AUT</v>
      </c>
      <c r="AF163" s="321">
        <f>SUMIF($AD$88:$AE$93,"="&amp;$AC163,$AQ$88:$AR$93)</f>
        <v>0</v>
      </c>
      <c r="AG163" s="321">
        <f>INDEX($AD$97:$AD$100,$AJ156)</f>
        <v>0</v>
      </c>
      <c r="AH163" s="321">
        <f>INDEX($AE$97:$AE$100,$AJ156)</f>
        <v>0</v>
      </c>
      <c r="AI163" s="321">
        <f>INDEX($AF$97:$AF$100,$AJ156)</f>
        <v>0</v>
      </c>
      <c r="AJ163" s="321">
        <f>INDEX($AG$97:$AG$100,$AJ156)</f>
        <v>0</v>
      </c>
      <c r="AK163" s="321">
        <f t="shared" si="59"/>
        <v>0</v>
      </c>
      <c r="AL163" s="321">
        <f t="shared" si="59"/>
        <v>0</v>
      </c>
      <c r="AM163" s="321">
        <f t="shared" si="59"/>
        <v>0</v>
      </c>
    </row>
    <row r="164" spans="1:46" x14ac:dyDescent="0.2">
      <c r="A164" s="321" t="str">
        <f>"V"&amp;A86</f>
        <v>VC</v>
      </c>
      <c r="B164" s="321">
        <v>4</v>
      </c>
      <c r="C164" s="321">
        <f>INDEX($C$97:$C$100,J157)</f>
        <v>12</v>
      </c>
      <c r="D164" s="321">
        <f>J157</f>
        <v>4</v>
      </c>
      <c r="E164" s="321" t="str">
        <f>INDEX($H$97:$H$100,J157)</f>
        <v>ENG</v>
      </c>
      <c r="F164" s="321">
        <f>SUMIF($D$88:$E$93,"="&amp;$C164,$Q$88:$R$93)</f>
        <v>0</v>
      </c>
      <c r="G164" s="321">
        <f>INDEX($D$97:$D$100,$J157)</f>
        <v>0</v>
      </c>
      <c r="H164" s="321">
        <f>INDEX($E$97:$E$100,$J157)</f>
        <v>0</v>
      </c>
      <c r="I164" s="321">
        <f>INDEX($F$97:$F$100,$J157)</f>
        <v>0</v>
      </c>
      <c r="J164" s="321">
        <f>INDEX($G$97:$G$100,$J157)</f>
        <v>0</v>
      </c>
      <c r="K164" s="321">
        <f t="shared" si="58"/>
        <v>0</v>
      </c>
      <c r="L164" s="321">
        <f t="shared" si="58"/>
        <v>0</v>
      </c>
      <c r="M164" s="321">
        <f t="shared" si="58"/>
        <v>0</v>
      </c>
      <c r="AA164" s="321" t="str">
        <f>"V"&amp;AA86</f>
        <v>VD</v>
      </c>
      <c r="AB164" s="321">
        <v>4</v>
      </c>
      <c r="AC164" s="321">
        <f>INDEX($AC$97:$AC$100,AJ157)</f>
        <v>16</v>
      </c>
      <c r="AD164" s="321">
        <f>AJ157</f>
        <v>4</v>
      </c>
      <c r="AE164" s="321" t="str">
        <f>INDEX($AH$97:$AH$100,AJ157)</f>
        <v>FRA</v>
      </c>
      <c r="AF164" s="321">
        <f>SUMIF($AD$88:$AE$93,"="&amp;$AC164,$AQ$88:$AR$93)</f>
        <v>0</v>
      </c>
      <c r="AG164" s="321">
        <f>INDEX($AD$97:$AD$100,$AJ157)</f>
        <v>0</v>
      </c>
      <c r="AH164" s="321">
        <f>INDEX($AE$97:$AE$100,$AJ157)</f>
        <v>0</v>
      </c>
      <c r="AI164" s="321">
        <f>INDEX($AF$97:$AF$100,$AJ157)</f>
        <v>0</v>
      </c>
      <c r="AJ164" s="321">
        <f>INDEX($AG$97:$AG$100,$AJ157)</f>
        <v>0</v>
      </c>
      <c r="AK164" s="321">
        <f t="shared" si="59"/>
        <v>0</v>
      </c>
      <c r="AL164" s="321">
        <f t="shared" si="59"/>
        <v>0</v>
      </c>
      <c r="AM164" s="321">
        <f t="shared" si="59"/>
        <v>0</v>
      </c>
    </row>
    <row r="168" spans="1:46" x14ac:dyDescent="0.2">
      <c r="A168" s="321" t="s">
        <v>487</v>
      </c>
      <c r="B168" s="321" t="s">
        <v>394</v>
      </c>
      <c r="G168" s="321" t="s">
        <v>473</v>
      </c>
      <c r="K168" s="321" t="s">
        <v>974</v>
      </c>
      <c r="AA168" s="321" t="s">
        <v>632</v>
      </c>
      <c r="AB168" s="321" t="s">
        <v>394</v>
      </c>
      <c r="AG168" s="321" t="s">
        <v>473</v>
      </c>
      <c r="AK168" s="321" t="s">
        <v>974</v>
      </c>
    </row>
    <row r="169" spans="1:46" x14ac:dyDescent="0.2">
      <c r="A169" s="321" t="s">
        <v>975</v>
      </c>
      <c r="D169" s="321" t="s">
        <v>976</v>
      </c>
      <c r="E169" s="321" t="s">
        <v>977</v>
      </c>
      <c r="F169" s="321" t="s">
        <v>978</v>
      </c>
      <c r="G169" s="321" t="s">
        <v>979</v>
      </c>
      <c r="H169" s="321" t="s">
        <v>980</v>
      </c>
      <c r="I169" s="321" t="s">
        <v>981</v>
      </c>
      <c r="K169" s="321" t="s">
        <v>982</v>
      </c>
      <c r="L169" s="321" t="s">
        <v>983</v>
      </c>
      <c r="M169" s="321" t="s">
        <v>984</v>
      </c>
      <c r="N169" s="321" t="s">
        <v>985</v>
      </c>
      <c r="O169" s="321" t="s">
        <v>986</v>
      </c>
      <c r="P169" s="321" t="s">
        <v>987</v>
      </c>
      <c r="Q169" s="321" t="s">
        <v>879</v>
      </c>
      <c r="S169" s="321" t="s">
        <v>473</v>
      </c>
      <c r="AA169" s="321" t="s">
        <v>975</v>
      </c>
      <c r="AD169" s="321" t="s">
        <v>976</v>
      </c>
      <c r="AE169" s="321" t="s">
        <v>977</v>
      </c>
      <c r="AF169" s="321" t="s">
        <v>978</v>
      </c>
      <c r="AG169" s="321" t="s">
        <v>979</v>
      </c>
      <c r="AH169" s="321" t="s">
        <v>980</v>
      </c>
      <c r="AI169" s="321" t="s">
        <v>981</v>
      </c>
      <c r="AK169" s="321" t="s">
        <v>982</v>
      </c>
      <c r="AL169" s="321" t="s">
        <v>983</v>
      </c>
      <c r="AM169" s="321" t="s">
        <v>984</v>
      </c>
      <c r="AN169" s="321" t="s">
        <v>985</v>
      </c>
      <c r="AO169" s="321" t="s">
        <v>986</v>
      </c>
      <c r="AP169" s="321" t="s">
        <v>987</v>
      </c>
      <c r="AQ169" s="321" t="s">
        <v>879</v>
      </c>
      <c r="AS169" s="321" t="s">
        <v>473</v>
      </c>
    </row>
    <row r="170" spans="1:46" x14ac:dyDescent="0.2">
      <c r="A170" s="316">
        <v>1</v>
      </c>
      <c r="B170" s="316" t="str">
        <f t="shared" ref="B170:B175" si="60">D170&amp;"#"&amp;E170</f>
        <v>19#20</v>
      </c>
      <c r="C170" s="316" t="str">
        <f t="shared" ref="C170:C175" si="61">E170&amp;"#"&amp;D170</f>
        <v>20#19</v>
      </c>
      <c r="D170" s="316">
        <f>VLOOKUP(J170,daten!$G$59:$L$94,5,FALSE)</f>
        <v>19</v>
      </c>
      <c r="E170" s="316">
        <f>VLOOKUP(J170,daten!$G$59:$L$94,6,FALSE)</f>
        <v>20</v>
      </c>
      <c r="F170" s="316">
        <f t="shared" ref="F170:F175" si="62">D170</f>
        <v>19</v>
      </c>
      <c r="G170" s="316" t="str">
        <f>VLOOKUP(J170,Tippabgabe!$DQ$40:$DW$75,6,FALSE)</f>
        <v/>
      </c>
      <c r="H170" s="316" t="str">
        <f>VLOOKUP(J170,Tippabgabe!$DQ$40:$DW$75,7,FALSE)</f>
        <v/>
      </c>
      <c r="I170" s="316" t="str">
        <f t="shared" ref="I170:I175" si="63">IF(LEN(G170)&gt;0,G170,"")</f>
        <v/>
      </c>
      <c r="J170" s="316" t="str">
        <f>A168&amp;"-"&amp;A170</f>
        <v>E-1</v>
      </c>
      <c r="K170" s="321">
        <f t="shared" ref="K170:K175" si="64">IF(COUNT(G170:H170)&lt;&gt;2,0,IF(G170&gt;H170,3,IF(H170&gt;G170,0,1)))</f>
        <v>0</v>
      </c>
      <c r="L170" s="321">
        <f t="shared" ref="L170:L175" si="65">IF(COUNT(G170:H170)&lt;&gt;2,0,IF(G170&gt;H170,0,IF(H170&gt;G170,3,1)))</f>
        <v>0</v>
      </c>
      <c r="M170" s="321">
        <f t="shared" ref="M170:M175" si="66">IF(COUNT(G170:H170)&lt;&gt;2,0,G170-H170)</f>
        <v>0</v>
      </c>
      <c r="N170" s="321">
        <f t="shared" ref="N170:N175" si="67">IF(COUNT(G170:H170)&lt;&gt;2,0,H170-I170)</f>
        <v>0</v>
      </c>
      <c r="O170" s="321">
        <f t="shared" ref="O170:P175" si="68">K170*1000+M170+IF(LEN(G170)=0,0,G170/1000)</f>
        <v>0</v>
      </c>
      <c r="P170" s="321">
        <f t="shared" si="68"/>
        <v>0</v>
      </c>
      <c r="Q170" s="321">
        <f t="shared" ref="Q170:Q175" si="69">IF(COUNT(G170:H170)=2,1,0)</f>
        <v>0</v>
      </c>
      <c r="R170" s="321">
        <f t="shared" ref="R170:R175" si="70">Q170</f>
        <v>0</v>
      </c>
      <c r="S170" s="321" t="str">
        <f t="shared" ref="S170:T175" si="71">IF(Q170=0,"X",IF(K170=3,"S",IF(K170=0,"N","U")))&amp;D170</f>
        <v>X19</v>
      </c>
      <c r="T170" s="321" t="str">
        <f t="shared" si="71"/>
        <v>X20</v>
      </c>
      <c r="AA170" s="316">
        <v>1</v>
      </c>
      <c r="AB170" s="316" t="str">
        <f t="shared" ref="AB170:AB175" si="72">AD170&amp;"#"&amp;AE170</f>
        <v>21#22</v>
      </c>
      <c r="AC170" s="316" t="str">
        <f t="shared" ref="AC170:AC175" si="73">AE170&amp;"#"&amp;AD170</f>
        <v>22#21</v>
      </c>
      <c r="AD170" s="316">
        <f>VLOOKUP(AJ170,daten!$G$59:$L$94,5,FALSE)</f>
        <v>21</v>
      </c>
      <c r="AE170" s="316">
        <f>VLOOKUP(AJ170,daten!$G$59:$L$94,6,FALSE)</f>
        <v>22</v>
      </c>
      <c r="AF170" s="316">
        <f t="shared" ref="AF170:AF175" si="74">AD170</f>
        <v>21</v>
      </c>
      <c r="AG170" s="316" t="str">
        <f>VLOOKUP(AJ170,Tippabgabe!$DQ$40:$DW$75,6,FALSE)</f>
        <v/>
      </c>
      <c r="AH170" s="316" t="str">
        <f>VLOOKUP(AJ170,Tippabgabe!$DQ$40:$DW$75,7,FALSE)</f>
        <v/>
      </c>
      <c r="AI170" s="316" t="str">
        <f t="shared" ref="AI170:AI175" si="75">IF(LEN(AG170)&gt;0,AG170,"")</f>
        <v/>
      </c>
      <c r="AJ170" s="316" t="str">
        <f>AA168&amp;"-"&amp;AA170</f>
        <v>F-1</v>
      </c>
      <c r="AK170" s="321">
        <f t="shared" ref="AK170:AK175" si="76">IF(COUNT(AG170:AH170)&lt;&gt;2,0,IF(AG170&gt;AH170,3,IF(AH170&gt;AG170,0,1)))</f>
        <v>0</v>
      </c>
      <c r="AL170" s="321">
        <f t="shared" ref="AL170:AL175" si="77">IF(COUNT(AG170:AH170)&lt;&gt;2,0,IF(AG170&gt;AH170,0,IF(AH170&gt;AG170,3,1)))</f>
        <v>0</v>
      </c>
      <c r="AM170" s="321">
        <f t="shared" ref="AM170:AM175" si="78">IF(COUNT(AG170:AH170)&lt;&gt;2,0,AG170-AH170)</f>
        <v>0</v>
      </c>
      <c r="AN170" s="321">
        <f t="shared" ref="AN170:AN175" si="79">IF(COUNT(AG170:AH170)&lt;&gt;2,0,AH170-AI170)</f>
        <v>0</v>
      </c>
      <c r="AO170" s="321">
        <f t="shared" ref="AO170:AP175" si="80">AK170*1000+AM170+IF(LEN(AG170)=0,0,AG170/1000)</f>
        <v>0</v>
      </c>
      <c r="AP170" s="321">
        <f t="shared" si="80"/>
        <v>0</v>
      </c>
      <c r="AQ170" s="321">
        <f t="shared" ref="AQ170:AQ175" si="81">IF(COUNT(AG170:AH170)=2,1,0)</f>
        <v>0</v>
      </c>
      <c r="AR170" s="321">
        <f t="shared" ref="AR170:AR175" si="82">AQ170</f>
        <v>0</v>
      </c>
      <c r="AS170" s="321" t="str">
        <f t="shared" ref="AS170:AT175" si="83">IF(AQ170=0,"X",IF(AK170=3,"S",IF(AK170=0,"N","U")))&amp;AD170</f>
        <v>X21</v>
      </c>
      <c r="AT170" s="321" t="str">
        <f t="shared" si="83"/>
        <v>X22</v>
      </c>
    </row>
    <row r="171" spans="1:46" x14ac:dyDescent="0.2">
      <c r="A171" s="316">
        <v>2</v>
      </c>
      <c r="B171" s="316" t="str">
        <f t="shared" si="60"/>
        <v>17#18</v>
      </c>
      <c r="C171" s="316" t="str">
        <f t="shared" si="61"/>
        <v>18#17</v>
      </c>
      <c r="D171" s="316">
        <f>VLOOKUP(J171,daten!$G$59:$L$94,5,FALSE)</f>
        <v>17</v>
      </c>
      <c r="E171" s="316">
        <f>VLOOKUP(J171,daten!$G$59:$L$94,6,FALSE)</f>
        <v>18</v>
      </c>
      <c r="F171" s="316">
        <f t="shared" si="62"/>
        <v>17</v>
      </c>
      <c r="G171" s="316" t="str">
        <f>VLOOKUP(J171,Tippabgabe!$DQ$40:$DW$75,6,FALSE)</f>
        <v/>
      </c>
      <c r="H171" s="316" t="str">
        <f>VLOOKUP(J171,Tippabgabe!$DQ$40:$DW$75,7,FALSE)</f>
        <v/>
      </c>
      <c r="I171" s="316" t="str">
        <f t="shared" si="63"/>
        <v/>
      </c>
      <c r="J171" s="316" t="str">
        <f>A168&amp;"-"&amp;A171</f>
        <v>E-2</v>
      </c>
      <c r="K171" s="321">
        <f t="shared" si="64"/>
        <v>0</v>
      </c>
      <c r="L171" s="321">
        <f t="shared" si="65"/>
        <v>0</v>
      </c>
      <c r="M171" s="321">
        <f t="shared" si="66"/>
        <v>0</v>
      </c>
      <c r="N171" s="321">
        <f t="shared" si="67"/>
        <v>0</v>
      </c>
      <c r="O171" s="321">
        <f t="shared" si="68"/>
        <v>0</v>
      </c>
      <c r="P171" s="321">
        <f t="shared" si="68"/>
        <v>0</v>
      </c>
      <c r="Q171" s="321">
        <f t="shared" si="69"/>
        <v>0</v>
      </c>
      <c r="R171" s="321">
        <f t="shared" si="70"/>
        <v>0</v>
      </c>
      <c r="S171" s="321" t="str">
        <f t="shared" si="71"/>
        <v>X17</v>
      </c>
      <c r="T171" s="321" t="str">
        <f t="shared" si="71"/>
        <v>X18</v>
      </c>
      <c r="AA171" s="316">
        <v>2</v>
      </c>
      <c r="AB171" s="316" t="str">
        <f t="shared" si="72"/>
        <v>23#24</v>
      </c>
      <c r="AC171" s="316" t="str">
        <f t="shared" si="73"/>
        <v>24#23</v>
      </c>
      <c r="AD171" s="316">
        <f>VLOOKUP(AJ171,daten!$G$59:$L$94,5,FALSE)</f>
        <v>23</v>
      </c>
      <c r="AE171" s="316">
        <f>VLOOKUP(AJ171,daten!$G$59:$L$94,6,FALSE)</f>
        <v>24</v>
      </c>
      <c r="AF171" s="316">
        <f t="shared" si="74"/>
        <v>23</v>
      </c>
      <c r="AG171" s="316" t="str">
        <f>VLOOKUP(AJ171,Tippabgabe!$DQ$40:$DW$75,6,FALSE)</f>
        <v/>
      </c>
      <c r="AH171" s="316" t="str">
        <f>VLOOKUP(AJ171,Tippabgabe!$DQ$40:$DW$75,7,FALSE)</f>
        <v/>
      </c>
      <c r="AI171" s="316" t="str">
        <f t="shared" si="75"/>
        <v/>
      </c>
      <c r="AJ171" s="316" t="str">
        <f>AA168&amp;"-"&amp;AA171</f>
        <v>F-2</v>
      </c>
      <c r="AK171" s="321">
        <f t="shared" si="76"/>
        <v>0</v>
      </c>
      <c r="AL171" s="321">
        <f t="shared" si="77"/>
        <v>0</v>
      </c>
      <c r="AM171" s="321">
        <f t="shared" si="78"/>
        <v>0</v>
      </c>
      <c r="AN171" s="321">
        <f t="shared" si="79"/>
        <v>0</v>
      </c>
      <c r="AO171" s="321">
        <f t="shared" si="80"/>
        <v>0</v>
      </c>
      <c r="AP171" s="321">
        <f t="shared" si="80"/>
        <v>0</v>
      </c>
      <c r="AQ171" s="321">
        <f t="shared" si="81"/>
        <v>0</v>
      </c>
      <c r="AR171" s="321">
        <f t="shared" si="82"/>
        <v>0</v>
      </c>
      <c r="AS171" s="321" t="str">
        <f t="shared" si="83"/>
        <v>X23</v>
      </c>
      <c r="AT171" s="321" t="str">
        <f t="shared" si="83"/>
        <v>X24</v>
      </c>
    </row>
    <row r="172" spans="1:46" x14ac:dyDescent="0.2">
      <c r="A172" s="316">
        <v>3</v>
      </c>
      <c r="B172" s="316" t="str">
        <f t="shared" si="60"/>
        <v>18#20</v>
      </c>
      <c r="C172" s="316" t="str">
        <f t="shared" si="61"/>
        <v>20#18</v>
      </c>
      <c r="D172" s="316">
        <f>VLOOKUP(J172,daten!$G$59:$L$94,5,FALSE)</f>
        <v>18</v>
      </c>
      <c r="E172" s="316">
        <f>VLOOKUP(J172,daten!$G$59:$L$94,6,FALSE)</f>
        <v>20</v>
      </c>
      <c r="F172" s="316">
        <f t="shared" si="62"/>
        <v>18</v>
      </c>
      <c r="G172" s="316" t="str">
        <f>VLOOKUP(J172,Tippabgabe!$DQ$40:$DW$75,6,FALSE)</f>
        <v/>
      </c>
      <c r="H172" s="316" t="str">
        <f>VLOOKUP(J172,Tippabgabe!$DQ$40:$DW$75,7,FALSE)</f>
        <v/>
      </c>
      <c r="I172" s="316" t="str">
        <f t="shared" si="63"/>
        <v/>
      </c>
      <c r="J172" s="316" t="str">
        <f>A168&amp;"-"&amp;A172</f>
        <v>E-3</v>
      </c>
      <c r="K172" s="321">
        <f t="shared" si="64"/>
        <v>0</v>
      </c>
      <c r="L172" s="321">
        <f t="shared" si="65"/>
        <v>0</v>
      </c>
      <c r="M172" s="321">
        <f t="shared" si="66"/>
        <v>0</v>
      </c>
      <c r="N172" s="321">
        <f t="shared" si="67"/>
        <v>0</v>
      </c>
      <c r="O172" s="321">
        <f t="shared" si="68"/>
        <v>0</v>
      </c>
      <c r="P172" s="321">
        <f t="shared" si="68"/>
        <v>0</v>
      </c>
      <c r="Q172" s="321">
        <f t="shared" si="69"/>
        <v>0</v>
      </c>
      <c r="R172" s="321">
        <f t="shared" si="70"/>
        <v>0</v>
      </c>
      <c r="S172" s="321" t="str">
        <f t="shared" si="71"/>
        <v>X18</v>
      </c>
      <c r="T172" s="321" t="str">
        <f t="shared" si="71"/>
        <v>X20</v>
      </c>
      <c r="AA172" s="316">
        <v>3</v>
      </c>
      <c r="AB172" s="316" t="str">
        <f t="shared" si="72"/>
        <v>22#24</v>
      </c>
      <c r="AC172" s="316" t="str">
        <f t="shared" si="73"/>
        <v>24#22</v>
      </c>
      <c r="AD172" s="316">
        <f>VLOOKUP(AJ172,daten!$G$59:$L$94,5,FALSE)</f>
        <v>22</v>
      </c>
      <c r="AE172" s="316">
        <f>VLOOKUP(AJ172,daten!$G$59:$L$94,6,FALSE)</f>
        <v>24</v>
      </c>
      <c r="AF172" s="316">
        <f t="shared" si="74"/>
        <v>22</v>
      </c>
      <c r="AG172" s="316" t="str">
        <f>VLOOKUP(AJ172,Tippabgabe!$DQ$40:$DW$75,6,FALSE)</f>
        <v/>
      </c>
      <c r="AH172" s="316" t="str">
        <f>VLOOKUP(AJ172,Tippabgabe!$DQ$40:$DW$75,7,FALSE)</f>
        <v/>
      </c>
      <c r="AI172" s="316" t="str">
        <f t="shared" si="75"/>
        <v/>
      </c>
      <c r="AJ172" s="316" t="str">
        <f>AA168&amp;"-"&amp;AA172</f>
        <v>F-3</v>
      </c>
      <c r="AK172" s="321">
        <f t="shared" si="76"/>
        <v>0</v>
      </c>
      <c r="AL172" s="321">
        <f t="shared" si="77"/>
        <v>0</v>
      </c>
      <c r="AM172" s="321">
        <f t="shared" si="78"/>
        <v>0</v>
      </c>
      <c r="AN172" s="321">
        <f t="shared" si="79"/>
        <v>0</v>
      </c>
      <c r="AO172" s="321">
        <f t="shared" si="80"/>
        <v>0</v>
      </c>
      <c r="AP172" s="321">
        <f t="shared" si="80"/>
        <v>0</v>
      </c>
      <c r="AQ172" s="321">
        <f t="shared" si="81"/>
        <v>0</v>
      </c>
      <c r="AR172" s="321">
        <f t="shared" si="82"/>
        <v>0</v>
      </c>
      <c r="AS172" s="321" t="str">
        <f t="shared" si="83"/>
        <v>X22</v>
      </c>
      <c r="AT172" s="321" t="str">
        <f t="shared" si="83"/>
        <v>X24</v>
      </c>
    </row>
    <row r="173" spans="1:46" x14ac:dyDescent="0.2">
      <c r="A173" s="316">
        <v>4</v>
      </c>
      <c r="B173" s="316" t="str">
        <f t="shared" si="60"/>
        <v>17#19</v>
      </c>
      <c r="C173" s="316" t="str">
        <f t="shared" si="61"/>
        <v>19#17</v>
      </c>
      <c r="D173" s="316">
        <f>VLOOKUP(J173,daten!$G$59:$L$94,5,FALSE)</f>
        <v>17</v>
      </c>
      <c r="E173" s="316">
        <f>VLOOKUP(J173,daten!$G$59:$L$94,6,FALSE)</f>
        <v>19</v>
      </c>
      <c r="F173" s="316">
        <f t="shared" si="62"/>
        <v>17</v>
      </c>
      <c r="G173" s="316" t="str">
        <f>VLOOKUP(J173,Tippabgabe!$DQ$40:$DW$75,6,FALSE)</f>
        <v/>
      </c>
      <c r="H173" s="316" t="str">
        <f>VLOOKUP(J173,Tippabgabe!$DQ$40:$DW$75,7,FALSE)</f>
        <v/>
      </c>
      <c r="I173" s="316" t="str">
        <f t="shared" si="63"/>
        <v/>
      </c>
      <c r="J173" s="316" t="str">
        <f>A168&amp;"-"&amp;A173</f>
        <v>E-4</v>
      </c>
      <c r="K173" s="321">
        <f t="shared" si="64"/>
        <v>0</v>
      </c>
      <c r="L173" s="321">
        <f t="shared" si="65"/>
        <v>0</v>
      </c>
      <c r="M173" s="321">
        <f t="shared" si="66"/>
        <v>0</v>
      </c>
      <c r="N173" s="321">
        <f t="shared" si="67"/>
        <v>0</v>
      </c>
      <c r="O173" s="321">
        <f t="shared" si="68"/>
        <v>0</v>
      </c>
      <c r="P173" s="321">
        <f t="shared" si="68"/>
        <v>0</v>
      </c>
      <c r="Q173" s="321">
        <f t="shared" si="69"/>
        <v>0</v>
      </c>
      <c r="R173" s="321">
        <f t="shared" si="70"/>
        <v>0</v>
      </c>
      <c r="S173" s="321" t="str">
        <f t="shared" si="71"/>
        <v>X17</v>
      </c>
      <c r="T173" s="321" t="str">
        <f t="shared" si="71"/>
        <v>X19</v>
      </c>
      <c r="AA173" s="316">
        <v>4</v>
      </c>
      <c r="AB173" s="316" t="str">
        <f t="shared" si="72"/>
        <v>21#23</v>
      </c>
      <c r="AC173" s="316" t="str">
        <f t="shared" si="73"/>
        <v>23#21</v>
      </c>
      <c r="AD173" s="316">
        <f>VLOOKUP(AJ173,daten!$G$59:$L$94,5,FALSE)</f>
        <v>21</v>
      </c>
      <c r="AE173" s="316">
        <f>VLOOKUP(AJ173,daten!$G$59:$L$94,6,FALSE)</f>
        <v>23</v>
      </c>
      <c r="AF173" s="316">
        <f t="shared" si="74"/>
        <v>21</v>
      </c>
      <c r="AG173" s="316" t="str">
        <f>VLOOKUP(AJ173,Tippabgabe!$DQ$40:$DW$75,6,FALSE)</f>
        <v/>
      </c>
      <c r="AH173" s="316" t="str">
        <f>VLOOKUP(AJ173,Tippabgabe!$DQ$40:$DW$75,7,FALSE)</f>
        <v/>
      </c>
      <c r="AI173" s="316" t="str">
        <f t="shared" si="75"/>
        <v/>
      </c>
      <c r="AJ173" s="316" t="str">
        <f>AA168&amp;"-"&amp;AA173</f>
        <v>F-4</v>
      </c>
      <c r="AK173" s="321">
        <f t="shared" si="76"/>
        <v>0</v>
      </c>
      <c r="AL173" s="321">
        <f t="shared" si="77"/>
        <v>0</v>
      </c>
      <c r="AM173" s="321">
        <f t="shared" si="78"/>
        <v>0</v>
      </c>
      <c r="AN173" s="321">
        <f t="shared" si="79"/>
        <v>0</v>
      </c>
      <c r="AO173" s="321">
        <f t="shared" si="80"/>
        <v>0</v>
      </c>
      <c r="AP173" s="321">
        <f t="shared" si="80"/>
        <v>0</v>
      </c>
      <c r="AQ173" s="321">
        <f t="shared" si="81"/>
        <v>0</v>
      </c>
      <c r="AR173" s="321">
        <f t="shared" si="82"/>
        <v>0</v>
      </c>
      <c r="AS173" s="321" t="str">
        <f t="shared" si="83"/>
        <v>X21</v>
      </c>
      <c r="AT173" s="321" t="str">
        <f t="shared" si="83"/>
        <v>X23</v>
      </c>
    </row>
    <row r="174" spans="1:46" x14ac:dyDescent="0.2">
      <c r="A174" s="316">
        <v>5</v>
      </c>
      <c r="B174" s="316" t="str">
        <f t="shared" si="60"/>
        <v>18#19</v>
      </c>
      <c r="C174" s="316" t="str">
        <f t="shared" si="61"/>
        <v>19#18</v>
      </c>
      <c r="D174" s="316">
        <f>VLOOKUP(J174,daten!$G$59:$L$94,5,FALSE)</f>
        <v>18</v>
      </c>
      <c r="E174" s="316">
        <f>VLOOKUP(J174,daten!$G$59:$L$94,6,FALSE)</f>
        <v>19</v>
      </c>
      <c r="F174" s="316">
        <f t="shared" si="62"/>
        <v>18</v>
      </c>
      <c r="G174" s="316" t="str">
        <f>VLOOKUP(J174,Tippabgabe!$DQ$40:$DW$75,6,FALSE)</f>
        <v/>
      </c>
      <c r="H174" s="316" t="str">
        <f>VLOOKUP(J174,Tippabgabe!$DQ$40:$DW$75,7,FALSE)</f>
        <v/>
      </c>
      <c r="I174" s="316" t="str">
        <f t="shared" si="63"/>
        <v/>
      </c>
      <c r="J174" s="316" t="str">
        <f>A168&amp;"-"&amp;A174</f>
        <v>E-5</v>
      </c>
      <c r="K174" s="321">
        <f t="shared" si="64"/>
        <v>0</v>
      </c>
      <c r="L174" s="321">
        <f t="shared" si="65"/>
        <v>0</v>
      </c>
      <c r="M174" s="321">
        <f t="shared" si="66"/>
        <v>0</v>
      </c>
      <c r="N174" s="321">
        <f t="shared" si="67"/>
        <v>0</v>
      </c>
      <c r="O174" s="321">
        <f t="shared" si="68"/>
        <v>0</v>
      </c>
      <c r="P174" s="321">
        <f t="shared" si="68"/>
        <v>0</v>
      </c>
      <c r="Q174" s="321">
        <f t="shared" si="69"/>
        <v>0</v>
      </c>
      <c r="R174" s="321">
        <f t="shared" si="70"/>
        <v>0</v>
      </c>
      <c r="S174" s="321" t="str">
        <f t="shared" si="71"/>
        <v>X18</v>
      </c>
      <c r="T174" s="321" t="str">
        <f t="shared" si="71"/>
        <v>X19</v>
      </c>
      <c r="AA174" s="316">
        <v>5</v>
      </c>
      <c r="AB174" s="316" t="str">
        <f t="shared" si="72"/>
        <v>22#23</v>
      </c>
      <c r="AC174" s="316" t="str">
        <f t="shared" si="73"/>
        <v>23#22</v>
      </c>
      <c r="AD174" s="316">
        <f>VLOOKUP(AJ174,daten!$G$59:$L$94,5,FALSE)</f>
        <v>22</v>
      </c>
      <c r="AE174" s="316">
        <f>VLOOKUP(AJ174,daten!$G$59:$L$94,6,FALSE)</f>
        <v>23</v>
      </c>
      <c r="AF174" s="316">
        <f t="shared" si="74"/>
        <v>22</v>
      </c>
      <c r="AG174" s="316" t="str">
        <f>VLOOKUP(AJ174,Tippabgabe!$DQ$40:$DW$75,6,FALSE)</f>
        <v/>
      </c>
      <c r="AH174" s="316" t="str">
        <f>VLOOKUP(AJ174,Tippabgabe!$DQ$40:$DW$75,7,FALSE)</f>
        <v/>
      </c>
      <c r="AI174" s="316" t="str">
        <f t="shared" si="75"/>
        <v/>
      </c>
      <c r="AJ174" s="316" t="str">
        <f>AA168&amp;"-"&amp;AA174</f>
        <v>F-5</v>
      </c>
      <c r="AK174" s="321">
        <f t="shared" si="76"/>
        <v>0</v>
      </c>
      <c r="AL174" s="321">
        <f t="shared" si="77"/>
        <v>0</v>
      </c>
      <c r="AM174" s="321">
        <f t="shared" si="78"/>
        <v>0</v>
      </c>
      <c r="AN174" s="321">
        <f t="shared" si="79"/>
        <v>0</v>
      </c>
      <c r="AO174" s="321">
        <f t="shared" si="80"/>
        <v>0</v>
      </c>
      <c r="AP174" s="321">
        <f t="shared" si="80"/>
        <v>0</v>
      </c>
      <c r="AQ174" s="321">
        <f t="shared" si="81"/>
        <v>0</v>
      </c>
      <c r="AR174" s="321">
        <f t="shared" si="82"/>
        <v>0</v>
      </c>
      <c r="AS174" s="321" t="str">
        <f t="shared" si="83"/>
        <v>X22</v>
      </c>
      <c r="AT174" s="321" t="str">
        <f t="shared" si="83"/>
        <v>X23</v>
      </c>
    </row>
    <row r="175" spans="1:46" x14ac:dyDescent="0.2">
      <c r="A175" s="316">
        <v>6</v>
      </c>
      <c r="B175" s="316" t="str">
        <f t="shared" si="60"/>
        <v>20#17</v>
      </c>
      <c r="C175" s="316" t="str">
        <f t="shared" si="61"/>
        <v>17#20</v>
      </c>
      <c r="D175" s="316">
        <f>VLOOKUP(J175,daten!$G$59:$L$94,5,FALSE)</f>
        <v>20</v>
      </c>
      <c r="E175" s="316">
        <f>VLOOKUP(J175,daten!$G$59:$L$94,6,FALSE)</f>
        <v>17</v>
      </c>
      <c r="F175" s="316">
        <f t="shared" si="62"/>
        <v>20</v>
      </c>
      <c r="G175" s="316" t="str">
        <f>VLOOKUP(J175,Tippabgabe!$DQ$40:$DW$75,6,FALSE)</f>
        <v/>
      </c>
      <c r="H175" s="316" t="str">
        <f>VLOOKUP(J175,Tippabgabe!$DQ$40:$DW$75,7,FALSE)</f>
        <v/>
      </c>
      <c r="I175" s="316" t="str">
        <f t="shared" si="63"/>
        <v/>
      </c>
      <c r="J175" s="316" t="str">
        <f>A168&amp;"-"&amp;A175</f>
        <v>E-6</v>
      </c>
      <c r="K175" s="321">
        <f t="shared" si="64"/>
        <v>0</v>
      </c>
      <c r="L175" s="321">
        <f t="shared" si="65"/>
        <v>0</v>
      </c>
      <c r="M175" s="321">
        <f t="shared" si="66"/>
        <v>0</v>
      </c>
      <c r="N175" s="321">
        <f t="shared" si="67"/>
        <v>0</v>
      </c>
      <c r="O175" s="321">
        <f t="shared" si="68"/>
        <v>0</v>
      </c>
      <c r="P175" s="321">
        <f t="shared" si="68"/>
        <v>0</v>
      </c>
      <c r="Q175" s="321">
        <f t="shared" si="69"/>
        <v>0</v>
      </c>
      <c r="R175" s="321">
        <f t="shared" si="70"/>
        <v>0</v>
      </c>
      <c r="S175" s="321" t="str">
        <f t="shared" si="71"/>
        <v>X20</v>
      </c>
      <c r="T175" s="321" t="str">
        <f t="shared" si="71"/>
        <v>X17</v>
      </c>
      <c r="AA175" s="316">
        <v>6</v>
      </c>
      <c r="AB175" s="316" t="str">
        <f t="shared" si="72"/>
        <v>24#21</v>
      </c>
      <c r="AC175" s="316" t="str">
        <f t="shared" si="73"/>
        <v>21#24</v>
      </c>
      <c r="AD175" s="316">
        <f>VLOOKUP(AJ175,daten!$G$59:$L$94,5,FALSE)</f>
        <v>24</v>
      </c>
      <c r="AE175" s="316">
        <f>VLOOKUP(AJ175,daten!$G$59:$L$94,6,FALSE)</f>
        <v>21</v>
      </c>
      <c r="AF175" s="316">
        <f t="shared" si="74"/>
        <v>24</v>
      </c>
      <c r="AG175" s="316" t="str">
        <f>VLOOKUP(AJ175,Tippabgabe!$DQ$40:$DW$75,6,FALSE)</f>
        <v/>
      </c>
      <c r="AH175" s="316" t="str">
        <f>VLOOKUP(AJ175,Tippabgabe!$DQ$40:$DW$75,7,FALSE)</f>
        <v/>
      </c>
      <c r="AI175" s="316" t="str">
        <f t="shared" si="75"/>
        <v/>
      </c>
      <c r="AJ175" s="316" t="str">
        <f>AA168&amp;"-"&amp;AA175</f>
        <v>F-6</v>
      </c>
      <c r="AK175" s="321">
        <f t="shared" si="76"/>
        <v>0</v>
      </c>
      <c r="AL175" s="321">
        <f t="shared" si="77"/>
        <v>0</v>
      </c>
      <c r="AM175" s="321">
        <f t="shared" si="78"/>
        <v>0</v>
      </c>
      <c r="AN175" s="321">
        <f t="shared" si="79"/>
        <v>0</v>
      </c>
      <c r="AO175" s="321">
        <f t="shared" si="80"/>
        <v>0</v>
      </c>
      <c r="AP175" s="321">
        <f t="shared" si="80"/>
        <v>0</v>
      </c>
      <c r="AQ175" s="321">
        <f t="shared" si="81"/>
        <v>0</v>
      </c>
      <c r="AR175" s="321">
        <f t="shared" si="82"/>
        <v>0</v>
      </c>
      <c r="AS175" s="321" t="str">
        <f t="shared" si="83"/>
        <v>X24</v>
      </c>
      <c r="AT175" s="321" t="str">
        <f t="shared" si="83"/>
        <v>X21</v>
      </c>
    </row>
    <row r="178" spans="1:40" x14ac:dyDescent="0.2">
      <c r="A178" s="321" t="s">
        <v>374</v>
      </c>
      <c r="C178" s="321" t="s">
        <v>988</v>
      </c>
      <c r="D178" s="321" t="s">
        <v>587</v>
      </c>
      <c r="E178" s="321" t="s">
        <v>989</v>
      </c>
      <c r="F178" s="321" t="s">
        <v>990</v>
      </c>
      <c r="G178" s="321" t="s">
        <v>991</v>
      </c>
      <c r="H178" s="321" t="s">
        <v>108</v>
      </c>
      <c r="I178" s="321" t="s">
        <v>992</v>
      </c>
      <c r="K178" s="321" t="s">
        <v>993</v>
      </c>
      <c r="M178" s="321" t="s">
        <v>994</v>
      </c>
      <c r="N178" s="321" t="s">
        <v>992</v>
      </c>
      <c r="AA178" s="321" t="s">
        <v>374</v>
      </c>
      <c r="AC178" s="321" t="s">
        <v>988</v>
      </c>
      <c r="AD178" s="321" t="s">
        <v>587</v>
      </c>
      <c r="AE178" s="321" t="s">
        <v>989</v>
      </c>
      <c r="AF178" s="321" t="s">
        <v>990</v>
      </c>
      <c r="AG178" s="321" t="s">
        <v>991</v>
      </c>
      <c r="AH178" s="321" t="s">
        <v>108</v>
      </c>
      <c r="AI178" s="321" t="s">
        <v>992</v>
      </c>
      <c r="AK178" s="321" t="s">
        <v>993</v>
      </c>
      <c r="AM178" s="321" t="s">
        <v>994</v>
      </c>
      <c r="AN178" s="321" t="s">
        <v>992</v>
      </c>
    </row>
    <row r="179" spans="1:40" x14ac:dyDescent="0.2">
      <c r="A179" s="321">
        <v>2</v>
      </c>
      <c r="C179" s="321">
        <v>17</v>
      </c>
      <c r="D179" s="321">
        <f>SUMIF($D$170:$E$175,"="&amp;C179,$K$170:$L$175)</f>
        <v>0</v>
      </c>
      <c r="E179" s="321">
        <f>SUMIF($D$170:$E$175,"="&amp;$C179,$G$170:$H$175)</f>
        <v>0</v>
      </c>
      <c r="F179" s="321">
        <f>E179-G179</f>
        <v>0</v>
      </c>
      <c r="G179" s="321">
        <f>SUMIF($D$170:$E$175,"="&amp;$C179,$G$170:$H$175)-SUMIF($D$170:$E$175,"="&amp;$C179,$H$170:$I$175)</f>
        <v>0</v>
      </c>
      <c r="H179" s="321" t="str">
        <f>INDEX(teams_k,C179)</f>
        <v>BEL</v>
      </c>
      <c r="I179" s="321">
        <f>RANK(D179,$D$179:$D$182,1)</f>
        <v>1</v>
      </c>
      <c r="L179" s="321">
        <v>1</v>
      </c>
      <c r="M179" s="321">
        <v>1</v>
      </c>
      <c r="N179" s="321">
        <f>RANK(M179,$M$179:$M$182)</f>
        <v>1</v>
      </c>
      <c r="AA179" s="321">
        <v>2</v>
      </c>
      <c r="AC179" s="321">
        <v>21</v>
      </c>
      <c r="AD179" s="321">
        <f>SUMIF($AD$170:$AE$175,"="&amp;AC179,$AK$170:$AL$175)</f>
        <v>0</v>
      </c>
      <c r="AE179" s="321">
        <f>SUMIF($AD$170:$AE$175,"="&amp;$AC179,$AG$170:$AH$175)</f>
        <v>0</v>
      </c>
      <c r="AF179" s="321">
        <f>AE179-AG179</f>
        <v>0</v>
      </c>
      <c r="AG179" s="321">
        <f>SUMIF($AD$170:$AE$175,"="&amp;$AC179,$AG$170:$AH$175)-SUMIF($AD$170:$AE$175,"="&amp;$AC179,$AH$170:$AI$175)</f>
        <v>0</v>
      </c>
      <c r="AH179" s="321" t="str">
        <f>INDEX(teams_k,AC179)</f>
        <v>TUR</v>
      </c>
      <c r="AI179" s="321">
        <f>RANK(AD179,$AD$179:$AD$182,1)</f>
        <v>1</v>
      </c>
      <c r="AL179" s="321">
        <v>1</v>
      </c>
      <c r="AM179" s="321">
        <v>1</v>
      </c>
      <c r="AN179" s="321">
        <f>RANK(AM179,$AM$179:$AM$182)</f>
        <v>1</v>
      </c>
    </row>
    <row r="180" spans="1:40" x14ac:dyDescent="0.2">
      <c r="C180" s="321">
        <v>18</v>
      </c>
      <c r="D180" s="321">
        <f>SUMIF($D$170:$E$175,"="&amp;C180,$K$170:$L$175)</f>
        <v>0</v>
      </c>
      <c r="E180" s="321">
        <f>SUMIF($D$170:$E$175,"="&amp;$C180,$G$170:$H$175)</f>
        <v>0</v>
      </c>
      <c r="F180" s="321">
        <f>E180-G180</f>
        <v>0</v>
      </c>
      <c r="G180" s="321">
        <f>SUMIF($D$170:$E$175,"="&amp;$C180,$G$170:$H$175)-SUMIF($D$170:$E$175,"="&amp;$C180,$H$170:$I$175)</f>
        <v>0</v>
      </c>
      <c r="H180" s="321" t="str">
        <f>INDEX(teams_k,C180)</f>
        <v>SVK</v>
      </c>
      <c r="I180" s="321">
        <f>RANK(D180,$D$179:$D$182,1)</f>
        <v>1</v>
      </c>
      <c r="L180" s="321">
        <v>2</v>
      </c>
      <c r="M180" s="321">
        <v>1</v>
      </c>
      <c r="N180" s="321">
        <f>RANK(M180,$M$179:$M$182)</f>
        <v>1</v>
      </c>
      <c r="AC180" s="321">
        <v>22</v>
      </c>
      <c r="AD180" s="321">
        <f>SUMIF($AD$170:$AE$175,"="&amp;AC180,$AK$170:$AL$175)</f>
        <v>0</v>
      </c>
      <c r="AE180" s="321">
        <f>SUMIF($AD$170:$AE$175,"="&amp;$AC180,$AG$170:$AH$175)</f>
        <v>0</v>
      </c>
      <c r="AF180" s="321">
        <f>AE180-AG180</f>
        <v>0</v>
      </c>
      <c r="AG180" s="321">
        <f>SUMIF($AD$170:$AE$175,"="&amp;$AC180,$AG$170:$AH$175)-SUMIF($AD$170:$AE$175,"="&amp;$AC180,$AH$170:$AI$175)</f>
        <v>0</v>
      </c>
      <c r="AH180" s="321" t="str">
        <f>INDEX(teams_k,AC180)</f>
        <v>GEO</v>
      </c>
      <c r="AI180" s="321">
        <f>RANK(AD180,$AD$179:$AD$182,1)</f>
        <v>1</v>
      </c>
      <c r="AL180" s="321">
        <v>2</v>
      </c>
      <c r="AM180" s="321">
        <v>1</v>
      </c>
      <c r="AN180" s="321">
        <f>RANK(AM180,$AM$179:$AM$182)</f>
        <v>1</v>
      </c>
    </row>
    <row r="181" spans="1:40" x14ac:dyDescent="0.2">
      <c r="C181" s="321">
        <v>19</v>
      </c>
      <c r="D181" s="321">
        <f>SUMIF($D$170:$E$175,"="&amp;C181,$K$170:$L$175)</f>
        <v>0</v>
      </c>
      <c r="E181" s="321">
        <f>SUMIF($D$170:$E$175,"="&amp;$C181,$G$170:$H$175)</f>
        <v>0</v>
      </c>
      <c r="F181" s="321">
        <f>E181-G181</f>
        <v>0</v>
      </c>
      <c r="G181" s="321">
        <f>SUMIF($D$170:$E$175,"="&amp;$C181,$G$170:$H$175)-SUMIF($D$170:$E$175,"="&amp;$C181,$H$170:$I$175)</f>
        <v>0</v>
      </c>
      <c r="H181" s="321" t="str">
        <f>INDEX(teams_k,C181)</f>
        <v>ROM</v>
      </c>
      <c r="I181" s="321">
        <f>RANK(D181,$D$179:$D$182,1)</f>
        <v>1</v>
      </c>
      <c r="L181" s="321">
        <v>3</v>
      </c>
      <c r="M181" s="321">
        <v>1</v>
      </c>
      <c r="N181" s="321">
        <f>RANK(M181,$M$179:$M$182)</f>
        <v>1</v>
      </c>
      <c r="AC181" s="321">
        <v>23</v>
      </c>
      <c r="AD181" s="321">
        <f>SUMIF($AD$170:$AE$175,"="&amp;AC181,$AK$170:$AL$175)</f>
        <v>0</v>
      </c>
      <c r="AE181" s="321">
        <f>SUMIF($AD$170:$AE$175,"="&amp;$AC181,$AG$170:$AH$175)</f>
        <v>0</v>
      </c>
      <c r="AF181" s="321">
        <f>AE181-AG181</f>
        <v>0</v>
      </c>
      <c r="AG181" s="321">
        <f>SUMIF($AD$170:$AE$175,"="&amp;$AC181,$AG$170:$AH$175)-SUMIF($AD$170:$AE$175,"="&amp;$AC181,$AH$170:$AI$175)</f>
        <v>0</v>
      </c>
      <c r="AH181" s="321" t="str">
        <f>INDEX(teams_k,AC181)</f>
        <v>POR</v>
      </c>
      <c r="AI181" s="321">
        <f>RANK(AD181,$AD$179:$AD$182,1)</f>
        <v>1</v>
      </c>
      <c r="AL181" s="321">
        <v>3</v>
      </c>
      <c r="AM181" s="321">
        <v>1</v>
      </c>
      <c r="AN181" s="321">
        <f>RANK(AM181,$AM$179:$AM$182)</f>
        <v>1</v>
      </c>
    </row>
    <row r="182" spans="1:40" x14ac:dyDescent="0.2">
      <c r="C182" s="321">
        <v>20</v>
      </c>
      <c r="D182" s="321">
        <f>SUMIF($D$170:$E$175,"="&amp;C182,$K$170:$L$175)</f>
        <v>0</v>
      </c>
      <c r="E182" s="321">
        <f>SUMIF($D$170:$E$175,"="&amp;$C182,$G$170:$H$175)</f>
        <v>0</v>
      </c>
      <c r="F182" s="321">
        <f>E182-G182</f>
        <v>0</v>
      </c>
      <c r="G182" s="321">
        <f>SUMIF($D$170:$E$175,"="&amp;$C182,$G$170:$H$175)-SUMIF($D$170:$E$175,"="&amp;$C182,$H$170:$I$175)</f>
        <v>0</v>
      </c>
      <c r="H182" s="321" t="str">
        <f>INDEX(teams_k,C182)</f>
        <v>UKR</v>
      </c>
      <c r="I182" s="321">
        <f>RANK(D182,$D$179:$D$182,1)</f>
        <v>1</v>
      </c>
      <c r="L182" s="321">
        <v>4</v>
      </c>
      <c r="M182" s="321">
        <v>1</v>
      </c>
      <c r="N182" s="321">
        <f>RANK(M182,$M$179:$M$182)</f>
        <v>1</v>
      </c>
      <c r="AC182" s="321">
        <v>24</v>
      </c>
      <c r="AD182" s="321">
        <f>SUMIF($AD$170:$AE$175,"="&amp;AC182,$AK$170:$AL$175)</f>
        <v>0</v>
      </c>
      <c r="AE182" s="321">
        <f>SUMIF($AD$170:$AE$175,"="&amp;$AC182,$AG$170:$AH$175)</f>
        <v>0</v>
      </c>
      <c r="AF182" s="321">
        <f>AE182-AG182</f>
        <v>0</v>
      </c>
      <c r="AG182" s="321">
        <f>SUMIF($AD$170:$AE$175,"="&amp;$AC182,$AG$170:$AH$175)-SUMIF($AD$170:$AE$175,"="&amp;$AC182,$AH$170:$AI$175)</f>
        <v>0</v>
      </c>
      <c r="AH182" s="321" t="str">
        <f>INDEX(teams_k,AC182)</f>
        <v>CZE</v>
      </c>
      <c r="AI182" s="321">
        <f>RANK(AD182,$AD$179:$AD$182,1)</f>
        <v>1</v>
      </c>
      <c r="AL182" s="321">
        <v>4</v>
      </c>
      <c r="AM182" s="321">
        <v>1</v>
      </c>
      <c r="AN182" s="321">
        <f>RANK(AM182,$AM$179:$AM$182)</f>
        <v>1</v>
      </c>
    </row>
    <row r="184" spans="1:40" x14ac:dyDescent="0.2">
      <c r="B184" s="321" t="s">
        <v>995</v>
      </c>
      <c r="D184" s="321">
        <f>B186</f>
        <v>17</v>
      </c>
      <c r="E184" s="321">
        <f>B187</f>
        <v>18</v>
      </c>
      <c r="F184" s="321">
        <f>B188</f>
        <v>19</v>
      </c>
      <c r="G184" s="321">
        <f>B189</f>
        <v>20</v>
      </c>
      <c r="AB184" s="321" t="s">
        <v>995</v>
      </c>
      <c r="AD184" s="321">
        <f>AB186</f>
        <v>21</v>
      </c>
      <c r="AE184" s="321">
        <f>AB187</f>
        <v>22</v>
      </c>
      <c r="AF184" s="321">
        <f>AB188</f>
        <v>23</v>
      </c>
      <c r="AG184" s="321">
        <f>AB189</f>
        <v>24</v>
      </c>
    </row>
    <row r="185" spans="1:40" x14ac:dyDescent="0.2">
      <c r="B185" s="321" t="s">
        <v>996</v>
      </c>
      <c r="C185" s="321" t="s">
        <v>975</v>
      </c>
      <c r="D185" s="321">
        <f>C186</f>
        <v>1</v>
      </c>
      <c r="E185" s="321">
        <f>C187</f>
        <v>2</v>
      </c>
      <c r="F185" s="321">
        <f>C188</f>
        <v>3</v>
      </c>
      <c r="G185" s="321">
        <f>C189</f>
        <v>4</v>
      </c>
      <c r="I185" s="321" t="s">
        <v>997</v>
      </c>
      <c r="AB185" s="321" t="s">
        <v>996</v>
      </c>
      <c r="AC185" s="321" t="s">
        <v>975</v>
      </c>
      <c r="AD185" s="321">
        <f>AC186</f>
        <v>1</v>
      </c>
      <c r="AE185" s="321">
        <f>AC187</f>
        <v>2</v>
      </c>
      <c r="AF185" s="321">
        <f>AC188</f>
        <v>3</v>
      </c>
      <c r="AG185" s="321">
        <f>AC189</f>
        <v>4</v>
      </c>
      <c r="AI185" s="321" t="s">
        <v>997</v>
      </c>
    </row>
    <row r="186" spans="1:40" x14ac:dyDescent="0.2">
      <c r="B186" s="321">
        <f>INDEX($C$179:$C$182,C186)</f>
        <v>17</v>
      </c>
      <c r="C186" s="321">
        <v>1</v>
      </c>
      <c r="D186" s="321">
        <f t="shared" ref="D186:G189" si="84">IF(INDEX($I$179:$I$182,$C186)&lt;&gt;INDEX($I$179:$I$182,D$185),0,SUMIF($B$170:$C$175,"="&amp;$B186&amp;"#"&amp;D$184,$O$170:$P$175))</f>
        <v>0</v>
      </c>
      <c r="E186" s="321">
        <f t="shared" si="84"/>
        <v>0</v>
      </c>
      <c r="F186" s="321">
        <f t="shared" si="84"/>
        <v>0</v>
      </c>
      <c r="G186" s="321">
        <f t="shared" si="84"/>
        <v>0</v>
      </c>
      <c r="H186" s="321">
        <f>SUM(D186:G186)</f>
        <v>0</v>
      </c>
      <c r="I186" s="321">
        <f>RANK(H186,$H$186:$H$189,1)</f>
        <v>1</v>
      </c>
      <c r="AB186" s="321">
        <f>INDEX($AC$179:$AC$182,AC186)</f>
        <v>21</v>
      </c>
      <c r="AC186" s="321">
        <v>1</v>
      </c>
      <c r="AD186" s="321">
        <f t="shared" ref="AD186:AG189" si="85">IF(INDEX($AI$179:$AI$182,$AC186)&lt;&gt;INDEX($AI$179:$AI$182,AD$185),0,SUMIF($AB$170:$AC$175,"="&amp;$AB186&amp;"#"&amp;AD$184,$AO$170:$AP$175))</f>
        <v>0</v>
      </c>
      <c r="AE186" s="321">
        <f t="shared" si="85"/>
        <v>0</v>
      </c>
      <c r="AF186" s="321">
        <f t="shared" si="85"/>
        <v>0</v>
      </c>
      <c r="AG186" s="321">
        <f t="shared" si="85"/>
        <v>0</v>
      </c>
      <c r="AH186" s="321">
        <f>SUM(AD186:AG186)</f>
        <v>0</v>
      </c>
      <c r="AI186" s="321">
        <f>RANK(AH186,$AH$186:$AH$189,1)</f>
        <v>1</v>
      </c>
    </row>
    <row r="187" spans="1:40" x14ac:dyDescent="0.2">
      <c r="B187" s="321">
        <f>INDEX($C$179:$C$182,C187)</f>
        <v>18</v>
      </c>
      <c r="C187" s="321">
        <v>2</v>
      </c>
      <c r="D187" s="321">
        <f t="shared" si="84"/>
        <v>0</v>
      </c>
      <c r="E187" s="321">
        <f t="shared" si="84"/>
        <v>0</v>
      </c>
      <c r="F187" s="321">
        <f t="shared" si="84"/>
        <v>0</v>
      </c>
      <c r="G187" s="321">
        <f t="shared" si="84"/>
        <v>0</v>
      </c>
      <c r="H187" s="321">
        <f>SUM(D187:G187)</f>
        <v>0</v>
      </c>
      <c r="I187" s="321">
        <f>RANK(H187,$H$186:$H$189,1)</f>
        <v>1</v>
      </c>
      <c r="AB187" s="321">
        <f>INDEX($AC$179:$AC$182,AC187)</f>
        <v>22</v>
      </c>
      <c r="AC187" s="321">
        <v>2</v>
      </c>
      <c r="AD187" s="321">
        <f t="shared" si="85"/>
        <v>0</v>
      </c>
      <c r="AE187" s="321">
        <f t="shared" si="85"/>
        <v>0</v>
      </c>
      <c r="AF187" s="321">
        <f t="shared" si="85"/>
        <v>0</v>
      </c>
      <c r="AG187" s="321">
        <f t="shared" si="85"/>
        <v>0</v>
      </c>
      <c r="AH187" s="321">
        <f>SUM(AD187:AG187)</f>
        <v>0</v>
      </c>
      <c r="AI187" s="321">
        <f>RANK(AH187,$AH$186:$AH$189,1)</f>
        <v>1</v>
      </c>
    </row>
    <row r="188" spans="1:40" x14ac:dyDescent="0.2">
      <c r="B188" s="321">
        <f>INDEX($C$179:$C$182,C188)</f>
        <v>19</v>
      </c>
      <c r="C188" s="321">
        <v>3</v>
      </c>
      <c r="D188" s="321">
        <f t="shared" si="84"/>
        <v>0</v>
      </c>
      <c r="E188" s="321">
        <f t="shared" si="84"/>
        <v>0</v>
      </c>
      <c r="F188" s="321">
        <f t="shared" si="84"/>
        <v>0</v>
      </c>
      <c r="G188" s="321">
        <f t="shared" si="84"/>
        <v>0</v>
      </c>
      <c r="H188" s="321">
        <f>SUM(D188:G188)</f>
        <v>0</v>
      </c>
      <c r="I188" s="321">
        <f>RANK(H188,$H$186:$H$189,1)</f>
        <v>1</v>
      </c>
      <c r="AB188" s="321">
        <f>INDEX($AC$179:$AC$182,AC188)</f>
        <v>23</v>
      </c>
      <c r="AC188" s="321">
        <v>3</v>
      </c>
      <c r="AD188" s="321">
        <f t="shared" si="85"/>
        <v>0</v>
      </c>
      <c r="AE188" s="321">
        <f t="shared" si="85"/>
        <v>0</v>
      </c>
      <c r="AF188" s="321">
        <f t="shared" si="85"/>
        <v>0</v>
      </c>
      <c r="AG188" s="321">
        <f t="shared" si="85"/>
        <v>0</v>
      </c>
      <c r="AH188" s="321">
        <f>SUM(AD188:AG188)</f>
        <v>0</v>
      </c>
      <c r="AI188" s="321">
        <f>RANK(AH188,$AH$186:$AH$189,1)</f>
        <v>1</v>
      </c>
    </row>
    <row r="189" spans="1:40" x14ac:dyDescent="0.2">
      <c r="B189" s="321">
        <f>INDEX($C$179:$C$182,C189)</f>
        <v>20</v>
      </c>
      <c r="C189" s="321">
        <v>4</v>
      </c>
      <c r="D189" s="321">
        <f t="shared" si="84"/>
        <v>0</v>
      </c>
      <c r="E189" s="321">
        <f t="shared" si="84"/>
        <v>0</v>
      </c>
      <c r="F189" s="321">
        <f t="shared" si="84"/>
        <v>0</v>
      </c>
      <c r="G189" s="321">
        <f t="shared" si="84"/>
        <v>0</v>
      </c>
      <c r="H189" s="321">
        <f>SUM(D189:G189)</f>
        <v>0</v>
      </c>
      <c r="I189" s="321">
        <f>RANK(H189,$H$186:$H$189,1)</f>
        <v>1</v>
      </c>
      <c r="AB189" s="321">
        <f>INDEX($AC$179:$AC$182,AC189)</f>
        <v>24</v>
      </c>
      <c r="AC189" s="321">
        <v>4</v>
      </c>
      <c r="AD189" s="321">
        <f t="shared" si="85"/>
        <v>0</v>
      </c>
      <c r="AE189" s="321">
        <f t="shared" si="85"/>
        <v>0</v>
      </c>
      <c r="AF189" s="321">
        <f t="shared" si="85"/>
        <v>0</v>
      </c>
      <c r="AG189" s="321">
        <f t="shared" si="85"/>
        <v>0</v>
      </c>
      <c r="AH189" s="321">
        <f>SUM(AD189:AG189)</f>
        <v>0</v>
      </c>
      <c r="AI189" s="321">
        <f>RANK(AH189,$AH$186:$AH$189,1)</f>
        <v>1</v>
      </c>
    </row>
    <row r="191" spans="1:40" x14ac:dyDescent="0.2">
      <c r="B191" s="321" t="s">
        <v>998</v>
      </c>
      <c r="C191" s="321" t="s">
        <v>975</v>
      </c>
      <c r="D191" s="321">
        <f>C192</f>
        <v>1</v>
      </c>
      <c r="E191" s="321">
        <f>C193</f>
        <v>2</v>
      </c>
      <c r="F191" s="321">
        <f>C194</f>
        <v>3</v>
      </c>
      <c r="G191" s="321">
        <f>C195</f>
        <v>4</v>
      </c>
      <c r="I191" s="321" t="s">
        <v>997</v>
      </c>
      <c r="AB191" s="321" t="s">
        <v>998</v>
      </c>
      <c r="AC191" s="321" t="s">
        <v>975</v>
      </c>
      <c r="AD191" s="321">
        <f>AC192</f>
        <v>1</v>
      </c>
      <c r="AE191" s="321">
        <f>AC193</f>
        <v>2</v>
      </c>
      <c r="AF191" s="321">
        <f>AC194</f>
        <v>3</v>
      </c>
      <c r="AG191" s="321">
        <f>AC195</f>
        <v>4</v>
      </c>
      <c r="AI191" s="321" t="s">
        <v>997</v>
      </c>
    </row>
    <row r="192" spans="1:40" x14ac:dyDescent="0.2">
      <c r="B192" s="321">
        <f>B186</f>
        <v>17</v>
      </c>
      <c r="C192" s="321">
        <v>1</v>
      </c>
      <c r="D192" s="321">
        <f t="shared" ref="D192:G195" si="86">IF(D186=0,0,IF(INDEX($I$186:$I$189,$C186)&lt;&gt;INDEX($I$186:$I$189,D$185),0,SUMIF($B$170:$C$175,"="&amp;$B186&amp;"#"&amp;D$184,$K$170:$L$175)*1000+SUMIF($B$170:$C$175,"="&amp;$B186&amp;"#"&amp;D$184,$M$170:$N$175)+SUMIF($B$170:$C$175,"="&amp;$B186&amp;"#"&amp;D$184,$G$170:$H$175)/1000))</f>
        <v>0</v>
      </c>
      <c r="E192" s="321">
        <f t="shared" si="86"/>
        <v>0</v>
      </c>
      <c r="F192" s="321">
        <f t="shared" si="86"/>
        <v>0</v>
      </c>
      <c r="G192" s="321">
        <f t="shared" si="86"/>
        <v>0</v>
      </c>
      <c r="H192" s="321">
        <f>SUM(D192:G192)</f>
        <v>0</v>
      </c>
      <c r="I192" s="321">
        <f>RANK(H192,$H$192:$H$195,1)</f>
        <v>1</v>
      </c>
      <c r="AB192" s="321">
        <f>AB186</f>
        <v>21</v>
      </c>
      <c r="AC192" s="321">
        <v>1</v>
      </c>
      <c r="AD192" s="321">
        <f t="shared" ref="AD192:AG195" si="87">IF(AD186=0,0,IF(INDEX($AI$186:$AI$189,$AC186)&lt;&gt;INDEX($AI$186:$AI$189,AD$185),0,SUMIF($AB$170:$AC$175,"="&amp;$AB186&amp;"#"&amp;AD$184,$AK$170:$AL$175)*1000+SUMIF($AB$170:$AC$175,"="&amp;$AB186&amp;"#"&amp;AD$184,$AM$170:$AN$175)+SUMIF($AB$170:$AC$175,"="&amp;$AB186&amp;"#"&amp;AD$184,$AG$170:$AH$175)/1000))</f>
        <v>0</v>
      </c>
      <c r="AE192" s="321">
        <f t="shared" si="87"/>
        <v>0</v>
      </c>
      <c r="AF192" s="321">
        <f t="shared" si="87"/>
        <v>0</v>
      </c>
      <c r="AG192" s="321">
        <f t="shared" si="87"/>
        <v>0</v>
      </c>
      <c r="AH192" s="321">
        <f>SUM(AD192:AG192)</f>
        <v>0</v>
      </c>
      <c r="AI192" s="321">
        <f>RANK(AH192,$AH$192:$AH$195,1)</f>
        <v>1</v>
      </c>
    </row>
    <row r="193" spans="2:40" x14ac:dyDescent="0.2">
      <c r="B193" s="321">
        <f>B187</f>
        <v>18</v>
      </c>
      <c r="C193" s="321">
        <v>2</v>
      </c>
      <c r="D193" s="321">
        <f t="shared" si="86"/>
        <v>0</v>
      </c>
      <c r="E193" s="321">
        <f t="shared" si="86"/>
        <v>0</v>
      </c>
      <c r="F193" s="321">
        <f t="shared" si="86"/>
        <v>0</v>
      </c>
      <c r="G193" s="321">
        <f t="shared" si="86"/>
        <v>0</v>
      </c>
      <c r="H193" s="321">
        <f>SUM(D193:G193)</f>
        <v>0</v>
      </c>
      <c r="I193" s="321">
        <f>RANK(H193,$H$192:$H$195,1)</f>
        <v>1</v>
      </c>
      <c r="AB193" s="321">
        <f>AB187</f>
        <v>22</v>
      </c>
      <c r="AC193" s="321">
        <v>2</v>
      </c>
      <c r="AD193" s="321">
        <f t="shared" si="87"/>
        <v>0</v>
      </c>
      <c r="AE193" s="321">
        <f t="shared" si="87"/>
        <v>0</v>
      </c>
      <c r="AF193" s="321">
        <f t="shared" si="87"/>
        <v>0</v>
      </c>
      <c r="AG193" s="321">
        <f t="shared" si="87"/>
        <v>0</v>
      </c>
      <c r="AH193" s="321">
        <f>SUM(AD193:AG193)</f>
        <v>0</v>
      </c>
      <c r="AI193" s="321">
        <f>RANK(AH193,$AH$192:$AH$195,1)</f>
        <v>1</v>
      </c>
    </row>
    <row r="194" spans="2:40" x14ac:dyDescent="0.2">
      <c r="B194" s="321">
        <f>B188</f>
        <v>19</v>
      </c>
      <c r="C194" s="321">
        <v>3</v>
      </c>
      <c r="D194" s="321">
        <f t="shared" si="86"/>
        <v>0</v>
      </c>
      <c r="E194" s="321">
        <f t="shared" si="86"/>
        <v>0</v>
      </c>
      <c r="F194" s="321">
        <f t="shared" si="86"/>
        <v>0</v>
      </c>
      <c r="G194" s="321">
        <f t="shared" si="86"/>
        <v>0</v>
      </c>
      <c r="H194" s="321">
        <f>SUM(D194:G194)</f>
        <v>0</v>
      </c>
      <c r="I194" s="321">
        <f>RANK(H194,$H$192:$H$195,1)</f>
        <v>1</v>
      </c>
      <c r="AB194" s="321">
        <f>AB188</f>
        <v>23</v>
      </c>
      <c r="AC194" s="321">
        <v>3</v>
      </c>
      <c r="AD194" s="321">
        <f t="shared" si="87"/>
        <v>0</v>
      </c>
      <c r="AE194" s="321">
        <f t="shared" si="87"/>
        <v>0</v>
      </c>
      <c r="AF194" s="321">
        <f t="shared" si="87"/>
        <v>0</v>
      </c>
      <c r="AG194" s="321">
        <f t="shared" si="87"/>
        <v>0</v>
      </c>
      <c r="AH194" s="321">
        <f>SUM(AD194:AG194)</f>
        <v>0</v>
      </c>
      <c r="AI194" s="321">
        <f>RANK(AH194,$AH$192:$AH$195,1)</f>
        <v>1</v>
      </c>
    </row>
    <row r="195" spans="2:40" x14ac:dyDescent="0.2">
      <c r="B195" s="321">
        <f>B189</f>
        <v>20</v>
      </c>
      <c r="C195" s="321">
        <v>4</v>
      </c>
      <c r="D195" s="321">
        <f t="shared" si="86"/>
        <v>0</v>
      </c>
      <c r="E195" s="321">
        <f t="shared" si="86"/>
        <v>0</v>
      </c>
      <c r="F195" s="321">
        <f t="shared" si="86"/>
        <v>0</v>
      </c>
      <c r="G195" s="321">
        <f t="shared" si="86"/>
        <v>0</v>
      </c>
      <c r="H195" s="321">
        <f>SUM(D195:G195)</f>
        <v>0</v>
      </c>
      <c r="I195" s="321">
        <f>RANK(H195,$H$192:$H$195,1)</f>
        <v>1</v>
      </c>
      <c r="AB195" s="321">
        <f>AB189</f>
        <v>24</v>
      </c>
      <c r="AC195" s="321">
        <v>4</v>
      </c>
      <c r="AD195" s="321">
        <f t="shared" si="87"/>
        <v>0</v>
      </c>
      <c r="AE195" s="321">
        <f t="shared" si="87"/>
        <v>0</v>
      </c>
      <c r="AF195" s="321">
        <f t="shared" si="87"/>
        <v>0</v>
      </c>
      <c r="AG195" s="321">
        <f t="shared" si="87"/>
        <v>0</v>
      </c>
      <c r="AH195" s="321">
        <f>SUM(AD195:AG195)</f>
        <v>0</v>
      </c>
      <c r="AI195" s="321">
        <f>RANK(AH195,$AH$192:$AH$195,1)</f>
        <v>1</v>
      </c>
    </row>
    <row r="197" spans="2:40" x14ac:dyDescent="0.2">
      <c r="C197" s="321" t="s">
        <v>975</v>
      </c>
      <c r="D197" s="321" t="s">
        <v>992</v>
      </c>
      <c r="H197" s="321" t="s">
        <v>992</v>
      </c>
      <c r="AC197" s="321" t="s">
        <v>975</v>
      </c>
      <c r="AD197" s="321" t="s">
        <v>992</v>
      </c>
      <c r="AH197" s="321" t="s">
        <v>992</v>
      </c>
    </row>
    <row r="198" spans="2:40" x14ac:dyDescent="0.2">
      <c r="B198" s="321" t="s">
        <v>999</v>
      </c>
      <c r="C198" s="321">
        <v>1</v>
      </c>
      <c r="D198" s="321">
        <f>RANK(G179,$G$179:$G$182,1)</f>
        <v>1</v>
      </c>
      <c r="F198" s="321" t="s">
        <v>585</v>
      </c>
      <c r="G198" s="321">
        <v>1</v>
      </c>
      <c r="H198" s="321">
        <f>RANK(E179,$E$179:$E$182,1)</f>
        <v>1</v>
      </c>
      <c r="AB198" s="321" t="s">
        <v>999</v>
      </c>
      <c r="AC198" s="321">
        <v>1</v>
      </c>
      <c r="AD198" s="321">
        <f>RANK(AG179,$AG$179:$AG$182,1)</f>
        <v>1</v>
      </c>
      <c r="AF198" s="321" t="s">
        <v>585</v>
      </c>
      <c r="AG198" s="321">
        <v>1</v>
      </c>
      <c r="AH198" s="321">
        <f>RANK(AE179,$AE$179:$AE$182,1)</f>
        <v>1</v>
      </c>
    </row>
    <row r="199" spans="2:40" x14ac:dyDescent="0.2">
      <c r="C199" s="321">
        <v>2</v>
      </c>
      <c r="D199" s="321">
        <f>RANK(G180,$G$179:$G$182,1)</f>
        <v>1</v>
      </c>
      <c r="G199" s="321">
        <v>2</v>
      </c>
      <c r="H199" s="321">
        <f>RANK(E180,$E$179:$E$182,1)</f>
        <v>1</v>
      </c>
      <c r="AC199" s="321">
        <v>2</v>
      </c>
      <c r="AD199" s="321">
        <f>RANK(AG180,$AG$179:$AG$182,1)</f>
        <v>1</v>
      </c>
      <c r="AG199" s="321">
        <v>2</v>
      </c>
      <c r="AH199" s="321">
        <f>RANK(AE180,$AE$179:$AE$182,1)</f>
        <v>1</v>
      </c>
    </row>
    <row r="200" spans="2:40" x14ac:dyDescent="0.2">
      <c r="C200" s="321">
        <v>3</v>
      </c>
      <c r="D200" s="321">
        <f>RANK(G181,$G$179:$G$182,1)</f>
        <v>1</v>
      </c>
      <c r="G200" s="321">
        <v>3</v>
      </c>
      <c r="H200" s="321">
        <f>RANK(E181,$E$179:$E$182,1)</f>
        <v>1</v>
      </c>
      <c r="AC200" s="321">
        <v>3</v>
      </c>
      <c r="AD200" s="321">
        <f>RANK(AG181,$AG$179:$AG$182,1)</f>
        <v>1</v>
      </c>
      <c r="AG200" s="321">
        <v>3</v>
      </c>
      <c r="AH200" s="321">
        <f>RANK(AE181,$AE$179:$AE$182,1)</f>
        <v>1</v>
      </c>
    </row>
    <row r="201" spans="2:40" x14ac:dyDescent="0.2">
      <c r="C201" s="321">
        <v>4</v>
      </c>
      <c r="D201" s="321">
        <f>RANK(G182,$G$179:$G$182,1)</f>
        <v>1</v>
      </c>
      <c r="G201" s="321">
        <v>4</v>
      </c>
      <c r="H201" s="321">
        <f>RANK(E182,$E$179:$E$182,1)</f>
        <v>1</v>
      </c>
      <c r="AC201" s="321">
        <v>4</v>
      </c>
      <c r="AD201" s="321">
        <f>RANK(AG182,$AG$179:$AG$182,1)</f>
        <v>1</v>
      </c>
      <c r="AG201" s="321">
        <v>4</v>
      </c>
      <c r="AH201" s="321">
        <f>RANK(AE182,$AE$179:$AE$182,1)</f>
        <v>1</v>
      </c>
    </row>
    <row r="203" spans="2:40" x14ac:dyDescent="0.2">
      <c r="I203" s="321" t="s">
        <v>374</v>
      </c>
      <c r="AI203" s="321" t="s">
        <v>374</v>
      </c>
    </row>
    <row r="204" spans="2:40" x14ac:dyDescent="0.2">
      <c r="C204" s="321" t="s">
        <v>975</v>
      </c>
      <c r="E204" s="321" t="s">
        <v>992</v>
      </c>
      <c r="F204" s="321" t="s">
        <v>994</v>
      </c>
      <c r="H204" s="321" t="s">
        <v>1000</v>
      </c>
      <c r="I204" s="321">
        <v>1</v>
      </c>
      <c r="J204" s="321">
        <v>2</v>
      </c>
      <c r="K204" s="321" t="s">
        <v>1001</v>
      </c>
      <c r="M204" s="321" t="s">
        <v>1002</v>
      </c>
      <c r="AC204" s="321" t="s">
        <v>975</v>
      </c>
      <c r="AE204" s="321" t="s">
        <v>992</v>
      </c>
      <c r="AF204" s="321" t="s">
        <v>994</v>
      </c>
      <c r="AH204" s="321" t="s">
        <v>1000</v>
      </c>
      <c r="AI204" s="321">
        <v>1</v>
      </c>
      <c r="AJ204" s="321">
        <v>2</v>
      </c>
      <c r="AK204" s="321" t="s">
        <v>1001</v>
      </c>
      <c r="AM204" s="321" t="s">
        <v>1002</v>
      </c>
    </row>
    <row r="205" spans="2:40" x14ac:dyDescent="0.2">
      <c r="B205" s="321" t="s">
        <v>1003</v>
      </c>
      <c r="C205" s="321">
        <v>1</v>
      </c>
      <c r="D205" s="321">
        <f>I179*$K$205+I186*$K$206+I192*$K$207+D198*$K$208+H198*$K$209</f>
        <v>1010101.01</v>
      </c>
      <c r="E205" s="321">
        <f>RANK(D205,$D$205:$D$208,1)</f>
        <v>1</v>
      </c>
      <c r="F205" s="321">
        <f>RANK(D205,$D$205:$D$208)</f>
        <v>1</v>
      </c>
      <c r="H205" s="321" t="s">
        <v>974</v>
      </c>
      <c r="I205" s="321">
        <v>1</v>
      </c>
      <c r="J205" s="321">
        <v>1</v>
      </c>
      <c r="K205" s="321">
        <f>INDEX($N$205:$N$209,INDEX(I205:J205,$A$179))</f>
        <v>1000000</v>
      </c>
      <c r="M205" s="321">
        <v>1</v>
      </c>
      <c r="N205" s="321">
        <v>1000000</v>
      </c>
      <c r="AB205" s="321" t="s">
        <v>1003</v>
      </c>
      <c r="AC205" s="321">
        <v>1</v>
      </c>
      <c r="AD205" s="321">
        <f>AI179*$AK$205+AI186*$AK$206+AI192*$AK$207+AD198*$AK$208+AH198*$AK$209</f>
        <v>1010101.01</v>
      </c>
      <c r="AE205" s="321">
        <f>RANK(AD205,$AD$205:$AD$208,1)</f>
        <v>1</v>
      </c>
      <c r="AF205" s="321">
        <f>RANK(AD205,$AD$205:$AD$208)</f>
        <v>1</v>
      </c>
      <c r="AH205" s="321" t="s">
        <v>974</v>
      </c>
      <c r="AI205" s="321">
        <v>1</v>
      </c>
      <c r="AJ205" s="321">
        <v>1</v>
      </c>
      <c r="AK205" s="321">
        <f>INDEX($AN$205:$AN$209,INDEX(AI205:AJ205,$AA$179))</f>
        <v>1000000</v>
      </c>
      <c r="AM205" s="321">
        <v>1</v>
      </c>
      <c r="AN205" s="321">
        <v>1000000</v>
      </c>
    </row>
    <row r="206" spans="2:40" x14ac:dyDescent="0.2">
      <c r="C206" s="321">
        <v>2</v>
      </c>
      <c r="D206" s="321">
        <f>I180*$K$205+I187*$K$206+I193*$K$207+D199*$K$208+H199*$K$209</f>
        <v>1010101.01</v>
      </c>
      <c r="E206" s="321">
        <f>RANK(D206,$D$205:$D$208,1)</f>
        <v>1</v>
      </c>
      <c r="F206" s="321">
        <f>RANK(D206,$D$205:$D$208)</f>
        <v>1</v>
      </c>
      <c r="H206" s="321" t="s">
        <v>995</v>
      </c>
      <c r="I206" s="321">
        <v>2</v>
      </c>
      <c r="J206" s="321">
        <v>4</v>
      </c>
      <c r="K206" s="321">
        <f>INDEX($N$205:$N$209,INDEX(I206:J206,$A$179))</f>
        <v>1</v>
      </c>
      <c r="M206" s="321">
        <v>2</v>
      </c>
      <c r="N206" s="321">
        <v>10000</v>
      </c>
      <c r="AC206" s="321">
        <v>2</v>
      </c>
      <c r="AD206" s="321">
        <f>AI180*$AK$205+AI187*$AK$206+AI193*$AK$207+AD199*$AK$208+AH199*$AK$209</f>
        <v>1010101.01</v>
      </c>
      <c r="AE206" s="321">
        <f>RANK(AD206,$AD$205:$AD$208,1)</f>
        <v>1</v>
      </c>
      <c r="AF206" s="321">
        <f>RANK(AD206,$AD$205:$AD$208)</f>
        <v>1</v>
      </c>
      <c r="AH206" s="321" t="s">
        <v>995</v>
      </c>
      <c r="AI206" s="321">
        <v>2</v>
      </c>
      <c r="AJ206" s="321">
        <v>4</v>
      </c>
      <c r="AK206" s="321">
        <f>INDEX($AN$205:$AN$209,INDEX(AI206:AJ206,$AA$179))</f>
        <v>1</v>
      </c>
      <c r="AM206" s="321">
        <v>2</v>
      </c>
      <c r="AN206" s="321">
        <v>10000</v>
      </c>
    </row>
    <row r="207" spans="2:40" x14ac:dyDescent="0.2">
      <c r="C207" s="321">
        <v>3</v>
      </c>
      <c r="D207" s="321">
        <f>I181*$K$205+I188*$K$206+I194*$K$207+D200*$K$208+H200*$K$209</f>
        <v>1010101.01</v>
      </c>
      <c r="E207" s="321">
        <f>RANK(D207,$D$205:$D$208,1)</f>
        <v>1</v>
      </c>
      <c r="F207" s="321">
        <f>RANK(D207,$D$205:$D$208)</f>
        <v>1</v>
      </c>
      <c r="H207" s="321" t="s">
        <v>998</v>
      </c>
      <c r="I207" s="321">
        <v>3</v>
      </c>
      <c r="J207" s="321">
        <v>5</v>
      </c>
      <c r="K207" s="321">
        <f>INDEX($N$205:$N$209,INDEX(I207:J207,$A$179))</f>
        <v>0.01</v>
      </c>
      <c r="M207" s="321">
        <v>3</v>
      </c>
      <c r="N207" s="321">
        <v>100</v>
      </c>
      <c r="AC207" s="321">
        <v>3</v>
      </c>
      <c r="AD207" s="321">
        <f>AI181*$AK$205+AI188*$AK$206+AI194*$AK$207+AD200*$AK$208+AH200*$AK$209</f>
        <v>1010101.01</v>
      </c>
      <c r="AE207" s="321">
        <f>RANK(AD207,$AD$205:$AD$208,1)</f>
        <v>1</v>
      </c>
      <c r="AF207" s="321">
        <f>RANK(AD207,$AD$205:$AD$208)</f>
        <v>1</v>
      </c>
      <c r="AH207" s="321" t="s">
        <v>998</v>
      </c>
      <c r="AI207" s="321">
        <v>3</v>
      </c>
      <c r="AJ207" s="321">
        <v>5</v>
      </c>
      <c r="AK207" s="321">
        <f>INDEX($AN$205:$AN$209,INDEX(AI207:AJ207,$AA$179))</f>
        <v>0.01</v>
      </c>
      <c r="AM207" s="321">
        <v>3</v>
      </c>
      <c r="AN207" s="321">
        <v>100</v>
      </c>
    </row>
    <row r="208" spans="2:40" x14ac:dyDescent="0.2">
      <c r="C208" s="321">
        <v>4</v>
      </c>
      <c r="D208" s="321">
        <f>I182*$K$205+I189*$K$206+I195*$K$207+D201*$K$208+H201*$K$209</f>
        <v>1010101.01</v>
      </c>
      <c r="E208" s="321">
        <f>RANK(D208,$D$205:$D$208,1)</f>
        <v>1</v>
      </c>
      <c r="F208" s="321">
        <f>RANK(D208,$D$205:$D$208)</f>
        <v>1</v>
      </c>
      <c r="H208" s="321" t="s">
        <v>1004</v>
      </c>
      <c r="I208" s="321">
        <v>4</v>
      </c>
      <c r="J208" s="321">
        <v>2</v>
      </c>
      <c r="K208" s="321">
        <f>INDEX($N$205:$N$209,INDEX(I208:J208,$A$179))</f>
        <v>10000</v>
      </c>
      <c r="M208" s="321">
        <v>4</v>
      </c>
      <c r="N208" s="321">
        <v>1</v>
      </c>
      <c r="AC208" s="321">
        <v>4</v>
      </c>
      <c r="AD208" s="321">
        <f>AI182*$AK$205+AI189*$AK$206+AI195*$AK$207+AD201*$AK$208+AH201*$AK$209</f>
        <v>1010101.01</v>
      </c>
      <c r="AE208" s="321">
        <f>RANK(AD208,$AD$205:$AD$208,1)</f>
        <v>1</v>
      </c>
      <c r="AF208" s="321">
        <f>RANK(AD208,$AD$205:$AD$208)</f>
        <v>1</v>
      </c>
      <c r="AH208" s="321" t="s">
        <v>1004</v>
      </c>
      <c r="AI208" s="321">
        <v>4</v>
      </c>
      <c r="AJ208" s="321">
        <v>2</v>
      </c>
      <c r="AK208" s="321">
        <f>INDEX($AN$205:$AN$209,INDEX(AI208:AJ208,$AA$179))</f>
        <v>10000</v>
      </c>
      <c r="AM208" s="321">
        <v>4</v>
      </c>
      <c r="AN208" s="321">
        <v>1</v>
      </c>
    </row>
    <row r="209" spans="2:40" x14ac:dyDescent="0.2">
      <c r="H209" s="321" t="s">
        <v>1005</v>
      </c>
      <c r="I209" s="321">
        <v>5</v>
      </c>
      <c r="J209" s="321">
        <v>3</v>
      </c>
      <c r="K209" s="321">
        <f>INDEX($N$205:$N$209,INDEX(I209:J209,$A$179))</f>
        <v>100</v>
      </c>
      <c r="M209" s="321">
        <v>5</v>
      </c>
      <c r="N209" s="321">
        <f>1/100</f>
        <v>0.01</v>
      </c>
      <c r="AH209" s="321" t="s">
        <v>1005</v>
      </c>
      <c r="AI209" s="321">
        <v>5</v>
      </c>
      <c r="AJ209" s="321">
        <v>3</v>
      </c>
      <c r="AK209" s="321">
        <f>INDEX($AN$205:$AN$209,INDEX(AI209:AJ209,$AA$179))</f>
        <v>100</v>
      </c>
      <c r="AM209" s="321">
        <v>5</v>
      </c>
      <c r="AN209" s="321">
        <f>1/100</f>
        <v>0.01</v>
      </c>
    </row>
    <row r="210" spans="2:40" x14ac:dyDescent="0.2">
      <c r="H210" s="321" t="s">
        <v>1006</v>
      </c>
      <c r="I210" s="321">
        <v>6</v>
      </c>
      <c r="J210" s="321">
        <v>6</v>
      </c>
      <c r="AH210" s="321" t="s">
        <v>1006</v>
      </c>
      <c r="AI210" s="321">
        <v>6</v>
      </c>
      <c r="AJ210" s="321">
        <v>6</v>
      </c>
    </row>
    <row r="211" spans="2:40" x14ac:dyDescent="0.2">
      <c r="B211" s="321" t="s">
        <v>1006</v>
      </c>
      <c r="C211" s="321" t="b">
        <f>A179=1</f>
        <v>0</v>
      </c>
      <c r="D211" s="321" t="s">
        <v>1007</v>
      </c>
      <c r="H211" s="321" t="s">
        <v>993</v>
      </c>
      <c r="I211" s="321">
        <v>7</v>
      </c>
      <c r="J211" s="321">
        <v>7</v>
      </c>
      <c r="AB211" s="321" t="s">
        <v>1006</v>
      </c>
      <c r="AC211" s="321" t="b">
        <f>AA179=1</f>
        <v>0</v>
      </c>
      <c r="AD211" s="321" t="s">
        <v>1007</v>
      </c>
      <c r="AH211" s="321" t="s">
        <v>993</v>
      </c>
      <c r="AI211" s="321">
        <v>7</v>
      </c>
      <c r="AJ211" s="321">
        <v>7</v>
      </c>
    </row>
    <row r="212" spans="2:40" x14ac:dyDescent="0.2">
      <c r="C212" s="321" t="s">
        <v>1008</v>
      </c>
      <c r="D212" s="321" t="s">
        <v>1009</v>
      </c>
      <c r="E212" s="321" t="s">
        <v>1010</v>
      </c>
      <c r="AC212" s="321" t="s">
        <v>1008</v>
      </c>
      <c r="AD212" s="321" t="s">
        <v>1009</v>
      </c>
      <c r="AE212" s="321" t="s">
        <v>1010</v>
      </c>
    </row>
    <row r="213" spans="2:40" x14ac:dyDescent="0.2">
      <c r="B213" s="321" t="s">
        <v>1011</v>
      </c>
      <c r="C213" s="321">
        <f>COUNTIF($F$205:$F$208,"=1")</f>
        <v>4</v>
      </c>
      <c r="D213" s="321">
        <f>COUNTIF($F$205:$F$208,"=2")</f>
        <v>0</v>
      </c>
      <c r="E213" s="321">
        <f>COUNTIF($F$205:$F$208,"=3")</f>
        <v>0</v>
      </c>
      <c r="AB213" s="321" t="s">
        <v>1011</v>
      </c>
      <c r="AC213" s="321">
        <f>COUNTIF($AF$205:$AF$208,"=1")</f>
        <v>4</v>
      </c>
      <c r="AD213" s="321">
        <f>COUNTIF($AF$205:$AF$208,"=2")</f>
        <v>0</v>
      </c>
      <c r="AE213" s="321">
        <f>COUNTIF($AF$205:$AF$208,"=3")</f>
        <v>0</v>
      </c>
    </row>
    <row r="215" spans="2:40" x14ac:dyDescent="0.2">
      <c r="B215" s="321" t="s">
        <v>994</v>
      </c>
      <c r="C215" s="321">
        <f>IF(NOT(C211),0,IF(C213=2,1,IF(D213=2,2,IF(E213=2,3,0))))</f>
        <v>0</v>
      </c>
      <c r="E215" s="321" t="s">
        <v>106</v>
      </c>
      <c r="F215" s="321">
        <f t="array" ref="F215">MIN(IF($F$205:$F$208=$C$215,$C$179:$C$182))</f>
        <v>0</v>
      </c>
      <c r="G215" s="321">
        <f t="array" ref="G215">MAX(IF($F$205:$F$208=C215,$C$179:$C$182))</f>
        <v>0</v>
      </c>
      <c r="I215" s="321" t="s">
        <v>1012</v>
      </c>
      <c r="J215" s="321" t="e">
        <f>IF(ISERROR(F217),G217,F217)</f>
        <v>#N/A</v>
      </c>
      <c r="AB215" s="321" t="s">
        <v>994</v>
      </c>
      <c r="AC215" s="321">
        <f>IF(NOT(AC211),0,IF(AC213=2,1,IF(AD213=2,2,IF(AE213=2,3,0))))</f>
        <v>0</v>
      </c>
      <c r="AE215" s="321" t="s">
        <v>106</v>
      </c>
      <c r="AF215" s="321">
        <f t="array" ref="AF215">MIN(IF($AF$205:$AF$208=$AC$215,$AC$179:$AC$182))</f>
        <v>0</v>
      </c>
      <c r="AG215" s="321">
        <f t="array" ref="AG215">MAX(IF($AF$205:$AF$208=AC215,$AC$179:$AC$182))</f>
        <v>0</v>
      </c>
      <c r="AI215" s="321" t="s">
        <v>1012</v>
      </c>
      <c r="AJ215" s="321" t="e">
        <f>IF(ISERROR(AF217),AG217,AF217)</f>
        <v>#N/A</v>
      </c>
    </row>
    <row r="216" spans="2:40" x14ac:dyDescent="0.2">
      <c r="F216" s="321" t="str">
        <f>F215&amp;"#"&amp;G215</f>
        <v>0#0</v>
      </c>
      <c r="G216" s="321" t="str">
        <f>G215&amp;"#"&amp;F215</f>
        <v>0#0</v>
      </c>
      <c r="AF216" s="321" t="str">
        <f>AF215&amp;"#"&amp;AG215</f>
        <v>0#0</v>
      </c>
      <c r="AG216" s="321" t="str">
        <f>AG215&amp;"#"&amp;AF215</f>
        <v>0#0</v>
      </c>
    </row>
    <row r="217" spans="2:40" x14ac:dyDescent="0.2">
      <c r="F217" s="321" t="e">
        <f>MATCH(F216,$B$170:$B$175,0)</f>
        <v>#N/A</v>
      </c>
      <c r="G217" s="321" t="e">
        <f>MATCH(G216,$B$170:$B$175,0)</f>
        <v>#N/A</v>
      </c>
      <c r="AF217" s="321" t="e">
        <f>MATCH(AF216,$AB$170:$AB$175,0)</f>
        <v>#N/A</v>
      </c>
      <c r="AG217" s="321" t="e">
        <f>MATCH(AG216,$AB$170:$AB$175,0)</f>
        <v>#N/A</v>
      </c>
    </row>
    <row r="220" spans="2:40" x14ac:dyDescent="0.2">
      <c r="B220" s="321" t="s">
        <v>988</v>
      </c>
      <c r="C220" s="321" t="e">
        <f>INDEX(D170:D175,J215)</f>
        <v>#N/A</v>
      </c>
      <c r="D220" s="321" t="e">
        <f>INDEX(E170:E175,J215)</f>
        <v>#N/A</v>
      </c>
      <c r="E220" s="321" t="s">
        <v>1013</v>
      </c>
      <c r="F220" s="321" t="s">
        <v>833</v>
      </c>
      <c r="G220" s="321" t="s">
        <v>1014</v>
      </c>
      <c r="I220" s="321" t="s">
        <v>1015</v>
      </c>
      <c r="J220" s="321" t="str">
        <f>IF(G221=0,"","EMS um Rang " &amp;C215)</f>
        <v/>
      </c>
      <c r="AB220" s="321" t="s">
        <v>988</v>
      </c>
      <c r="AC220" s="321" t="e">
        <f>INDEX(AD170:AD175,AJ215)</f>
        <v>#N/A</v>
      </c>
      <c r="AD220" s="321" t="e">
        <f>INDEX(AE170:AE175,AJ215)</f>
        <v>#N/A</v>
      </c>
      <c r="AE220" s="321" t="s">
        <v>1013</v>
      </c>
      <c r="AF220" s="321" t="s">
        <v>833</v>
      </c>
      <c r="AG220" s="321" t="s">
        <v>1014</v>
      </c>
      <c r="AI220" s="321" t="s">
        <v>1015</v>
      </c>
      <c r="AJ220" s="321" t="str">
        <f>IF(AG221=0,"","EMS um Rang " &amp;AC215)</f>
        <v/>
      </c>
    </row>
    <row r="221" spans="2:40" x14ac:dyDescent="0.2">
      <c r="B221" s="321" t="s">
        <v>974</v>
      </c>
      <c r="C221" s="321" t="e">
        <f>VLOOKUP(C220,$C$179:$D$182,2,FALSE)</f>
        <v>#N/A</v>
      </c>
      <c r="D221" s="321" t="e">
        <f>VLOOKUP(D220,$C$179:$D$182,2,FALSE)</f>
        <v>#N/A</v>
      </c>
      <c r="E221" s="321">
        <f>COUNTIF($D$179:$D$182,"="&amp;D221)</f>
        <v>0</v>
      </c>
      <c r="F221" s="321" t="e">
        <f>INDEX(K170:K175,J215)=1</f>
        <v>#N/A</v>
      </c>
      <c r="G221" s="321">
        <f>IF(C215=0,0,IF(J215&lt;5,0,IF(E221&lt;&gt;2,0,IF(C221&lt;&gt;D221,0,IF(NOT(F221),0,1)))))</f>
        <v>0</v>
      </c>
      <c r="AB221" s="321" t="s">
        <v>974</v>
      </c>
      <c r="AC221" s="321" t="e">
        <f>VLOOKUP(AC220,$AC$179:$AD$182,2,FALSE)</f>
        <v>#N/A</v>
      </c>
      <c r="AD221" s="321" t="e">
        <f>VLOOKUP(AD220,$AC$179:$AD$182,2,FALSE)</f>
        <v>#N/A</v>
      </c>
      <c r="AE221" s="321">
        <f>COUNTIF($AD$179:$AD$182,"="&amp;AD221)</f>
        <v>0</v>
      </c>
      <c r="AF221" s="321" t="e">
        <f>INDEX(AK170:AK175,AJ215)=1</f>
        <v>#N/A</v>
      </c>
      <c r="AG221" s="321">
        <f>IF(AC215=0,0,IF(AJ215&lt;5,0,IF(AE221&lt;&gt;2,0,IF(AC221&lt;&gt;AD221,0,IF(NOT(AF221),0,1)))))</f>
        <v>0</v>
      </c>
    </row>
    <row r="223" spans="2:40" x14ac:dyDescent="0.2">
      <c r="E223" s="522" t="s">
        <v>1016</v>
      </c>
      <c r="F223" s="522"/>
      <c r="AE223" s="522" t="s">
        <v>1016</v>
      </c>
      <c r="AF223" s="522"/>
    </row>
    <row r="224" spans="2:40" x14ac:dyDescent="0.2">
      <c r="B224" s="321" t="s">
        <v>106</v>
      </c>
      <c r="C224" s="321" t="e">
        <f>VLOOKUP(C220,$C$179:$H$182,6,FALSE)</f>
        <v>#N/A</v>
      </c>
      <c r="D224" s="321" t="e">
        <f>VLOOKUP(D220,$C$179:$H$182,6,FALSE)</f>
        <v>#N/A</v>
      </c>
      <c r="AB224" s="321" t="s">
        <v>106</v>
      </c>
      <c r="AC224" s="321" t="e">
        <f>VLOOKUP(AC220,$AC$179:$AH$182,6,FALSE)</f>
        <v>#N/A</v>
      </c>
      <c r="AD224" s="321" t="e">
        <f>VLOOKUP(AD220,$AC$179:$AH$182,6,FALSE)</f>
        <v>#N/A</v>
      </c>
    </row>
    <row r="225" spans="2:36" x14ac:dyDescent="0.2">
      <c r="B225" s="321" t="s">
        <v>975</v>
      </c>
      <c r="C225" s="321" t="e">
        <f>MATCH(C220,$C$179:$C$182,0)</f>
        <v>#N/A</v>
      </c>
      <c r="D225" s="321" t="e">
        <f>MATCH(D220,$C$179:$C$182,0)</f>
        <v>#N/A</v>
      </c>
      <c r="E225" s="321">
        <f>IF(COUNT(E224:F224)&lt;&gt;2,0,IF(E224&gt;F224,1,0))</f>
        <v>0</v>
      </c>
      <c r="F225" s="321">
        <f>IF(COUNT(E224:F224)&lt;&gt;2,0,IF(E224&lt;F224,1,0))</f>
        <v>0</v>
      </c>
      <c r="G225" s="321" t="s">
        <v>1017</v>
      </c>
      <c r="AB225" s="321" t="s">
        <v>975</v>
      </c>
      <c r="AC225" s="321" t="e">
        <f>MATCH(AC220,$AC$179:$AC$182,0)</f>
        <v>#N/A</v>
      </c>
      <c r="AD225" s="321" t="e">
        <f>MATCH(AD220,$AC$179:$AC$182,0)</f>
        <v>#N/A</v>
      </c>
      <c r="AE225" s="321">
        <f>IF(COUNT(AE224:AF224)&lt;&gt;2,0,IF(AE224&gt;AF224,1,0))</f>
        <v>0</v>
      </c>
      <c r="AF225" s="321">
        <f>IF(COUNT(AE224:AF224)&lt;&gt;2,0,IF(AE224&lt;AF224,1,0))</f>
        <v>0</v>
      </c>
      <c r="AG225" s="321" t="s">
        <v>1017</v>
      </c>
    </row>
    <row r="228" spans="2:36" x14ac:dyDescent="0.2">
      <c r="C228" s="321" t="s">
        <v>1018</v>
      </c>
      <c r="AC228" s="321" t="s">
        <v>1018</v>
      </c>
    </row>
    <row r="229" spans="2:36" x14ac:dyDescent="0.2">
      <c r="C229" s="321" t="s">
        <v>1019</v>
      </c>
      <c r="D229" s="321" t="s">
        <v>992</v>
      </c>
      <c r="E229" s="321" t="s">
        <v>994</v>
      </c>
      <c r="F229" s="321" t="s">
        <v>1020</v>
      </c>
      <c r="AC229" s="321" t="s">
        <v>1019</v>
      </c>
      <c r="AD229" s="321" t="s">
        <v>992</v>
      </c>
      <c r="AE229" s="321" t="s">
        <v>994</v>
      </c>
      <c r="AF229" s="321" t="s">
        <v>1020</v>
      </c>
    </row>
    <row r="230" spans="2:36" x14ac:dyDescent="0.2">
      <c r="B230" s="321" t="s">
        <v>1003</v>
      </c>
      <c r="C230" s="321">
        <v>1</v>
      </c>
      <c r="D230" s="321">
        <f>E205+IF($G$221=0,0,SUMIF($C$225:$D$225,"="&amp;C230,$E$225:$F$225)/100)+N179/10000</f>
        <v>1.0001</v>
      </c>
      <c r="E230" s="321">
        <f>RANK(D230,$D$230:$D$233)</f>
        <v>1</v>
      </c>
      <c r="F230" s="321">
        <f>E230+COUNTIF(E$229:E229,"="&amp;E230)</f>
        <v>1</v>
      </c>
      <c r="AB230" s="321" t="s">
        <v>1003</v>
      </c>
      <c r="AC230" s="321">
        <v>1</v>
      </c>
      <c r="AD230" s="321">
        <f>AE205+IF($AG$221=0,0,SUMIF($AC$225:$AD$225,"="&amp;AC230,$AE$225:$AF$225)/100)+AN179/10000</f>
        <v>1.0001</v>
      </c>
      <c r="AE230" s="321">
        <f>RANK(AD230,$AD$230:$AD$233)</f>
        <v>1</v>
      </c>
      <c r="AF230" s="321">
        <f>AE230+COUNTIF(AE$229:AE229,"="&amp;AE230)</f>
        <v>1</v>
      </c>
    </row>
    <row r="231" spans="2:36" x14ac:dyDescent="0.2">
      <c r="C231" s="321">
        <v>2</v>
      </c>
      <c r="D231" s="321">
        <f>E206+IF($G$221=0,0,SUMIF($C$225:$D$225,"="&amp;C231,$E$225:$F$225)/100)+N180/10000</f>
        <v>1.0001</v>
      </c>
      <c r="E231" s="321">
        <f>RANK(D231,$D$230:$D$233)</f>
        <v>1</v>
      </c>
      <c r="F231" s="321">
        <f>E231+COUNTIF(E$229:E230,"="&amp;E231)</f>
        <v>2</v>
      </c>
      <c r="AC231" s="321">
        <v>2</v>
      </c>
      <c r="AD231" s="321">
        <f>AE206+IF($AG$221=0,0,SUMIF($AC$225:$AD$225,"="&amp;AC231,$AE$225:$AF$225)/100)+AN180/10000</f>
        <v>1.0001</v>
      </c>
      <c r="AE231" s="321">
        <f>RANK(AD231,$AD$230:$AD$233)</f>
        <v>1</v>
      </c>
      <c r="AF231" s="321">
        <f>AE231+COUNTIF(AE$229:AE230,"="&amp;AE231)</f>
        <v>2</v>
      </c>
    </row>
    <row r="232" spans="2:36" x14ac:dyDescent="0.2">
      <c r="C232" s="321">
        <v>3</v>
      </c>
      <c r="D232" s="321">
        <f>E207+IF($G$221=0,0,SUMIF($C$225:$D$225,"="&amp;C232,$E$225:$F$225)/100)+N181/10000</f>
        <v>1.0001</v>
      </c>
      <c r="E232" s="321">
        <f>RANK(D232,$D$230:$D$233)</f>
        <v>1</v>
      </c>
      <c r="F232" s="321">
        <f>E232+COUNTIF(E$229:E231,"="&amp;E232)</f>
        <v>3</v>
      </c>
      <c r="AC232" s="321">
        <v>3</v>
      </c>
      <c r="AD232" s="321">
        <f>AE207+IF($AG$221=0,0,SUMIF($AC$225:$AD$225,"="&amp;AC232,$AE$225:$AF$225)/100)+AN181/10000</f>
        <v>1.0001</v>
      </c>
      <c r="AE232" s="321">
        <f>RANK(AD232,$AD$230:$AD$233)</f>
        <v>1</v>
      </c>
      <c r="AF232" s="321">
        <f>AE232+COUNTIF(AE$229:AE231,"="&amp;AE232)</f>
        <v>3</v>
      </c>
    </row>
    <row r="233" spans="2:36" x14ac:dyDescent="0.2">
      <c r="C233" s="321">
        <v>4</v>
      </c>
      <c r="D233" s="321">
        <f>E208+IF($G$221=0,0,SUMIF($C$225:$D$225,"="&amp;C233,$E$225:$F$225)/100)+N182/10000</f>
        <v>1.0001</v>
      </c>
      <c r="E233" s="321">
        <f>RANK(D233,$D$230:$D$233)</f>
        <v>1</v>
      </c>
      <c r="F233" s="321">
        <f>E233+COUNTIF(E$229:E232,"="&amp;E233)</f>
        <v>4</v>
      </c>
      <c r="AC233" s="321">
        <v>4</v>
      </c>
      <c r="AD233" s="321">
        <f>AE208+IF($AG$221=0,0,SUMIF($AC$225:$AD$225,"="&amp;AC233,$AE$225:$AF$225)/100)+AN182/10000</f>
        <v>1.0001</v>
      </c>
      <c r="AE233" s="321">
        <f>RANK(AD233,$AD$230:$AD$233)</f>
        <v>1</v>
      </c>
      <c r="AF233" s="321">
        <f>AE233+COUNTIF(AE$229:AE232,"="&amp;AE233)</f>
        <v>4</v>
      </c>
    </row>
    <row r="234" spans="2:36" x14ac:dyDescent="0.2">
      <c r="J234" s="321" t="s">
        <v>1021</v>
      </c>
      <c r="AJ234" s="321" t="s">
        <v>1021</v>
      </c>
    </row>
    <row r="235" spans="2:36" x14ac:dyDescent="0.2">
      <c r="B235" s="322" t="s">
        <v>1022</v>
      </c>
      <c r="C235" s="321" t="s">
        <v>994</v>
      </c>
      <c r="D235" s="321" t="s">
        <v>975</v>
      </c>
      <c r="E235" s="321" t="s">
        <v>1023</v>
      </c>
      <c r="F235" s="323" t="s">
        <v>1024</v>
      </c>
      <c r="G235" s="324" t="b">
        <f>VLOOKUP(A168,Tippabgabe!$DM$69:$DN$74,2,FALSE)</f>
        <v>0</v>
      </c>
      <c r="H235" s="324" t="s">
        <v>975</v>
      </c>
      <c r="J235" s="321" t="s">
        <v>1025</v>
      </c>
      <c r="AB235" s="322" t="s">
        <v>1022</v>
      </c>
      <c r="AC235" s="321" t="s">
        <v>994</v>
      </c>
      <c r="AD235" s="321" t="s">
        <v>975</v>
      </c>
      <c r="AE235" s="321" t="s">
        <v>1023</v>
      </c>
      <c r="AF235" s="323" t="s">
        <v>1024</v>
      </c>
      <c r="AG235" s="324" t="b">
        <f>VLOOKUP(AA168,Tippabgabe!$DM$69:$DN$74,2,FALSE)</f>
        <v>0</v>
      </c>
      <c r="AH235" s="324" t="s">
        <v>975</v>
      </c>
      <c r="AJ235" s="321" t="s">
        <v>1025</v>
      </c>
    </row>
    <row r="236" spans="2:36" x14ac:dyDescent="0.2">
      <c r="B236" s="322" t="str">
        <f>INDEX(teams,INDEX(C179:C182,D236))</f>
        <v>Belgien</v>
      </c>
      <c r="C236" s="321">
        <v>1</v>
      </c>
      <c r="D236" s="321">
        <f>SUMIF(F230:F233,"="&amp;C236,C230:C233)</f>
        <v>1</v>
      </c>
      <c r="E236" s="321">
        <f>IF(G235,C236,INDEX(E230:E233,D236))</f>
        <v>1</v>
      </c>
      <c r="F236" s="323"/>
      <c r="G236" s="324">
        <v>1</v>
      </c>
      <c r="H236" s="323">
        <f>IF(G235,VLOOKUP(A243,Tippabgabe!$DM$40:$DO$63,3,FALSE),D236)</f>
        <v>1</v>
      </c>
      <c r="J236" s="321">
        <f>IF(G235,H236,D236)</f>
        <v>1</v>
      </c>
      <c r="AB236" s="322" t="str">
        <f>INDEX(teams,INDEX(AC179:AC182,AD236))</f>
        <v>Türkei</v>
      </c>
      <c r="AC236" s="321">
        <v>1</v>
      </c>
      <c r="AD236" s="321">
        <f>SUMIF(AF230:AF233,"="&amp;AC236,AC230:AC233)</f>
        <v>1</v>
      </c>
      <c r="AE236" s="321">
        <f>IF(AG235,AC236,INDEX(AE230:AE233,AD236))</f>
        <v>1</v>
      </c>
      <c r="AF236" s="323"/>
      <c r="AG236" s="324">
        <v>1</v>
      </c>
      <c r="AH236" s="323">
        <f>IF(AG235,VLOOKUP(AA243,Tippabgabe!$DM$40:$DO$63,3,FALSE),AD236)</f>
        <v>1</v>
      </c>
      <c r="AJ236" s="321">
        <f>IF(AG235,AH236,AD236)</f>
        <v>1</v>
      </c>
    </row>
    <row r="237" spans="2:36" x14ac:dyDescent="0.2">
      <c r="B237" s="322" t="str">
        <f>INDEX(teams,INDEX(C179:C182,D237))</f>
        <v>Slowakei</v>
      </c>
      <c r="C237" s="321">
        <v>2</v>
      </c>
      <c r="D237" s="321">
        <f>SUMIF(F230:F233,"="&amp;C237,C230:C233)</f>
        <v>2</v>
      </c>
      <c r="E237" s="321">
        <f>IF(G235,C237,INDEX(E230:E233,D237))</f>
        <v>1</v>
      </c>
      <c r="F237" s="323"/>
      <c r="G237" s="324">
        <v>2</v>
      </c>
      <c r="H237" s="323">
        <f>IF(G235,VLOOKUP(A244,Tippabgabe!$DM$40:$DO$63,3,FALSE),D237)</f>
        <v>2</v>
      </c>
      <c r="J237" s="321">
        <f>IF(G236,H237,D237)</f>
        <v>2</v>
      </c>
      <c r="AB237" s="322" t="str">
        <f>INDEX(teams,INDEX(AC179:AC182,AD237))</f>
        <v>Georgien</v>
      </c>
      <c r="AC237" s="321">
        <v>2</v>
      </c>
      <c r="AD237" s="321">
        <f>SUMIF(AF230:AF233,"="&amp;AC237,AC230:AC233)</f>
        <v>2</v>
      </c>
      <c r="AE237" s="321">
        <f>IF(AG235,AC237,INDEX(AE230:AE233,AD237))</f>
        <v>1</v>
      </c>
      <c r="AF237" s="323"/>
      <c r="AG237" s="324">
        <v>2</v>
      </c>
      <c r="AH237" s="323">
        <f>IF(AG235,VLOOKUP(AA244,Tippabgabe!$DM$40:$DO$63,3,FALSE),AD237)</f>
        <v>2</v>
      </c>
      <c r="AJ237" s="321">
        <f>IF(AG236,AH237,AD237)</f>
        <v>2</v>
      </c>
    </row>
    <row r="238" spans="2:36" x14ac:dyDescent="0.2">
      <c r="B238" s="322" t="str">
        <f>INDEX(teams,INDEX(C179:C182,D238))</f>
        <v>Rumänien</v>
      </c>
      <c r="C238" s="321">
        <v>3</v>
      </c>
      <c r="D238" s="321">
        <f>SUMIF(F230:F233,"="&amp;C238,C230:C233)</f>
        <v>3</v>
      </c>
      <c r="E238" s="321">
        <f>IF(G235,C238,INDEX(E230:E233,D238))</f>
        <v>1</v>
      </c>
      <c r="F238" s="323"/>
      <c r="G238" s="324">
        <v>3</v>
      </c>
      <c r="H238" s="323">
        <f>IF(G235,VLOOKUP(A245,Tippabgabe!$DM$40:$DO$63,3,FALSE),D238)</f>
        <v>3</v>
      </c>
      <c r="J238" s="321">
        <f>IF(G237,H238,D238)</f>
        <v>3</v>
      </c>
      <c r="AB238" s="322" t="str">
        <f>INDEX(teams,INDEX(AC179:AC182,AD238))</f>
        <v>Portugal</v>
      </c>
      <c r="AC238" s="321">
        <v>3</v>
      </c>
      <c r="AD238" s="321">
        <f>SUMIF(AF230:AF233,"="&amp;AC238,AC230:AC233)</f>
        <v>3</v>
      </c>
      <c r="AE238" s="321">
        <f>IF(AG235,AC238,INDEX(AE230:AE233,AD238))</f>
        <v>1</v>
      </c>
      <c r="AF238" s="323"/>
      <c r="AG238" s="324">
        <v>3</v>
      </c>
      <c r="AH238" s="323">
        <f>IF(AG235,VLOOKUP(AA245,Tippabgabe!$DM$40:$DO$63,3,FALSE),AD238)</f>
        <v>3</v>
      </c>
      <c r="AJ238" s="321">
        <f>IF(AG237,AH238,AD238)</f>
        <v>3</v>
      </c>
    </row>
    <row r="239" spans="2:36" x14ac:dyDescent="0.2">
      <c r="B239" s="322" t="str">
        <f>INDEX(teams,INDEX(C179:C182,D239))</f>
        <v>Ukraine</v>
      </c>
      <c r="C239" s="321">
        <v>4</v>
      </c>
      <c r="D239" s="321">
        <f>SUMIF(F230:F233,"="&amp;C239,C230:C233)</f>
        <v>4</v>
      </c>
      <c r="E239" s="321">
        <f>IF(G235,C239,INDEX(E230:E233,D239))</f>
        <v>1</v>
      </c>
      <c r="F239" s="323"/>
      <c r="G239" s="324">
        <v>4</v>
      </c>
      <c r="H239" s="323">
        <f>IF(G235,VLOOKUP(A246,Tippabgabe!$DM$40:$DO$63,3,FALSE),D239)</f>
        <v>4</v>
      </c>
      <c r="J239" s="321">
        <f>IF(G238,H239,D239)</f>
        <v>4</v>
      </c>
      <c r="AB239" s="322" t="str">
        <f>INDEX(teams,INDEX(AC179:AC182,AD239))</f>
        <v>Tschechien</v>
      </c>
      <c r="AC239" s="321">
        <v>4</v>
      </c>
      <c r="AD239" s="321">
        <f>SUMIF(AF230:AF233,"="&amp;AC239,AC230:AC233)</f>
        <v>4</v>
      </c>
      <c r="AE239" s="321">
        <f>IF(AG235,AC239,INDEX(AE230:AE233,AD239))</f>
        <v>1</v>
      </c>
      <c r="AF239" s="323"/>
      <c r="AG239" s="324">
        <v>4</v>
      </c>
      <c r="AH239" s="323">
        <f>IF(AG235,VLOOKUP(AA246,Tippabgabe!$DM$40:$DO$63,3,FALSE),AD239)</f>
        <v>4</v>
      </c>
      <c r="AJ239" s="321">
        <f>IF(AG238,AH239,AD239)</f>
        <v>4</v>
      </c>
    </row>
    <row r="242" spans="1:39" x14ac:dyDescent="0.2">
      <c r="B242" s="321" t="s">
        <v>1022</v>
      </c>
      <c r="C242" s="321" t="s">
        <v>996</v>
      </c>
      <c r="D242" s="321" t="s">
        <v>975</v>
      </c>
      <c r="E242" s="321" t="s">
        <v>108</v>
      </c>
      <c r="F242" s="321" t="s">
        <v>1026</v>
      </c>
      <c r="G242" s="321" t="s">
        <v>587</v>
      </c>
      <c r="H242" s="321" t="s">
        <v>1027</v>
      </c>
      <c r="I242" s="321" t="s">
        <v>1028</v>
      </c>
      <c r="J242" s="321" t="s">
        <v>999</v>
      </c>
      <c r="K242" s="321" t="s">
        <v>498</v>
      </c>
      <c r="L242" s="321" t="s">
        <v>848</v>
      </c>
      <c r="M242" s="321" t="s">
        <v>1029</v>
      </c>
      <c r="AB242" s="321" t="s">
        <v>1022</v>
      </c>
      <c r="AC242" s="321" t="s">
        <v>996</v>
      </c>
      <c r="AD242" s="321" t="s">
        <v>975</v>
      </c>
      <c r="AE242" s="321" t="s">
        <v>108</v>
      </c>
      <c r="AF242" s="321" t="s">
        <v>1026</v>
      </c>
      <c r="AG242" s="321" t="s">
        <v>587</v>
      </c>
      <c r="AH242" s="321" t="s">
        <v>1027</v>
      </c>
      <c r="AI242" s="321" t="s">
        <v>1028</v>
      </c>
      <c r="AJ242" s="321" t="s">
        <v>999</v>
      </c>
      <c r="AK242" s="321" t="s">
        <v>498</v>
      </c>
      <c r="AL242" s="321" t="s">
        <v>848</v>
      </c>
      <c r="AM242" s="321" t="s">
        <v>1029</v>
      </c>
    </row>
    <row r="243" spans="1:39" x14ac:dyDescent="0.2">
      <c r="A243" s="321" t="str">
        <f>"S"&amp;A168</f>
        <v>SE</v>
      </c>
      <c r="B243" s="321">
        <v>1</v>
      </c>
      <c r="C243" s="321">
        <f>INDEX($C$179:$C$182,J236)</f>
        <v>17</v>
      </c>
      <c r="D243" s="321">
        <f>J236</f>
        <v>1</v>
      </c>
      <c r="E243" s="321" t="str">
        <f>INDEX($H$179:$H$182,J236)</f>
        <v>BEL</v>
      </c>
      <c r="F243" s="321">
        <f>SUMIF($D$170:$E$175,"="&amp;$C243,$Q$170:$R$175)</f>
        <v>0</v>
      </c>
      <c r="G243" s="321">
        <f>INDEX($D$179:$D$182,$J236)</f>
        <v>0</v>
      </c>
      <c r="H243" s="321">
        <f>INDEX($E$179:$E$182,$J236)</f>
        <v>0</v>
      </c>
      <c r="I243" s="321">
        <f>INDEX($F$179:$F$182,$J236)</f>
        <v>0</v>
      </c>
      <c r="J243" s="321">
        <f>INDEX($G$179:$G$182,$J236)</f>
        <v>0</v>
      </c>
      <c r="K243" s="321">
        <f t="shared" ref="K243:M246" si="88">COUNTIF($S$170:$T$175,"="&amp;K$242&amp;$C243)</f>
        <v>0</v>
      </c>
      <c r="L243" s="321">
        <f t="shared" si="88"/>
        <v>0</v>
      </c>
      <c r="M243" s="321">
        <f t="shared" si="88"/>
        <v>0</v>
      </c>
      <c r="AA243" s="321" t="str">
        <f>"S"&amp;AA168</f>
        <v>SF</v>
      </c>
      <c r="AB243" s="321">
        <v>1</v>
      </c>
      <c r="AC243" s="321">
        <f>INDEX($AC$179:$AC$182,AJ236)</f>
        <v>21</v>
      </c>
      <c r="AD243" s="321">
        <f>AJ236</f>
        <v>1</v>
      </c>
      <c r="AE243" s="321" t="str">
        <f>INDEX($AH$179:$AH$182,AJ236)</f>
        <v>TUR</v>
      </c>
      <c r="AF243" s="321">
        <f>SUMIF($AD$170:$AE$175,"="&amp;$AC243,$AQ$170:$AR$175)</f>
        <v>0</v>
      </c>
      <c r="AG243" s="321">
        <f>INDEX($AD$179:$AD$182,$AJ236)</f>
        <v>0</v>
      </c>
      <c r="AH243" s="321">
        <f>INDEX($AE$179:$AE$182,$AJ236)</f>
        <v>0</v>
      </c>
      <c r="AI243" s="321">
        <f>INDEX($AF$179:$AF$182,$AJ236)</f>
        <v>0</v>
      </c>
      <c r="AJ243" s="321">
        <f>INDEX($AG$179:$AG$182,$AJ236)</f>
        <v>0</v>
      </c>
      <c r="AK243" s="321">
        <f t="shared" ref="AK243:AM246" si="89">COUNTIF($AS$170:$AT$175,"="&amp;AK$242&amp;$AC243)</f>
        <v>0</v>
      </c>
      <c r="AL243" s="321">
        <f t="shared" si="89"/>
        <v>0</v>
      </c>
      <c r="AM243" s="321">
        <f t="shared" si="89"/>
        <v>0</v>
      </c>
    </row>
    <row r="244" spans="1:39" x14ac:dyDescent="0.2">
      <c r="A244" s="321" t="str">
        <f>"Z"&amp;A168</f>
        <v>ZE</v>
      </c>
      <c r="B244" s="321">
        <v>2</v>
      </c>
      <c r="C244" s="321">
        <f>INDEX($C$179:$C$182,J237)</f>
        <v>18</v>
      </c>
      <c r="D244" s="321">
        <f>J237</f>
        <v>2</v>
      </c>
      <c r="E244" s="321" t="str">
        <f>INDEX($H$179:$H$182,J237)</f>
        <v>SVK</v>
      </c>
      <c r="F244" s="321">
        <f>SUMIF($D$170:$E$175,"="&amp;$C244,$Q$170:$R$175)</f>
        <v>0</v>
      </c>
      <c r="G244" s="321">
        <f>INDEX($D$179:$D$182,$J237)</f>
        <v>0</v>
      </c>
      <c r="H244" s="321">
        <f>INDEX($E$179:$E$182,$J237)</f>
        <v>0</v>
      </c>
      <c r="I244" s="321">
        <f>INDEX($F$179:$F$182,$J237)</f>
        <v>0</v>
      </c>
      <c r="J244" s="321">
        <f>INDEX($G$179:$G$182,$J237)</f>
        <v>0</v>
      </c>
      <c r="K244" s="321">
        <f t="shared" si="88"/>
        <v>0</v>
      </c>
      <c r="L244" s="321">
        <f t="shared" si="88"/>
        <v>0</v>
      </c>
      <c r="M244" s="321">
        <f t="shared" si="88"/>
        <v>0</v>
      </c>
      <c r="AA244" s="321" t="str">
        <f>"Z"&amp;AA168</f>
        <v>ZF</v>
      </c>
      <c r="AB244" s="321">
        <v>2</v>
      </c>
      <c r="AC244" s="321">
        <f>INDEX($AC$179:$AC$182,AJ237)</f>
        <v>22</v>
      </c>
      <c r="AD244" s="321">
        <f>AJ237</f>
        <v>2</v>
      </c>
      <c r="AE244" s="321" t="str">
        <f>INDEX($AH$179:$AH$182,AJ237)</f>
        <v>GEO</v>
      </c>
      <c r="AF244" s="321">
        <f>SUMIF($AD$170:$AE$175,"="&amp;$AC244,$AQ$170:$AR$175)</f>
        <v>0</v>
      </c>
      <c r="AG244" s="321">
        <f>INDEX($AD$179:$AD$182,$AJ237)</f>
        <v>0</v>
      </c>
      <c r="AH244" s="321">
        <f>INDEX($AE$179:$AE$182,$AJ237)</f>
        <v>0</v>
      </c>
      <c r="AI244" s="321">
        <f>INDEX($AF$179:$AF$182,$AJ237)</f>
        <v>0</v>
      </c>
      <c r="AJ244" s="321">
        <f>INDEX($AG$179:$AG$182,$AJ237)</f>
        <v>0</v>
      </c>
      <c r="AK244" s="321">
        <f t="shared" si="89"/>
        <v>0</v>
      </c>
      <c r="AL244" s="321">
        <f t="shared" si="89"/>
        <v>0</v>
      </c>
      <c r="AM244" s="321">
        <f t="shared" si="89"/>
        <v>0</v>
      </c>
    </row>
    <row r="245" spans="1:39" x14ac:dyDescent="0.2">
      <c r="A245" s="321" t="str">
        <f>"D"&amp;A168</f>
        <v>DE</v>
      </c>
      <c r="B245" s="321">
        <v>3</v>
      </c>
      <c r="C245" s="321">
        <f>INDEX($C$179:$C$182,J238)</f>
        <v>19</v>
      </c>
      <c r="D245" s="321">
        <f>J238</f>
        <v>3</v>
      </c>
      <c r="E245" s="321" t="str">
        <f>INDEX($H$179:$H$182,J238)</f>
        <v>ROM</v>
      </c>
      <c r="F245" s="321">
        <f>SUMIF($D$170:$E$175,"="&amp;$C245,$Q$170:$R$175)</f>
        <v>0</v>
      </c>
      <c r="G245" s="321">
        <f>INDEX($D$179:$D$182,$J238)</f>
        <v>0</v>
      </c>
      <c r="H245" s="321">
        <f>INDEX($E$179:$E$182,$J238)</f>
        <v>0</v>
      </c>
      <c r="I245" s="321">
        <f>INDEX($F$179:$F$182,$J238)</f>
        <v>0</v>
      </c>
      <c r="J245" s="321">
        <f>INDEX($G$179:$G$182,$J238)</f>
        <v>0</v>
      </c>
      <c r="K245" s="321">
        <f t="shared" si="88"/>
        <v>0</v>
      </c>
      <c r="L245" s="321">
        <f t="shared" si="88"/>
        <v>0</v>
      </c>
      <c r="M245" s="321">
        <f t="shared" si="88"/>
        <v>0</v>
      </c>
      <c r="AA245" s="321" t="str">
        <f>"D"&amp;AA168</f>
        <v>DF</v>
      </c>
      <c r="AB245" s="321">
        <v>3</v>
      </c>
      <c r="AC245" s="321">
        <f>INDEX($AC$179:$AC$182,AJ238)</f>
        <v>23</v>
      </c>
      <c r="AD245" s="321">
        <f>AJ238</f>
        <v>3</v>
      </c>
      <c r="AE245" s="321" t="str">
        <f>INDEX($AH$179:$AH$182,AJ238)</f>
        <v>POR</v>
      </c>
      <c r="AF245" s="321">
        <f>SUMIF($AD$170:$AE$175,"="&amp;$AC245,$AQ$170:$AR$175)</f>
        <v>0</v>
      </c>
      <c r="AG245" s="321">
        <f>INDEX($AD$179:$AD$182,$AJ238)</f>
        <v>0</v>
      </c>
      <c r="AH245" s="321">
        <f>INDEX($AE$179:$AE$182,$AJ238)</f>
        <v>0</v>
      </c>
      <c r="AI245" s="321">
        <f>INDEX($AF$179:$AF$182,$AJ238)</f>
        <v>0</v>
      </c>
      <c r="AJ245" s="321">
        <f>INDEX($AG$179:$AG$182,$AJ238)</f>
        <v>0</v>
      </c>
      <c r="AK245" s="321">
        <f t="shared" si="89"/>
        <v>0</v>
      </c>
      <c r="AL245" s="321">
        <f t="shared" si="89"/>
        <v>0</v>
      </c>
      <c r="AM245" s="321">
        <f t="shared" si="89"/>
        <v>0</v>
      </c>
    </row>
    <row r="246" spans="1:39" x14ac:dyDescent="0.2">
      <c r="A246" s="321" t="str">
        <f>"V"&amp;A168</f>
        <v>VE</v>
      </c>
      <c r="B246" s="321">
        <v>4</v>
      </c>
      <c r="C246" s="321">
        <f>INDEX($C$179:$C$182,J239)</f>
        <v>20</v>
      </c>
      <c r="D246" s="321">
        <f>J239</f>
        <v>4</v>
      </c>
      <c r="E246" s="321" t="str">
        <f>INDEX($H$179:$H$182,J239)</f>
        <v>UKR</v>
      </c>
      <c r="F246" s="321">
        <f>SUMIF($D$170:$E$175,"="&amp;$C246,$Q$170:$R$175)</f>
        <v>0</v>
      </c>
      <c r="G246" s="321">
        <f>INDEX($D$179:$D$182,$J239)</f>
        <v>0</v>
      </c>
      <c r="H246" s="321">
        <f>INDEX($E$179:$E$182,$J239)</f>
        <v>0</v>
      </c>
      <c r="I246" s="321">
        <f>INDEX($F$179:$F$182,$J239)</f>
        <v>0</v>
      </c>
      <c r="J246" s="321">
        <f>INDEX($G$179:$G$182,$J239)</f>
        <v>0</v>
      </c>
      <c r="K246" s="321">
        <f t="shared" si="88"/>
        <v>0</v>
      </c>
      <c r="L246" s="321">
        <f t="shared" si="88"/>
        <v>0</v>
      </c>
      <c r="M246" s="321">
        <f t="shared" si="88"/>
        <v>0</v>
      </c>
      <c r="AA246" s="321" t="str">
        <f>"V"&amp;AA168</f>
        <v>VF</v>
      </c>
      <c r="AB246" s="321">
        <v>4</v>
      </c>
      <c r="AC246" s="321">
        <f>INDEX($AC$179:$AC$182,AJ239)</f>
        <v>24</v>
      </c>
      <c r="AD246" s="321">
        <f>AJ239</f>
        <v>4</v>
      </c>
      <c r="AE246" s="321" t="str">
        <f>INDEX($AH$179:$AH$182,AJ239)</f>
        <v>CZE</v>
      </c>
      <c r="AF246" s="321">
        <f>SUMIF($AD$170:$AE$175,"="&amp;$AC246,$AQ$170:$AR$175)</f>
        <v>0</v>
      </c>
      <c r="AG246" s="321">
        <f>INDEX($AD$179:$AD$182,$AJ239)</f>
        <v>0</v>
      </c>
      <c r="AH246" s="321">
        <f>INDEX($AE$179:$AE$182,$AJ239)</f>
        <v>0</v>
      </c>
      <c r="AI246" s="321">
        <f>INDEX($AF$179:$AF$182,$AJ239)</f>
        <v>0</v>
      </c>
      <c r="AJ246" s="321">
        <f>INDEX($AG$179:$AG$182,$AJ239)</f>
        <v>0</v>
      </c>
      <c r="AK246" s="321">
        <f t="shared" si="89"/>
        <v>0</v>
      </c>
      <c r="AL246" s="321">
        <f t="shared" si="89"/>
        <v>0</v>
      </c>
      <c r="AM246" s="321">
        <f t="shared" si="89"/>
        <v>0</v>
      </c>
    </row>
    <row r="305" spans="5:32" x14ac:dyDescent="0.2">
      <c r="E305" s="522"/>
      <c r="F305" s="522"/>
      <c r="AE305" s="522"/>
      <c r="AF305" s="522"/>
    </row>
    <row r="317" spans="5:32" customFormat="1" ht="10.199999999999999" x14ac:dyDescent="0.2"/>
    <row r="318" spans="5:32" customFormat="1" ht="10.199999999999999" x14ac:dyDescent="0.2"/>
    <row r="319" spans="5:32" customFormat="1" ht="10.199999999999999" x14ac:dyDescent="0.2"/>
    <row r="320" spans="5:32" customFormat="1" ht="10.199999999999999" x14ac:dyDescent="0.2"/>
    <row r="321" spans="1:18" customFormat="1" ht="10.199999999999999" x14ac:dyDescent="0.2"/>
    <row r="334" spans="1:18" x14ac:dyDescent="0.2">
      <c r="A334" s="321" t="s">
        <v>1023</v>
      </c>
      <c r="C334" s="321" t="str">
        <f t="shared" ref="C334:M334" si="90">C78</f>
        <v>TeamIndex</v>
      </c>
      <c r="D334" s="321" t="str">
        <f t="shared" si="90"/>
        <v>Nr</v>
      </c>
      <c r="E334" s="325" t="str">
        <f t="shared" si="90"/>
        <v>Team</v>
      </c>
      <c r="F334" s="326" t="str">
        <f t="shared" si="90"/>
        <v>Sp</v>
      </c>
      <c r="G334" s="326" t="str">
        <f t="shared" si="90"/>
        <v>P</v>
      </c>
      <c r="H334" s="326" t="str">
        <f t="shared" si="90"/>
        <v>T+</v>
      </c>
      <c r="I334" s="326" t="str">
        <f t="shared" si="90"/>
        <v>T-</v>
      </c>
      <c r="J334" s="326" t="str">
        <f t="shared" si="90"/>
        <v>Diff</v>
      </c>
      <c r="K334" s="326" t="str">
        <f t="shared" si="90"/>
        <v>S</v>
      </c>
      <c r="L334" s="326" t="str">
        <f t="shared" si="90"/>
        <v>U</v>
      </c>
      <c r="M334" s="326" t="str">
        <f t="shared" si="90"/>
        <v>N</v>
      </c>
      <c r="N334" s="325"/>
      <c r="O334" s="321" t="s">
        <v>1023</v>
      </c>
      <c r="Q334" s="321" t="s">
        <v>1030</v>
      </c>
      <c r="R334" s="321" t="s">
        <v>1031</v>
      </c>
    </row>
    <row r="335" spans="1:18" x14ac:dyDescent="0.2">
      <c r="A335" s="321">
        <f>$E$72</f>
        <v>1</v>
      </c>
      <c r="B335" s="321" t="s">
        <v>599</v>
      </c>
      <c r="C335" s="321">
        <f t="shared" ref="C335:M335" si="91">C79</f>
        <v>1</v>
      </c>
      <c r="D335" s="321">
        <f t="shared" si="91"/>
        <v>1</v>
      </c>
      <c r="E335" s="325" t="str">
        <f t="shared" si="91"/>
        <v>GER</v>
      </c>
      <c r="F335" s="326">
        <f t="shared" si="91"/>
        <v>0</v>
      </c>
      <c r="G335" s="326">
        <f t="shared" si="91"/>
        <v>0</v>
      </c>
      <c r="H335" s="326">
        <f t="shared" si="91"/>
        <v>0</v>
      </c>
      <c r="I335" s="326">
        <f t="shared" si="91"/>
        <v>0</v>
      </c>
      <c r="J335" s="326">
        <f t="shared" si="91"/>
        <v>0</v>
      </c>
      <c r="K335" s="326">
        <f t="shared" si="91"/>
        <v>0</v>
      </c>
      <c r="L335" s="326">
        <f t="shared" si="91"/>
        <v>0</v>
      </c>
      <c r="M335" s="326">
        <f t="shared" si="91"/>
        <v>0</v>
      </c>
      <c r="N335" s="325">
        <v>1</v>
      </c>
      <c r="O335" s="321">
        <f t="shared" ref="O335:O358" si="92">A335</f>
        <v>1</v>
      </c>
      <c r="P335" s="322" t="str">
        <f t="shared" ref="P335:P358" si="93">INDEX(teams,C335)</f>
        <v>Deutschland</v>
      </c>
      <c r="Q335" s="321">
        <f t="shared" ref="Q335:Q358" ca="1" si="94">SUMIF($L$407:$M$422,"="&amp;C335,$S$407:$T$422)</f>
        <v>0</v>
      </c>
      <c r="R335" s="321">
        <f t="shared" ref="R335:R358" ca="1" si="95">H335+Q335</f>
        <v>0</v>
      </c>
    </row>
    <row r="336" spans="1:18" x14ac:dyDescent="0.2">
      <c r="A336" s="321">
        <f>$E$73</f>
        <v>1</v>
      </c>
      <c r="B336" s="321" t="s">
        <v>603</v>
      </c>
      <c r="C336" s="321">
        <f t="shared" ref="C336:M336" si="96">C80</f>
        <v>2</v>
      </c>
      <c r="D336" s="321">
        <f t="shared" si="96"/>
        <v>2</v>
      </c>
      <c r="E336" s="325" t="str">
        <f t="shared" si="96"/>
        <v>SCO</v>
      </c>
      <c r="F336" s="326">
        <f t="shared" si="96"/>
        <v>0</v>
      </c>
      <c r="G336" s="326">
        <f t="shared" si="96"/>
        <v>0</v>
      </c>
      <c r="H336" s="326">
        <f t="shared" si="96"/>
        <v>0</v>
      </c>
      <c r="I336" s="326">
        <f t="shared" si="96"/>
        <v>0</v>
      </c>
      <c r="J336" s="326">
        <f t="shared" si="96"/>
        <v>0</v>
      </c>
      <c r="K336" s="326">
        <f t="shared" si="96"/>
        <v>0</v>
      </c>
      <c r="L336" s="326">
        <f t="shared" si="96"/>
        <v>0</v>
      </c>
      <c r="M336" s="326">
        <f t="shared" si="96"/>
        <v>0</v>
      </c>
      <c r="N336" s="325">
        <v>1</v>
      </c>
      <c r="O336" s="321">
        <f t="shared" si="92"/>
        <v>1</v>
      </c>
      <c r="P336" s="322" t="str">
        <f t="shared" si="93"/>
        <v>Schottland</v>
      </c>
      <c r="Q336" s="321">
        <f t="shared" ca="1" si="94"/>
        <v>0</v>
      </c>
      <c r="R336" s="321">
        <f t="shared" ca="1" si="95"/>
        <v>0</v>
      </c>
    </row>
    <row r="337" spans="1:18" x14ac:dyDescent="0.2">
      <c r="A337" s="321">
        <f>$E$74</f>
        <v>1</v>
      </c>
      <c r="B337" s="321" t="s">
        <v>606</v>
      </c>
      <c r="C337" s="321">
        <f t="shared" ref="C337:M337" si="97">C81</f>
        <v>3</v>
      </c>
      <c r="D337" s="321">
        <f t="shared" si="97"/>
        <v>3</v>
      </c>
      <c r="E337" s="325" t="str">
        <f t="shared" si="97"/>
        <v>HUN</v>
      </c>
      <c r="F337" s="326">
        <f t="shared" si="97"/>
        <v>0</v>
      </c>
      <c r="G337" s="326">
        <f t="shared" si="97"/>
        <v>0</v>
      </c>
      <c r="H337" s="326">
        <f t="shared" si="97"/>
        <v>0</v>
      </c>
      <c r="I337" s="326">
        <f t="shared" si="97"/>
        <v>0</v>
      </c>
      <c r="J337" s="326">
        <f t="shared" si="97"/>
        <v>0</v>
      </c>
      <c r="K337" s="326">
        <f t="shared" si="97"/>
        <v>0</v>
      </c>
      <c r="L337" s="326">
        <f t="shared" si="97"/>
        <v>0</v>
      </c>
      <c r="M337" s="326">
        <f t="shared" si="97"/>
        <v>0</v>
      </c>
      <c r="N337" s="325">
        <v>1</v>
      </c>
      <c r="O337" s="321">
        <f t="shared" si="92"/>
        <v>1</v>
      </c>
      <c r="P337" s="322" t="str">
        <f t="shared" si="93"/>
        <v>Ungarn</v>
      </c>
      <c r="Q337" s="321">
        <f t="shared" ca="1" si="94"/>
        <v>0</v>
      </c>
      <c r="R337" s="321">
        <f t="shared" ca="1" si="95"/>
        <v>0</v>
      </c>
    </row>
    <row r="338" spans="1:18" x14ac:dyDescent="0.2">
      <c r="A338" s="321">
        <f>$E$75</f>
        <v>1</v>
      </c>
      <c r="B338" s="321" t="s">
        <v>611</v>
      </c>
      <c r="C338" s="321">
        <f t="shared" ref="C338:M338" si="98">C82</f>
        <v>4</v>
      </c>
      <c r="D338" s="321">
        <f t="shared" si="98"/>
        <v>4</v>
      </c>
      <c r="E338" s="325" t="str">
        <f t="shared" si="98"/>
        <v>SUI</v>
      </c>
      <c r="F338" s="326">
        <f t="shared" si="98"/>
        <v>0</v>
      </c>
      <c r="G338" s="326">
        <f t="shared" si="98"/>
        <v>0</v>
      </c>
      <c r="H338" s="326">
        <f t="shared" si="98"/>
        <v>0</v>
      </c>
      <c r="I338" s="326">
        <f t="shared" si="98"/>
        <v>0</v>
      </c>
      <c r="J338" s="326">
        <f t="shared" si="98"/>
        <v>0</v>
      </c>
      <c r="K338" s="326">
        <f t="shared" si="98"/>
        <v>0</v>
      </c>
      <c r="L338" s="326">
        <f t="shared" si="98"/>
        <v>0</v>
      </c>
      <c r="M338" s="326">
        <f t="shared" si="98"/>
        <v>0</v>
      </c>
      <c r="N338" s="325">
        <v>1</v>
      </c>
      <c r="O338" s="321">
        <f t="shared" si="92"/>
        <v>1</v>
      </c>
      <c r="P338" s="322" t="str">
        <f t="shared" si="93"/>
        <v>Schweiz</v>
      </c>
      <c r="Q338" s="321">
        <f t="shared" ca="1" si="94"/>
        <v>0</v>
      </c>
      <c r="R338" s="321">
        <f t="shared" ca="1" si="95"/>
        <v>0</v>
      </c>
    </row>
    <row r="339" spans="1:18" x14ac:dyDescent="0.2">
      <c r="A339" s="321">
        <f>$AE$72</f>
        <v>1</v>
      </c>
      <c r="B339" s="321" t="s">
        <v>615</v>
      </c>
      <c r="C339" s="321">
        <f t="shared" ref="C339:M342" si="99">AC79</f>
        <v>5</v>
      </c>
      <c r="D339" s="321">
        <f t="shared" si="99"/>
        <v>1</v>
      </c>
      <c r="E339" s="325" t="str">
        <f t="shared" si="99"/>
        <v>ESP</v>
      </c>
      <c r="F339" s="326">
        <f t="shared" si="99"/>
        <v>0</v>
      </c>
      <c r="G339" s="326">
        <f t="shared" si="99"/>
        <v>0</v>
      </c>
      <c r="H339" s="326">
        <f t="shared" si="99"/>
        <v>0</v>
      </c>
      <c r="I339" s="326">
        <f t="shared" si="99"/>
        <v>0</v>
      </c>
      <c r="J339" s="326">
        <f t="shared" si="99"/>
        <v>0</v>
      </c>
      <c r="K339" s="326">
        <f t="shared" si="99"/>
        <v>0</v>
      </c>
      <c r="L339" s="326">
        <f t="shared" si="99"/>
        <v>0</v>
      </c>
      <c r="M339" s="326">
        <f t="shared" si="99"/>
        <v>0</v>
      </c>
      <c r="N339" s="325">
        <v>2</v>
      </c>
      <c r="O339" s="321">
        <f t="shared" si="92"/>
        <v>1</v>
      </c>
      <c r="P339" s="322" t="str">
        <f t="shared" si="93"/>
        <v>Spanien</v>
      </c>
      <c r="Q339" s="321">
        <f t="shared" ca="1" si="94"/>
        <v>0</v>
      </c>
      <c r="R339" s="321">
        <f t="shared" ca="1" si="95"/>
        <v>0</v>
      </c>
    </row>
    <row r="340" spans="1:18" x14ac:dyDescent="0.2">
      <c r="A340" s="321">
        <f>$AE$73</f>
        <v>1</v>
      </c>
      <c r="B340" s="321" t="s">
        <v>619</v>
      </c>
      <c r="C340" s="321">
        <f t="shared" si="99"/>
        <v>6</v>
      </c>
      <c r="D340" s="321">
        <f t="shared" si="99"/>
        <v>2</v>
      </c>
      <c r="E340" s="325" t="str">
        <f t="shared" si="99"/>
        <v>CRO</v>
      </c>
      <c r="F340" s="326">
        <f t="shared" si="99"/>
        <v>0</v>
      </c>
      <c r="G340" s="326">
        <f t="shared" si="99"/>
        <v>0</v>
      </c>
      <c r="H340" s="326">
        <f t="shared" si="99"/>
        <v>0</v>
      </c>
      <c r="I340" s="326">
        <f t="shared" si="99"/>
        <v>0</v>
      </c>
      <c r="J340" s="326">
        <f t="shared" si="99"/>
        <v>0</v>
      </c>
      <c r="K340" s="326">
        <f t="shared" si="99"/>
        <v>0</v>
      </c>
      <c r="L340" s="326">
        <f t="shared" si="99"/>
        <v>0</v>
      </c>
      <c r="M340" s="326">
        <f t="shared" si="99"/>
        <v>0</v>
      </c>
      <c r="N340" s="325">
        <v>2</v>
      </c>
      <c r="O340" s="321">
        <f t="shared" si="92"/>
        <v>1</v>
      </c>
      <c r="P340" s="322" t="str">
        <f t="shared" si="93"/>
        <v>Kroatien</v>
      </c>
      <c r="Q340" s="321">
        <f t="shared" ca="1" si="94"/>
        <v>0</v>
      </c>
      <c r="R340" s="321">
        <f t="shared" ca="1" si="95"/>
        <v>0</v>
      </c>
    </row>
    <row r="341" spans="1:18" x14ac:dyDescent="0.2">
      <c r="A341" s="321">
        <f>$AE$74</f>
        <v>1</v>
      </c>
      <c r="B341" s="321" t="s">
        <v>623</v>
      </c>
      <c r="C341" s="321">
        <f t="shared" si="99"/>
        <v>7</v>
      </c>
      <c r="D341" s="321">
        <f t="shared" si="99"/>
        <v>3</v>
      </c>
      <c r="E341" s="325" t="str">
        <f t="shared" si="99"/>
        <v>ITA</v>
      </c>
      <c r="F341" s="326">
        <f t="shared" si="99"/>
        <v>0</v>
      </c>
      <c r="G341" s="326">
        <f t="shared" si="99"/>
        <v>0</v>
      </c>
      <c r="H341" s="326">
        <f t="shared" si="99"/>
        <v>0</v>
      </c>
      <c r="I341" s="326">
        <f t="shared" si="99"/>
        <v>0</v>
      </c>
      <c r="J341" s="326">
        <f t="shared" si="99"/>
        <v>0</v>
      </c>
      <c r="K341" s="326">
        <f t="shared" si="99"/>
        <v>0</v>
      </c>
      <c r="L341" s="326">
        <f t="shared" si="99"/>
        <v>0</v>
      </c>
      <c r="M341" s="326">
        <f t="shared" si="99"/>
        <v>0</v>
      </c>
      <c r="N341" s="325">
        <v>2</v>
      </c>
      <c r="O341" s="321">
        <f t="shared" si="92"/>
        <v>1</v>
      </c>
      <c r="P341" s="322" t="str">
        <f t="shared" si="93"/>
        <v>Italien</v>
      </c>
      <c r="Q341" s="321">
        <f t="shared" ca="1" si="94"/>
        <v>0</v>
      </c>
      <c r="R341" s="321">
        <f t="shared" ca="1" si="95"/>
        <v>0</v>
      </c>
    </row>
    <row r="342" spans="1:18" x14ac:dyDescent="0.2">
      <c r="A342" s="321">
        <f>$AE$75</f>
        <v>1</v>
      </c>
      <c r="B342" s="321" t="s">
        <v>626</v>
      </c>
      <c r="C342" s="321">
        <f t="shared" si="99"/>
        <v>8</v>
      </c>
      <c r="D342" s="321">
        <f t="shared" si="99"/>
        <v>4</v>
      </c>
      <c r="E342" s="325" t="str">
        <f t="shared" si="99"/>
        <v>ALB</v>
      </c>
      <c r="F342" s="326">
        <f t="shared" si="99"/>
        <v>0</v>
      </c>
      <c r="G342" s="326">
        <f t="shared" si="99"/>
        <v>0</v>
      </c>
      <c r="H342" s="326">
        <f t="shared" si="99"/>
        <v>0</v>
      </c>
      <c r="I342" s="326">
        <f t="shared" si="99"/>
        <v>0</v>
      </c>
      <c r="J342" s="326">
        <f t="shared" si="99"/>
        <v>0</v>
      </c>
      <c r="K342" s="326">
        <f t="shared" si="99"/>
        <v>0</v>
      </c>
      <c r="L342" s="326">
        <f t="shared" si="99"/>
        <v>0</v>
      </c>
      <c r="M342" s="326">
        <f t="shared" si="99"/>
        <v>0</v>
      </c>
      <c r="N342" s="325">
        <v>2</v>
      </c>
      <c r="O342" s="321">
        <f t="shared" si="92"/>
        <v>1</v>
      </c>
      <c r="P342" s="322" t="str">
        <f t="shared" si="93"/>
        <v>Albanien</v>
      </c>
      <c r="Q342" s="321">
        <f t="shared" ca="1" si="94"/>
        <v>0</v>
      </c>
      <c r="R342" s="321">
        <f t="shared" ca="1" si="95"/>
        <v>0</v>
      </c>
    </row>
    <row r="343" spans="1:18" x14ac:dyDescent="0.2">
      <c r="A343" s="321">
        <f>$E$154</f>
        <v>1</v>
      </c>
      <c r="B343" s="321" t="s">
        <v>630</v>
      </c>
      <c r="C343" s="321">
        <f t="shared" ref="C343:M343" si="100">C161</f>
        <v>9</v>
      </c>
      <c r="D343" s="321">
        <f t="shared" si="100"/>
        <v>1</v>
      </c>
      <c r="E343" s="325" t="str">
        <f t="shared" si="100"/>
        <v>SLO</v>
      </c>
      <c r="F343" s="326">
        <f t="shared" si="100"/>
        <v>0</v>
      </c>
      <c r="G343" s="326">
        <f t="shared" si="100"/>
        <v>0</v>
      </c>
      <c r="H343" s="326">
        <f t="shared" si="100"/>
        <v>0</v>
      </c>
      <c r="I343" s="326">
        <f t="shared" si="100"/>
        <v>0</v>
      </c>
      <c r="J343" s="326">
        <f t="shared" si="100"/>
        <v>0</v>
      </c>
      <c r="K343" s="326">
        <f t="shared" si="100"/>
        <v>0</v>
      </c>
      <c r="L343" s="326">
        <f t="shared" si="100"/>
        <v>0</v>
      </c>
      <c r="M343" s="326">
        <f t="shared" si="100"/>
        <v>0</v>
      </c>
      <c r="N343" s="325">
        <v>3</v>
      </c>
      <c r="O343" s="321">
        <f t="shared" si="92"/>
        <v>1</v>
      </c>
      <c r="P343" s="322" t="str">
        <f t="shared" si="93"/>
        <v>Slowenien</v>
      </c>
      <c r="Q343" s="321">
        <f t="shared" ca="1" si="94"/>
        <v>0</v>
      </c>
      <c r="R343" s="321">
        <f t="shared" ca="1" si="95"/>
        <v>0</v>
      </c>
    </row>
    <row r="344" spans="1:18" x14ac:dyDescent="0.2">
      <c r="A344" s="321">
        <f>$E$155</f>
        <v>1</v>
      </c>
      <c r="B344" s="321" t="s">
        <v>634</v>
      </c>
      <c r="C344" s="321">
        <f t="shared" ref="C344:M344" si="101">C162</f>
        <v>10</v>
      </c>
      <c r="D344" s="321">
        <f t="shared" si="101"/>
        <v>2</v>
      </c>
      <c r="E344" s="325" t="str">
        <f t="shared" si="101"/>
        <v>DEN</v>
      </c>
      <c r="F344" s="326">
        <f t="shared" si="101"/>
        <v>0</v>
      </c>
      <c r="G344" s="326">
        <f t="shared" si="101"/>
        <v>0</v>
      </c>
      <c r="H344" s="326">
        <f t="shared" si="101"/>
        <v>0</v>
      </c>
      <c r="I344" s="326">
        <f t="shared" si="101"/>
        <v>0</v>
      </c>
      <c r="J344" s="326">
        <f t="shared" si="101"/>
        <v>0</v>
      </c>
      <c r="K344" s="326">
        <f t="shared" si="101"/>
        <v>0</v>
      </c>
      <c r="L344" s="326">
        <f t="shared" si="101"/>
        <v>0</v>
      </c>
      <c r="M344" s="326">
        <f t="shared" si="101"/>
        <v>0</v>
      </c>
      <c r="N344" s="325">
        <v>3</v>
      </c>
      <c r="O344" s="321">
        <f t="shared" si="92"/>
        <v>1</v>
      </c>
      <c r="P344" s="322" t="str">
        <f t="shared" si="93"/>
        <v>Dänemark</v>
      </c>
      <c r="Q344" s="321">
        <f t="shared" ca="1" si="94"/>
        <v>0</v>
      </c>
      <c r="R344" s="321">
        <f t="shared" ca="1" si="95"/>
        <v>0</v>
      </c>
    </row>
    <row r="345" spans="1:18" x14ac:dyDescent="0.2">
      <c r="A345" s="321">
        <f>$E$156</f>
        <v>1</v>
      </c>
      <c r="B345" s="321" t="s">
        <v>639</v>
      </c>
      <c r="C345" s="321">
        <f t="shared" ref="C345:M345" si="102">C163</f>
        <v>11</v>
      </c>
      <c r="D345" s="321">
        <f t="shared" si="102"/>
        <v>3</v>
      </c>
      <c r="E345" s="325" t="str">
        <f t="shared" si="102"/>
        <v>SRB</v>
      </c>
      <c r="F345" s="326">
        <f t="shared" si="102"/>
        <v>0</v>
      </c>
      <c r="G345" s="326">
        <f t="shared" si="102"/>
        <v>0</v>
      </c>
      <c r="H345" s="326">
        <f t="shared" si="102"/>
        <v>0</v>
      </c>
      <c r="I345" s="326">
        <f t="shared" si="102"/>
        <v>0</v>
      </c>
      <c r="J345" s="326">
        <f t="shared" si="102"/>
        <v>0</v>
      </c>
      <c r="K345" s="326">
        <f t="shared" si="102"/>
        <v>0</v>
      </c>
      <c r="L345" s="326">
        <f t="shared" si="102"/>
        <v>0</v>
      </c>
      <c r="M345" s="326">
        <f t="shared" si="102"/>
        <v>0</v>
      </c>
      <c r="N345" s="325">
        <v>3</v>
      </c>
      <c r="O345" s="321">
        <f t="shared" si="92"/>
        <v>1</v>
      </c>
      <c r="P345" s="322" t="str">
        <f t="shared" si="93"/>
        <v>Serbien</v>
      </c>
      <c r="Q345" s="321">
        <f t="shared" ca="1" si="94"/>
        <v>0</v>
      </c>
      <c r="R345" s="321">
        <f t="shared" ca="1" si="95"/>
        <v>0</v>
      </c>
    </row>
    <row r="346" spans="1:18" x14ac:dyDescent="0.2">
      <c r="A346" s="321">
        <f>$E$157</f>
        <v>1</v>
      </c>
      <c r="B346" s="321" t="s">
        <v>641</v>
      </c>
      <c r="C346" s="321">
        <f t="shared" ref="C346:M346" si="103">C164</f>
        <v>12</v>
      </c>
      <c r="D346" s="321">
        <f t="shared" si="103"/>
        <v>4</v>
      </c>
      <c r="E346" s="325" t="str">
        <f t="shared" si="103"/>
        <v>ENG</v>
      </c>
      <c r="F346" s="326">
        <f t="shared" si="103"/>
        <v>0</v>
      </c>
      <c r="G346" s="326">
        <f t="shared" si="103"/>
        <v>0</v>
      </c>
      <c r="H346" s="326">
        <f t="shared" si="103"/>
        <v>0</v>
      </c>
      <c r="I346" s="326">
        <f t="shared" si="103"/>
        <v>0</v>
      </c>
      <c r="J346" s="326">
        <f t="shared" si="103"/>
        <v>0</v>
      </c>
      <c r="K346" s="326">
        <f t="shared" si="103"/>
        <v>0</v>
      </c>
      <c r="L346" s="326">
        <f t="shared" si="103"/>
        <v>0</v>
      </c>
      <c r="M346" s="326">
        <f t="shared" si="103"/>
        <v>0</v>
      </c>
      <c r="N346" s="325">
        <v>3</v>
      </c>
      <c r="O346" s="321">
        <f t="shared" si="92"/>
        <v>1</v>
      </c>
      <c r="P346" s="322" t="str">
        <f t="shared" si="93"/>
        <v>England</v>
      </c>
      <c r="Q346" s="321">
        <f t="shared" ca="1" si="94"/>
        <v>0</v>
      </c>
      <c r="R346" s="321">
        <f t="shared" ca="1" si="95"/>
        <v>0</v>
      </c>
    </row>
    <row r="347" spans="1:18" x14ac:dyDescent="0.2">
      <c r="A347" s="321">
        <f>$AE$154</f>
        <v>1</v>
      </c>
      <c r="B347" s="321" t="s">
        <v>643</v>
      </c>
      <c r="C347" s="321">
        <f t="shared" ref="C347:M350" si="104">AC161</f>
        <v>13</v>
      </c>
      <c r="D347" s="321">
        <f t="shared" si="104"/>
        <v>1</v>
      </c>
      <c r="E347" s="325" t="str">
        <f t="shared" si="104"/>
        <v>POL</v>
      </c>
      <c r="F347" s="326">
        <f t="shared" si="104"/>
        <v>0</v>
      </c>
      <c r="G347" s="326">
        <f t="shared" si="104"/>
        <v>0</v>
      </c>
      <c r="H347" s="326">
        <f t="shared" si="104"/>
        <v>0</v>
      </c>
      <c r="I347" s="326">
        <f t="shared" si="104"/>
        <v>0</v>
      </c>
      <c r="J347" s="326">
        <f t="shared" si="104"/>
        <v>0</v>
      </c>
      <c r="K347" s="326">
        <f t="shared" si="104"/>
        <v>0</v>
      </c>
      <c r="L347" s="326">
        <f t="shared" si="104"/>
        <v>0</v>
      </c>
      <c r="M347" s="326">
        <f t="shared" si="104"/>
        <v>0</v>
      </c>
      <c r="N347" s="325">
        <v>4</v>
      </c>
      <c r="O347" s="321">
        <f t="shared" si="92"/>
        <v>1</v>
      </c>
      <c r="P347" s="322" t="str">
        <f t="shared" si="93"/>
        <v>Polen</v>
      </c>
      <c r="Q347" s="321">
        <f t="shared" ca="1" si="94"/>
        <v>0</v>
      </c>
      <c r="R347" s="321">
        <f t="shared" ca="1" si="95"/>
        <v>0</v>
      </c>
    </row>
    <row r="348" spans="1:18" x14ac:dyDescent="0.2">
      <c r="A348" s="321">
        <f>$AE$155</f>
        <v>1</v>
      </c>
      <c r="B348" s="321" t="s">
        <v>646</v>
      </c>
      <c r="C348" s="321">
        <f t="shared" si="104"/>
        <v>14</v>
      </c>
      <c r="D348" s="321">
        <f t="shared" si="104"/>
        <v>2</v>
      </c>
      <c r="E348" s="325" t="str">
        <f t="shared" si="104"/>
        <v>NED</v>
      </c>
      <c r="F348" s="326">
        <f t="shared" si="104"/>
        <v>0</v>
      </c>
      <c r="G348" s="326">
        <f t="shared" si="104"/>
        <v>0</v>
      </c>
      <c r="H348" s="326">
        <f t="shared" si="104"/>
        <v>0</v>
      </c>
      <c r="I348" s="326">
        <f t="shared" si="104"/>
        <v>0</v>
      </c>
      <c r="J348" s="326">
        <f t="shared" si="104"/>
        <v>0</v>
      </c>
      <c r="K348" s="326">
        <f t="shared" si="104"/>
        <v>0</v>
      </c>
      <c r="L348" s="326">
        <f t="shared" si="104"/>
        <v>0</v>
      </c>
      <c r="M348" s="326">
        <f t="shared" si="104"/>
        <v>0</v>
      </c>
      <c r="N348" s="325">
        <v>4</v>
      </c>
      <c r="O348" s="321">
        <f t="shared" si="92"/>
        <v>1</v>
      </c>
      <c r="P348" s="322" t="str">
        <f t="shared" si="93"/>
        <v>Niederlande</v>
      </c>
      <c r="Q348" s="321">
        <f t="shared" ca="1" si="94"/>
        <v>0</v>
      </c>
      <c r="R348" s="321">
        <f t="shared" ca="1" si="95"/>
        <v>0</v>
      </c>
    </row>
    <row r="349" spans="1:18" x14ac:dyDescent="0.2">
      <c r="A349" s="321">
        <f>$AE$156</f>
        <v>1</v>
      </c>
      <c r="B349" s="321" t="s">
        <v>648</v>
      </c>
      <c r="C349" s="321">
        <f t="shared" si="104"/>
        <v>15</v>
      </c>
      <c r="D349" s="321">
        <f t="shared" si="104"/>
        <v>3</v>
      </c>
      <c r="E349" s="325" t="str">
        <f t="shared" si="104"/>
        <v>AUT</v>
      </c>
      <c r="F349" s="326">
        <f t="shared" si="104"/>
        <v>0</v>
      </c>
      <c r="G349" s="326">
        <f t="shared" si="104"/>
        <v>0</v>
      </c>
      <c r="H349" s="326">
        <f t="shared" si="104"/>
        <v>0</v>
      </c>
      <c r="I349" s="326">
        <f t="shared" si="104"/>
        <v>0</v>
      </c>
      <c r="J349" s="326">
        <f t="shared" si="104"/>
        <v>0</v>
      </c>
      <c r="K349" s="326">
        <f t="shared" si="104"/>
        <v>0</v>
      </c>
      <c r="L349" s="326">
        <f t="shared" si="104"/>
        <v>0</v>
      </c>
      <c r="M349" s="326">
        <f t="shared" si="104"/>
        <v>0</v>
      </c>
      <c r="N349" s="325">
        <v>4</v>
      </c>
      <c r="O349" s="321">
        <f t="shared" si="92"/>
        <v>1</v>
      </c>
      <c r="P349" s="322" t="str">
        <f t="shared" si="93"/>
        <v>Österreich</v>
      </c>
      <c r="Q349" s="321">
        <f t="shared" ca="1" si="94"/>
        <v>0</v>
      </c>
      <c r="R349" s="321">
        <f t="shared" ca="1" si="95"/>
        <v>0</v>
      </c>
    </row>
    <row r="350" spans="1:18" x14ac:dyDescent="0.2">
      <c r="A350" s="321">
        <f>$AE$157</f>
        <v>1</v>
      </c>
      <c r="B350" s="321" t="s">
        <v>650</v>
      </c>
      <c r="C350" s="321">
        <f t="shared" si="104"/>
        <v>16</v>
      </c>
      <c r="D350" s="321">
        <f t="shared" si="104"/>
        <v>4</v>
      </c>
      <c r="E350" s="325" t="str">
        <f t="shared" si="104"/>
        <v>FRA</v>
      </c>
      <c r="F350" s="326">
        <f t="shared" si="104"/>
        <v>0</v>
      </c>
      <c r="G350" s="326">
        <f t="shared" si="104"/>
        <v>0</v>
      </c>
      <c r="H350" s="326">
        <f t="shared" si="104"/>
        <v>0</v>
      </c>
      <c r="I350" s="326">
        <f t="shared" si="104"/>
        <v>0</v>
      </c>
      <c r="J350" s="326">
        <f t="shared" si="104"/>
        <v>0</v>
      </c>
      <c r="K350" s="326">
        <f t="shared" si="104"/>
        <v>0</v>
      </c>
      <c r="L350" s="326">
        <f t="shared" si="104"/>
        <v>0</v>
      </c>
      <c r="M350" s="326">
        <f t="shared" si="104"/>
        <v>0</v>
      </c>
      <c r="N350" s="325">
        <v>4</v>
      </c>
      <c r="O350" s="321">
        <f t="shared" si="92"/>
        <v>1</v>
      </c>
      <c r="P350" s="322" t="str">
        <f t="shared" si="93"/>
        <v>Frankreich</v>
      </c>
      <c r="Q350" s="321">
        <f t="shared" ca="1" si="94"/>
        <v>0</v>
      </c>
      <c r="R350" s="321">
        <f t="shared" ca="1" si="95"/>
        <v>0</v>
      </c>
    </row>
    <row r="351" spans="1:18" x14ac:dyDescent="0.2">
      <c r="A351" s="321">
        <f>$E$236</f>
        <v>1</v>
      </c>
      <c r="B351" s="321" t="s">
        <v>652</v>
      </c>
      <c r="C351" s="321">
        <f t="shared" ref="C351:M351" si="105">C243</f>
        <v>17</v>
      </c>
      <c r="D351" s="321">
        <f t="shared" si="105"/>
        <v>1</v>
      </c>
      <c r="E351" s="325" t="str">
        <f t="shared" si="105"/>
        <v>BEL</v>
      </c>
      <c r="F351" s="326">
        <f t="shared" si="105"/>
        <v>0</v>
      </c>
      <c r="G351" s="326">
        <f t="shared" si="105"/>
        <v>0</v>
      </c>
      <c r="H351" s="326">
        <f t="shared" si="105"/>
        <v>0</v>
      </c>
      <c r="I351" s="326">
        <f t="shared" si="105"/>
        <v>0</v>
      </c>
      <c r="J351" s="326">
        <f t="shared" si="105"/>
        <v>0</v>
      </c>
      <c r="K351" s="326">
        <f t="shared" si="105"/>
        <v>0</v>
      </c>
      <c r="L351" s="326">
        <f t="shared" si="105"/>
        <v>0</v>
      </c>
      <c r="M351" s="326">
        <f t="shared" si="105"/>
        <v>0</v>
      </c>
      <c r="N351" s="325">
        <v>5</v>
      </c>
      <c r="O351" s="321">
        <f t="shared" si="92"/>
        <v>1</v>
      </c>
      <c r="P351" s="322" t="str">
        <f t="shared" si="93"/>
        <v>Belgien</v>
      </c>
      <c r="Q351" s="321">
        <f t="shared" ca="1" si="94"/>
        <v>0</v>
      </c>
      <c r="R351" s="321">
        <f t="shared" ca="1" si="95"/>
        <v>0</v>
      </c>
    </row>
    <row r="352" spans="1:18" x14ac:dyDescent="0.2">
      <c r="A352" s="321">
        <f>$E$237</f>
        <v>1</v>
      </c>
      <c r="B352" s="321" t="s">
        <v>654</v>
      </c>
      <c r="C352" s="321">
        <f t="shared" ref="C352:M352" si="106">C244</f>
        <v>18</v>
      </c>
      <c r="D352" s="321">
        <f t="shared" si="106"/>
        <v>2</v>
      </c>
      <c r="E352" s="325" t="str">
        <f t="shared" si="106"/>
        <v>SVK</v>
      </c>
      <c r="F352" s="326">
        <f t="shared" si="106"/>
        <v>0</v>
      </c>
      <c r="G352" s="326">
        <f t="shared" si="106"/>
        <v>0</v>
      </c>
      <c r="H352" s="326">
        <f t="shared" si="106"/>
        <v>0</v>
      </c>
      <c r="I352" s="326">
        <f t="shared" si="106"/>
        <v>0</v>
      </c>
      <c r="J352" s="326">
        <f t="shared" si="106"/>
        <v>0</v>
      </c>
      <c r="K352" s="326">
        <f t="shared" si="106"/>
        <v>0</v>
      </c>
      <c r="L352" s="326">
        <f t="shared" si="106"/>
        <v>0</v>
      </c>
      <c r="M352" s="326">
        <f t="shared" si="106"/>
        <v>0</v>
      </c>
      <c r="N352" s="325">
        <v>5</v>
      </c>
      <c r="O352" s="321">
        <f t="shared" si="92"/>
        <v>1</v>
      </c>
      <c r="P352" s="322" t="str">
        <f t="shared" si="93"/>
        <v>Slowakei</v>
      </c>
      <c r="Q352" s="321">
        <f t="shared" ca="1" si="94"/>
        <v>0</v>
      </c>
      <c r="R352" s="321">
        <f t="shared" ca="1" si="95"/>
        <v>0</v>
      </c>
    </row>
    <row r="353" spans="1:18" x14ac:dyDescent="0.2">
      <c r="A353" s="321">
        <f>$E$238</f>
        <v>1</v>
      </c>
      <c r="B353" s="321" t="s">
        <v>657</v>
      </c>
      <c r="C353" s="321">
        <f t="shared" ref="C353:M353" si="107">C245</f>
        <v>19</v>
      </c>
      <c r="D353" s="321">
        <f t="shared" si="107"/>
        <v>3</v>
      </c>
      <c r="E353" s="325" t="str">
        <f t="shared" si="107"/>
        <v>ROM</v>
      </c>
      <c r="F353" s="326">
        <f t="shared" si="107"/>
        <v>0</v>
      </c>
      <c r="G353" s="326">
        <f t="shared" si="107"/>
        <v>0</v>
      </c>
      <c r="H353" s="326">
        <f t="shared" si="107"/>
        <v>0</v>
      </c>
      <c r="I353" s="326">
        <f t="shared" si="107"/>
        <v>0</v>
      </c>
      <c r="J353" s="326">
        <f t="shared" si="107"/>
        <v>0</v>
      </c>
      <c r="K353" s="326">
        <f t="shared" si="107"/>
        <v>0</v>
      </c>
      <c r="L353" s="326">
        <f t="shared" si="107"/>
        <v>0</v>
      </c>
      <c r="M353" s="326">
        <f t="shared" si="107"/>
        <v>0</v>
      </c>
      <c r="N353" s="325">
        <v>5</v>
      </c>
      <c r="O353" s="321">
        <f t="shared" si="92"/>
        <v>1</v>
      </c>
      <c r="P353" s="322" t="str">
        <f t="shared" si="93"/>
        <v>Rumänien</v>
      </c>
      <c r="Q353" s="321">
        <f t="shared" ca="1" si="94"/>
        <v>0</v>
      </c>
      <c r="R353" s="321">
        <f t="shared" ca="1" si="95"/>
        <v>0</v>
      </c>
    </row>
    <row r="354" spans="1:18" x14ac:dyDescent="0.2">
      <c r="A354" s="321">
        <f>$E$239</f>
        <v>1</v>
      </c>
      <c r="B354" s="321" t="s">
        <v>659</v>
      </c>
      <c r="C354" s="321">
        <f t="shared" ref="C354:M354" si="108">C246</f>
        <v>20</v>
      </c>
      <c r="D354" s="321">
        <f t="shared" si="108"/>
        <v>4</v>
      </c>
      <c r="E354" s="325" t="str">
        <f t="shared" si="108"/>
        <v>UKR</v>
      </c>
      <c r="F354" s="326">
        <f t="shared" si="108"/>
        <v>0</v>
      </c>
      <c r="G354" s="326">
        <f t="shared" si="108"/>
        <v>0</v>
      </c>
      <c r="H354" s="326">
        <f t="shared" si="108"/>
        <v>0</v>
      </c>
      <c r="I354" s="326">
        <f t="shared" si="108"/>
        <v>0</v>
      </c>
      <c r="J354" s="326">
        <f t="shared" si="108"/>
        <v>0</v>
      </c>
      <c r="K354" s="326">
        <f t="shared" si="108"/>
        <v>0</v>
      </c>
      <c r="L354" s="326">
        <f t="shared" si="108"/>
        <v>0</v>
      </c>
      <c r="M354" s="326">
        <f t="shared" si="108"/>
        <v>0</v>
      </c>
      <c r="N354" s="325">
        <v>5</v>
      </c>
      <c r="O354" s="321">
        <f t="shared" si="92"/>
        <v>1</v>
      </c>
      <c r="P354" s="322" t="str">
        <f t="shared" si="93"/>
        <v>Ukraine</v>
      </c>
      <c r="Q354" s="321">
        <f t="shared" ca="1" si="94"/>
        <v>0</v>
      </c>
      <c r="R354" s="321">
        <f t="shared" ca="1" si="95"/>
        <v>0</v>
      </c>
    </row>
    <row r="355" spans="1:18" x14ac:dyDescent="0.2">
      <c r="A355" s="321">
        <f>$AE$236</f>
        <v>1</v>
      </c>
      <c r="B355" s="321" t="s">
        <v>661</v>
      </c>
      <c r="C355" s="321">
        <f t="shared" ref="C355:M358" si="109">AC243</f>
        <v>21</v>
      </c>
      <c r="D355" s="321">
        <f t="shared" si="109"/>
        <v>1</v>
      </c>
      <c r="E355" s="325" t="str">
        <f t="shared" si="109"/>
        <v>TUR</v>
      </c>
      <c r="F355" s="326">
        <f t="shared" si="109"/>
        <v>0</v>
      </c>
      <c r="G355" s="326">
        <f t="shared" si="109"/>
        <v>0</v>
      </c>
      <c r="H355" s="326">
        <f t="shared" si="109"/>
        <v>0</v>
      </c>
      <c r="I355" s="326">
        <f t="shared" si="109"/>
        <v>0</v>
      </c>
      <c r="J355" s="326">
        <f t="shared" si="109"/>
        <v>0</v>
      </c>
      <c r="K355" s="326">
        <f t="shared" si="109"/>
        <v>0</v>
      </c>
      <c r="L355" s="326">
        <f t="shared" si="109"/>
        <v>0</v>
      </c>
      <c r="M355" s="326">
        <f t="shared" si="109"/>
        <v>0</v>
      </c>
      <c r="N355" s="325">
        <v>6</v>
      </c>
      <c r="O355" s="321">
        <f t="shared" si="92"/>
        <v>1</v>
      </c>
      <c r="P355" s="322" t="str">
        <f t="shared" si="93"/>
        <v>Türkei</v>
      </c>
      <c r="Q355" s="321">
        <f t="shared" ca="1" si="94"/>
        <v>0</v>
      </c>
      <c r="R355" s="321">
        <f t="shared" ca="1" si="95"/>
        <v>0</v>
      </c>
    </row>
    <row r="356" spans="1:18" x14ac:dyDescent="0.2">
      <c r="A356" s="321">
        <f>$AE$237</f>
        <v>1</v>
      </c>
      <c r="B356" s="321" t="s">
        <v>663</v>
      </c>
      <c r="C356" s="321">
        <f t="shared" si="109"/>
        <v>22</v>
      </c>
      <c r="D356" s="321">
        <f t="shared" si="109"/>
        <v>2</v>
      </c>
      <c r="E356" s="325" t="str">
        <f t="shared" si="109"/>
        <v>GEO</v>
      </c>
      <c r="F356" s="326">
        <f t="shared" si="109"/>
        <v>0</v>
      </c>
      <c r="G356" s="326">
        <f t="shared" si="109"/>
        <v>0</v>
      </c>
      <c r="H356" s="326">
        <f t="shared" si="109"/>
        <v>0</v>
      </c>
      <c r="I356" s="326">
        <f t="shared" si="109"/>
        <v>0</v>
      </c>
      <c r="J356" s="326">
        <f t="shared" si="109"/>
        <v>0</v>
      </c>
      <c r="K356" s="326">
        <f t="shared" si="109"/>
        <v>0</v>
      </c>
      <c r="L356" s="326">
        <f t="shared" si="109"/>
        <v>0</v>
      </c>
      <c r="M356" s="326">
        <f t="shared" si="109"/>
        <v>0</v>
      </c>
      <c r="N356" s="325">
        <v>6</v>
      </c>
      <c r="O356" s="321">
        <f t="shared" si="92"/>
        <v>1</v>
      </c>
      <c r="P356" s="322" t="str">
        <f t="shared" si="93"/>
        <v>Georgien</v>
      </c>
      <c r="Q356" s="321">
        <f t="shared" ca="1" si="94"/>
        <v>0</v>
      </c>
      <c r="R356" s="321">
        <f t="shared" ca="1" si="95"/>
        <v>0</v>
      </c>
    </row>
    <row r="357" spans="1:18" x14ac:dyDescent="0.2">
      <c r="A357" s="321">
        <f>$AE$238</f>
        <v>1</v>
      </c>
      <c r="B357" s="321" t="s">
        <v>665</v>
      </c>
      <c r="C357" s="321">
        <f t="shared" si="109"/>
        <v>23</v>
      </c>
      <c r="D357" s="321">
        <f t="shared" si="109"/>
        <v>3</v>
      </c>
      <c r="E357" s="325" t="str">
        <f t="shared" si="109"/>
        <v>POR</v>
      </c>
      <c r="F357" s="326">
        <f t="shared" si="109"/>
        <v>0</v>
      </c>
      <c r="G357" s="326">
        <f t="shared" si="109"/>
        <v>0</v>
      </c>
      <c r="H357" s="326">
        <f t="shared" si="109"/>
        <v>0</v>
      </c>
      <c r="I357" s="326">
        <f t="shared" si="109"/>
        <v>0</v>
      </c>
      <c r="J357" s="326">
        <f t="shared" si="109"/>
        <v>0</v>
      </c>
      <c r="K357" s="326">
        <f t="shared" si="109"/>
        <v>0</v>
      </c>
      <c r="L357" s="326">
        <f t="shared" si="109"/>
        <v>0</v>
      </c>
      <c r="M357" s="326">
        <f t="shared" si="109"/>
        <v>0</v>
      </c>
      <c r="N357" s="325">
        <v>6</v>
      </c>
      <c r="O357" s="321">
        <f t="shared" si="92"/>
        <v>1</v>
      </c>
      <c r="P357" s="322" t="str">
        <f t="shared" si="93"/>
        <v>Portugal</v>
      </c>
      <c r="Q357" s="321">
        <f t="shared" ca="1" si="94"/>
        <v>0</v>
      </c>
      <c r="R357" s="321">
        <f t="shared" ca="1" si="95"/>
        <v>0</v>
      </c>
    </row>
    <row r="358" spans="1:18" x14ac:dyDescent="0.2">
      <c r="A358" s="321">
        <f>$AE$239</f>
        <v>1</v>
      </c>
      <c r="B358" s="321" t="s">
        <v>430</v>
      </c>
      <c r="C358" s="321">
        <f t="shared" si="109"/>
        <v>24</v>
      </c>
      <c r="D358" s="321">
        <f t="shared" si="109"/>
        <v>4</v>
      </c>
      <c r="E358" s="325" t="str">
        <f t="shared" si="109"/>
        <v>CZE</v>
      </c>
      <c r="F358" s="326">
        <f t="shared" si="109"/>
        <v>0</v>
      </c>
      <c r="G358" s="326">
        <f t="shared" si="109"/>
        <v>0</v>
      </c>
      <c r="H358" s="326">
        <f t="shared" si="109"/>
        <v>0</v>
      </c>
      <c r="I358" s="326">
        <f t="shared" si="109"/>
        <v>0</v>
      </c>
      <c r="J358" s="326">
        <f t="shared" si="109"/>
        <v>0</v>
      </c>
      <c r="K358" s="326">
        <f t="shared" si="109"/>
        <v>0</v>
      </c>
      <c r="L358" s="326">
        <f t="shared" si="109"/>
        <v>0</v>
      </c>
      <c r="M358" s="326">
        <f t="shared" si="109"/>
        <v>0</v>
      </c>
      <c r="N358" s="325">
        <v>6</v>
      </c>
      <c r="O358" s="321">
        <f t="shared" si="92"/>
        <v>1</v>
      </c>
      <c r="P358" s="322" t="str">
        <f t="shared" si="93"/>
        <v>Tschechien</v>
      </c>
      <c r="Q358" s="321">
        <f t="shared" ca="1" si="94"/>
        <v>0</v>
      </c>
      <c r="R358" s="321">
        <f t="shared" ca="1" si="95"/>
        <v>0</v>
      </c>
    </row>
    <row r="359" spans="1:18" x14ac:dyDescent="0.2">
      <c r="F359" s="327"/>
      <c r="G359" s="327"/>
      <c r="H359" s="327"/>
      <c r="I359" s="327"/>
      <c r="J359" s="327"/>
      <c r="K359" s="327"/>
      <c r="L359" s="327"/>
      <c r="M359" s="327"/>
    </row>
    <row r="360" spans="1:18" x14ac:dyDescent="0.2">
      <c r="F360" s="327"/>
      <c r="G360" s="327"/>
      <c r="H360" s="327"/>
      <c r="I360" s="327"/>
      <c r="J360" s="327"/>
      <c r="K360" s="327"/>
      <c r="L360" s="327"/>
      <c r="M360" s="327"/>
      <c r="O360" s="321" t="b">
        <v>0</v>
      </c>
    </row>
    <row r="361" spans="1:18" x14ac:dyDescent="0.2">
      <c r="B361" s="325" t="s">
        <v>690</v>
      </c>
      <c r="C361" s="325" t="s">
        <v>1022</v>
      </c>
      <c r="D361" s="325" t="s">
        <v>996</v>
      </c>
      <c r="E361" s="325" t="s">
        <v>975</v>
      </c>
      <c r="F361" s="326" t="s">
        <v>108</v>
      </c>
      <c r="G361" s="326" t="s">
        <v>1026</v>
      </c>
      <c r="H361" s="326" t="s">
        <v>587</v>
      </c>
      <c r="I361" s="326" t="s">
        <v>1027</v>
      </c>
      <c r="J361" s="326" t="s">
        <v>1028</v>
      </c>
      <c r="K361" s="326" t="s">
        <v>999</v>
      </c>
      <c r="L361" s="327" t="s">
        <v>1003</v>
      </c>
      <c r="M361" s="327" t="s">
        <v>994</v>
      </c>
      <c r="N361" s="321" t="s">
        <v>1020</v>
      </c>
      <c r="O361" s="321" t="s">
        <v>1024</v>
      </c>
      <c r="P361" s="321" t="s">
        <v>1032</v>
      </c>
    </row>
    <row r="362" spans="1:18" x14ac:dyDescent="0.2">
      <c r="A362" s="321" t="s">
        <v>906</v>
      </c>
      <c r="B362" s="325" t="str">
        <f t="shared" ref="B362:K362" si="110">A81</f>
        <v>DA</v>
      </c>
      <c r="C362" s="325">
        <f t="shared" si="110"/>
        <v>3</v>
      </c>
      <c r="D362" s="325">
        <f t="shared" si="110"/>
        <v>3</v>
      </c>
      <c r="E362" s="325">
        <f t="shared" si="110"/>
        <v>3</v>
      </c>
      <c r="F362" s="326" t="str">
        <f t="shared" si="110"/>
        <v>HUN</v>
      </c>
      <c r="G362" s="326">
        <f t="shared" si="110"/>
        <v>0</v>
      </c>
      <c r="H362" s="326">
        <f t="shared" si="110"/>
        <v>0</v>
      </c>
      <c r="I362" s="326">
        <f t="shared" si="110"/>
        <v>0</v>
      </c>
      <c r="J362" s="326">
        <f t="shared" si="110"/>
        <v>0</v>
      </c>
      <c r="K362" s="326">
        <f t="shared" si="110"/>
        <v>0</v>
      </c>
      <c r="L362" s="327">
        <f t="shared" ref="L362:L367" si="111">H362*10000+K362*100+I362</f>
        <v>0</v>
      </c>
      <c r="M362" s="327">
        <f t="shared" ref="M362:M367" si="112">RANK(L362,$L$362:$L$367)</f>
        <v>1</v>
      </c>
      <c r="N362" s="321">
        <f>M362+COUNTIF(M$361:M361,"="&amp;M362)</f>
        <v>1</v>
      </c>
      <c r="O362" s="321">
        <v>1</v>
      </c>
      <c r="P362" s="321">
        <f t="shared" ref="P362:P367" si="113">IF($O$360,O362,N362)</f>
        <v>1</v>
      </c>
      <c r="Q362" s="321" t="s">
        <v>581</v>
      </c>
    </row>
    <row r="363" spans="1:18" x14ac:dyDescent="0.2">
      <c r="A363" s="321" t="s">
        <v>918</v>
      </c>
      <c r="B363" s="325" t="str">
        <f t="shared" ref="B363:K363" si="114">AA81</f>
        <v>DB</v>
      </c>
      <c r="C363" s="325">
        <f t="shared" si="114"/>
        <v>3</v>
      </c>
      <c r="D363" s="325">
        <f t="shared" si="114"/>
        <v>7</v>
      </c>
      <c r="E363" s="325">
        <f t="shared" si="114"/>
        <v>3</v>
      </c>
      <c r="F363" s="326" t="str">
        <f t="shared" si="114"/>
        <v>ITA</v>
      </c>
      <c r="G363" s="326">
        <f t="shared" si="114"/>
        <v>0</v>
      </c>
      <c r="H363" s="326">
        <f t="shared" si="114"/>
        <v>0</v>
      </c>
      <c r="I363" s="326">
        <f t="shared" si="114"/>
        <v>0</v>
      </c>
      <c r="J363" s="326">
        <f t="shared" si="114"/>
        <v>0</v>
      </c>
      <c r="K363" s="326">
        <f t="shared" si="114"/>
        <v>0</v>
      </c>
      <c r="L363" s="327">
        <f t="shared" si="111"/>
        <v>0</v>
      </c>
      <c r="M363" s="327">
        <f t="shared" si="112"/>
        <v>1</v>
      </c>
      <c r="N363" s="321">
        <f>M363+COUNTIF(M$361:M362,"="&amp;M363)</f>
        <v>2</v>
      </c>
      <c r="O363" s="321">
        <v>2</v>
      </c>
      <c r="P363" s="321">
        <f t="shared" si="113"/>
        <v>2</v>
      </c>
      <c r="Q363" s="321" t="s">
        <v>601</v>
      </c>
    </row>
    <row r="364" spans="1:18" x14ac:dyDescent="0.2">
      <c r="A364" s="321" t="s">
        <v>930</v>
      </c>
      <c r="B364" s="325" t="str">
        <f t="shared" ref="B364:K364" si="115">A163</f>
        <v>DC</v>
      </c>
      <c r="C364" s="325">
        <f t="shared" si="115"/>
        <v>3</v>
      </c>
      <c r="D364" s="325">
        <f t="shared" si="115"/>
        <v>11</v>
      </c>
      <c r="E364" s="325">
        <f t="shared" si="115"/>
        <v>3</v>
      </c>
      <c r="F364" s="326" t="str">
        <f t="shared" si="115"/>
        <v>SRB</v>
      </c>
      <c r="G364" s="326">
        <f t="shared" si="115"/>
        <v>0</v>
      </c>
      <c r="H364" s="326">
        <f t="shared" si="115"/>
        <v>0</v>
      </c>
      <c r="I364" s="326">
        <f t="shared" si="115"/>
        <v>0</v>
      </c>
      <c r="J364" s="326">
        <f t="shared" si="115"/>
        <v>0</v>
      </c>
      <c r="K364" s="326">
        <f t="shared" si="115"/>
        <v>0</v>
      </c>
      <c r="L364" s="327">
        <f t="shared" si="111"/>
        <v>0</v>
      </c>
      <c r="M364" s="327">
        <f t="shared" si="112"/>
        <v>1</v>
      </c>
      <c r="N364" s="321">
        <f>M364+COUNTIF(M$361:M363,"="&amp;M364)</f>
        <v>3</v>
      </c>
      <c r="O364" s="321">
        <v>3</v>
      </c>
      <c r="P364" s="321">
        <f t="shared" si="113"/>
        <v>3</v>
      </c>
      <c r="Q364" s="321" t="s">
        <v>613</v>
      </c>
    </row>
    <row r="365" spans="1:18" x14ac:dyDescent="0.2">
      <c r="A365" s="321" t="s">
        <v>673</v>
      </c>
      <c r="B365" s="325" t="str">
        <f t="shared" ref="B365:K365" si="116">AA163</f>
        <v>DD</v>
      </c>
      <c r="C365" s="325">
        <f t="shared" si="116"/>
        <v>3</v>
      </c>
      <c r="D365" s="325">
        <f t="shared" si="116"/>
        <v>15</v>
      </c>
      <c r="E365" s="325">
        <f t="shared" si="116"/>
        <v>3</v>
      </c>
      <c r="F365" s="326" t="str">
        <f t="shared" si="116"/>
        <v>AUT</v>
      </c>
      <c r="G365" s="326">
        <f t="shared" si="116"/>
        <v>0</v>
      </c>
      <c r="H365" s="326">
        <f t="shared" si="116"/>
        <v>0</v>
      </c>
      <c r="I365" s="326">
        <f t="shared" si="116"/>
        <v>0</v>
      </c>
      <c r="J365" s="326">
        <f t="shared" si="116"/>
        <v>0</v>
      </c>
      <c r="K365" s="326">
        <f t="shared" si="116"/>
        <v>0</v>
      </c>
      <c r="L365" s="327">
        <f t="shared" si="111"/>
        <v>0</v>
      </c>
      <c r="M365" s="327">
        <f t="shared" si="112"/>
        <v>1</v>
      </c>
      <c r="N365" s="321">
        <f>M365+COUNTIF(M$361:M364,"="&amp;M365)</f>
        <v>4</v>
      </c>
      <c r="O365" s="321">
        <v>4</v>
      </c>
      <c r="P365" s="321">
        <f t="shared" si="113"/>
        <v>4</v>
      </c>
      <c r="Q365" s="321" t="s">
        <v>608</v>
      </c>
    </row>
    <row r="366" spans="1:18" x14ac:dyDescent="0.2">
      <c r="A366" s="321" t="s">
        <v>942</v>
      </c>
      <c r="B366" s="325" t="str">
        <f t="shared" ref="B366:K366" si="117">A245</f>
        <v>DE</v>
      </c>
      <c r="C366" s="325">
        <f t="shared" si="117"/>
        <v>3</v>
      </c>
      <c r="D366" s="325">
        <f t="shared" si="117"/>
        <v>19</v>
      </c>
      <c r="E366" s="325">
        <f t="shared" si="117"/>
        <v>3</v>
      </c>
      <c r="F366" s="326" t="str">
        <f t="shared" si="117"/>
        <v>ROM</v>
      </c>
      <c r="G366" s="326">
        <f t="shared" si="117"/>
        <v>0</v>
      </c>
      <c r="H366" s="326">
        <f t="shared" si="117"/>
        <v>0</v>
      </c>
      <c r="I366" s="326">
        <f t="shared" si="117"/>
        <v>0</v>
      </c>
      <c r="J366" s="326">
        <f t="shared" si="117"/>
        <v>0</v>
      </c>
      <c r="K366" s="326">
        <f t="shared" si="117"/>
        <v>0</v>
      </c>
      <c r="L366" s="327">
        <f t="shared" si="111"/>
        <v>0</v>
      </c>
      <c r="M366" s="327">
        <f t="shared" si="112"/>
        <v>1</v>
      </c>
      <c r="N366" s="321">
        <f>M366+COUNTIF(M$361:M365,"="&amp;M366)</f>
        <v>5</v>
      </c>
      <c r="O366" s="321">
        <v>5</v>
      </c>
      <c r="P366" s="321">
        <f t="shared" si="113"/>
        <v>5</v>
      </c>
      <c r="Q366" s="321" t="s">
        <v>487</v>
      </c>
    </row>
    <row r="367" spans="1:18" x14ac:dyDescent="0.2">
      <c r="A367" s="321" t="s">
        <v>946</v>
      </c>
      <c r="B367" s="325" t="str">
        <f t="shared" ref="B367:K367" si="118">AA245</f>
        <v>DF</v>
      </c>
      <c r="C367" s="325">
        <f t="shared" si="118"/>
        <v>3</v>
      </c>
      <c r="D367" s="325">
        <f t="shared" si="118"/>
        <v>23</v>
      </c>
      <c r="E367" s="325">
        <f t="shared" si="118"/>
        <v>3</v>
      </c>
      <c r="F367" s="325" t="str">
        <f t="shared" si="118"/>
        <v>POR</v>
      </c>
      <c r="G367" s="325">
        <f t="shared" si="118"/>
        <v>0</v>
      </c>
      <c r="H367" s="325">
        <f t="shared" si="118"/>
        <v>0</v>
      </c>
      <c r="I367" s="325">
        <f t="shared" si="118"/>
        <v>0</v>
      </c>
      <c r="J367" s="325">
        <f t="shared" si="118"/>
        <v>0</v>
      </c>
      <c r="K367" s="325">
        <f t="shared" si="118"/>
        <v>0</v>
      </c>
      <c r="L367" s="327">
        <f t="shared" si="111"/>
        <v>0</v>
      </c>
      <c r="M367" s="327">
        <f t="shared" si="112"/>
        <v>1</v>
      </c>
      <c r="N367" s="321">
        <f>M367+COUNTIF(M$361:M366,"="&amp;M367)</f>
        <v>6</v>
      </c>
      <c r="O367" s="321">
        <v>6</v>
      </c>
      <c r="P367" s="321">
        <f t="shared" si="113"/>
        <v>6</v>
      </c>
      <c r="Q367" s="321" t="s">
        <v>632</v>
      </c>
    </row>
    <row r="369" spans="6:17" x14ac:dyDescent="0.2">
      <c r="Q369" s="321" t="s">
        <v>1033</v>
      </c>
    </row>
    <row r="370" spans="6:17" x14ac:dyDescent="0.2">
      <c r="H370" s="325" t="s">
        <v>61</v>
      </c>
      <c r="I370" s="325" t="s">
        <v>62</v>
      </c>
      <c r="J370" s="325" t="s">
        <v>64</v>
      </c>
      <c r="K370" s="325" t="s">
        <v>65</v>
      </c>
      <c r="N370" s="325" t="s">
        <v>1034</v>
      </c>
      <c r="O370" s="325" t="s">
        <v>1035</v>
      </c>
      <c r="P370" s="325" t="s">
        <v>1036</v>
      </c>
      <c r="Q370" s="323" t="b">
        <f>Tippabgabe!DP80</f>
        <v>0</v>
      </c>
    </row>
    <row r="371" spans="6:17" x14ac:dyDescent="0.2">
      <c r="G371" s="328" t="s">
        <v>1037</v>
      </c>
      <c r="H371" s="329">
        <v>1</v>
      </c>
      <c r="I371" s="329">
        <v>7</v>
      </c>
      <c r="J371" s="329">
        <v>5</v>
      </c>
      <c r="K371" s="329">
        <v>3</v>
      </c>
      <c r="M371" s="321">
        <v>1</v>
      </c>
      <c r="N371" s="329">
        <f>MATCH(M371,$P$362:$P$367,0)</f>
        <v>1</v>
      </c>
      <c r="O371" s="329">
        <f>IF(Q370,Q371,MIN(N371:N374))</f>
        <v>1</v>
      </c>
      <c r="P371" s="329" t="str">
        <f>INDEX($Q$362:$Q$367,O371)</f>
        <v>A</v>
      </c>
      <c r="Q371" s="322">
        <f>IF(Q$370,SMALL(Tippabgabe!$DP$81:$DP$86,M371),N371)</f>
        <v>1</v>
      </c>
    </row>
    <row r="372" spans="6:17" x14ac:dyDescent="0.2">
      <c r="F372" s="321" t="s">
        <v>1038</v>
      </c>
      <c r="H372" s="329" t="s">
        <v>913</v>
      </c>
      <c r="I372" s="329" t="s">
        <v>922</v>
      </c>
      <c r="J372" s="329" t="s">
        <v>938</v>
      </c>
      <c r="K372" s="329" t="s">
        <v>944</v>
      </c>
      <c r="M372" s="321">
        <v>2</v>
      </c>
      <c r="N372" s="329">
        <f>MATCH(M372,$P$362:$P$367,0)</f>
        <v>2</v>
      </c>
      <c r="O372" s="329">
        <f>IF(Q370,Q372,SMALL(N371:N374,2))</f>
        <v>2</v>
      </c>
      <c r="P372" s="329" t="str">
        <f>INDEX($Q$362:$Q$367,O372)</f>
        <v>B</v>
      </c>
      <c r="Q372" s="322">
        <f>IF(Q$370,SMALL(Tippabgabe!$DP$81:$DP$86,M372),N372)</f>
        <v>2</v>
      </c>
    </row>
    <row r="373" spans="6:17" x14ac:dyDescent="0.2">
      <c r="F373" s="321">
        <v>1</v>
      </c>
      <c r="G373" s="321" t="s">
        <v>969</v>
      </c>
      <c r="H373" s="329" t="s">
        <v>906</v>
      </c>
      <c r="I373" s="329" t="s">
        <v>673</v>
      </c>
      <c r="J373" s="329" t="s">
        <v>918</v>
      </c>
      <c r="K373" s="329" t="s">
        <v>930</v>
      </c>
      <c r="M373" s="321">
        <v>3</v>
      </c>
      <c r="N373" s="329">
        <f>MATCH(M373,$P$362:$P$367,0)</f>
        <v>3</v>
      </c>
      <c r="O373" s="329">
        <f>IF(Q370,Q373,SMALL(N371:N374,3))</f>
        <v>3</v>
      </c>
      <c r="P373" s="329" t="str">
        <f>INDEX($Q$362:$Q$367,O373)</f>
        <v>C</v>
      </c>
      <c r="Q373" s="322">
        <f>IF(Q$370,SMALL(Tippabgabe!$DP$81:$DP$86,M373),N373)</f>
        <v>3</v>
      </c>
    </row>
    <row r="374" spans="6:17" x14ac:dyDescent="0.2">
      <c r="F374" s="321">
        <v>2</v>
      </c>
      <c r="G374" s="321" t="s">
        <v>1039</v>
      </c>
      <c r="H374" s="329" t="s">
        <v>906</v>
      </c>
      <c r="I374" s="329" t="s">
        <v>942</v>
      </c>
      <c r="J374" s="329" t="s">
        <v>918</v>
      </c>
      <c r="K374" s="329" t="s">
        <v>930</v>
      </c>
      <c r="M374" s="321">
        <v>4</v>
      </c>
      <c r="N374" s="329">
        <f>MATCH(M374,$P$362:$P$367,0)</f>
        <v>4</v>
      </c>
      <c r="O374" s="329">
        <f>IF(Q370,Q374,SMALL(N371:N374,4))</f>
        <v>4</v>
      </c>
      <c r="P374" s="329" t="str">
        <f>INDEX($Q$362:$Q$367,O374)</f>
        <v>D</v>
      </c>
      <c r="Q374" s="322">
        <f>IF(Q$370,SMALL(Tippabgabe!$DP$81:$DP$86,M374),N374)</f>
        <v>4</v>
      </c>
    </row>
    <row r="375" spans="6:17" x14ac:dyDescent="0.2">
      <c r="F375" s="321">
        <v>3</v>
      </c>
      <c r="G375" s="321" t="s">
        <v>1040</v>
      </c>
      <c r="H375" s="329" t="s">
        <v>906</v>
      </c>
      <c r="I375" s="329" t="s">
        <v>946</v>
      </c>
      <c r="J375" s="329" t="s">
        <v>918</v>
      </c>
      <c r="K375" s="329" t="s">
        <v>930</v>
      </c>
    </row>
    <row r="376" spans="6:17" x14ac:dyDescent="0.2">
      <c r="F376" s="321">
        <v>4</v>
      </c>
      <c r="G376" s="321" t="s">
        <v>1041</v>
      </c>
      <c r="H376" s="329" t="s">
        <v>673</v>
      </c>
      <c r="I376" s="329" t="s">
        <v>942</v>
      </c>
      <c r="J376" s="329" t="s">
        <v>906</v>
      </c>
      <c r="K376" s="329" t="s">
        <v>918</v>
      </c>
    </row>
    <row r="377" spans="6:17" x14ac:dyDescent="0.2">
      <c r="F377" s="321">
        <v>5</v>
      </c>
      <c r="G377" s="321" t="s">
        <v>1042</v>
      </c>
      <c r="H377" s="329" t="s">
        <v>673</v>
      </c>
      <c r="I377" s="329" t="s">
        <v>946</v>
      </c>
      <c r="J377" s="329" t="s">
        <v>906</v>
      </c>
      <c r="K377" s="329" t="s">
        <v>918</v>
      </c>
    </row>
    <row r="378" spans="6:17" x14ac:dyDescent="0.2">
      <c r="F378" s="321">
        <v>6</v>
      </c>
      <c r="G378" s="321" t="s">
        <v>1043</v>
      </c>
      <c r="H378" s="329" t="s">
        <v>942</v>
      </c>
      <c r="I378" s="329" t="s">
        <v>946</v>
      </c>
      <c r="J378" s="329" t="s">
        <v>918</v>
      </c>
      <c r="K378" s="329" t="s">
        <v>906</v>
      </c>
    </row>
    <row r="379" spans="6:17" x14ac:dyDescent="0.2">
      <c r="F379" s="321">
        <v>7</v>
      </c>
      <c r="G379" s="321" t="s">
        <v>1044</v>
      </c>
      <c r="H379" s="329" t="s">
        <v>942</v>
      </c>
      <c r="I379" s="329" t="s">
        <v>673</v>
      </c>
      <c r="J379" s="329" t="s">
        <v>930</v>
      </c>
      <c r="K379" s="329" t="s">
        <v>906</v>
      </c>
    </row>
    <row r="380" spans="6:17" x14ac:dyDescent="0.2">
      <c r="F380" s="321">
        <v>8</v>
      </c>
      <c r="G380" s="321" t="s">
        <v>1045</v>
      </c>
      <c r="H380" s="329" t="s">
        <v>946</v>
      </c>
      <c r="I380" s="329" t="s">
        <v>673</v>
      </c>
      <c r="J380" s="329" t="s">
        <v>930</v>
      </c>
      <c r="K380" s="329" t="s">
        <v>906</v>
      </c>
    </row>
    <row r="381" spans="6:17" x14ac:dyDescent="0.2">
      <c r="F381" s="321">
        <v>9</v>
      </c>
      <c r="G381" s="321" t="s">
        <v>1046</v>
      </c>
      <c r="H381" s="329" t="s">
        <v>942</v>
      </c>
      <c r="I381" s="329" t="s">
        <v>946</v>
      </c>
      <c r="J381" s="329" t="s">
        <v>930</v>
      </c>
      <c r="K381" s="329" t="s">
        <v>906</v>
      </c>
    </row>
    <row r="382" spans="6:17" x14ac:dyDescent="0.2">
      <c r="F382" s="321">
        <v>10</v>
      </c>
      <c r="G382" s="321" t="s">
        <v>967</v>
      </c>
      <c r="H382" s="329" t="s">
        <v>942</v>
      </c>
      <c r="I382" s="329" t="s">
        <v>946</v>
      </c>
      <c r="J382" s="329" t="s">
        <v>673</v>
      </c>
      <c r="K382" s="329" t="s">
        <v>906</v>
      </c>
    </row>
    <row r="383" spans="6:17" x14ac:dyDescent="0.2">
      <c r="F383" s="321">
        <v>11</v>
      </c>
      <c r="G383" s="321" t="s">
        <v>1047</v>
      </c>
      <c r="H383" s="329" t="s">
        <v>942</v>
      </c>
      <c r="I383" s="329" t="s">
        <v>673</v>
      </c>
      <c r="J383" s="329" t="s">
        <v>918</v>
      </c>
      <c r="K383" s="329" t="s">
        <v>930</v>
      </c>
    </row>
    <row r="384" spans="6:17" x14ac:dyDescent="0.2">
      <c r="F384" s="321">
        <v>12</v>
      </c>
      <c r="G384" s="321" t="s">
        <v>1048</v>
      </c>
      <c r="H384" s="329" t="s">
        <v>946</v>
      </c>
      <c r="I384" s="329" t="s">
        <v>673</v>
      </c>
      <c r="J384" s="329" t="s">
        <v>930</v>
      </c>
      <c r="K384" s="329" t="s">
        <v>918</v>
      </c>
    </row>
    <row r="385" spans="1:29" x14ac:dyDescent="0.2">
      <c r="F385" s="321">
        <v>13</v>
      </c>
      <c r="G385" s="321" t="s">
        <v>1049</v>
      </c>
      <c r="H385" s="329" t="s">
        <v>946</v>
      </c>
      <c r="I385" s="329" t="s">
        <v>942</v>
      </c>
      <c r="J385" s="329" t="s">
        <v>930</v>
      </c>
      <c r="K385" s="329" t="s">
        <v>918</v>
      </c>
    </row>
    <row r="386" spans="1:29" x14ac:dyDescent="0.2">
      <c r="F386" s="321">
        <v>14</v>
      </c>
      <c r="G386" s="321" t="s">
        <v>1050</v>
      </c>
      <c r="H386" s="329" t="s">
        <v>946</v>
      </c>
      <c r="I386" s="329" t="s">
        <v>942</v>
      </c>
      <c r="J386" s="329" t="s">
        <v>673</v>
      </c>
      <c r="K386" s="329" t="s">
        <v>918</v>
      </c>
    </row>
    <row r="387" spans="1:29" x14ac:dyDescent="0.2">
      <c r="F387" s="321">
        <v>15</v>
      </c>
      <c r="G387" s="321" t="s">
        <v>1051</v>
      </c>
      <c r="H387" s="329" t="s">
        <v>946</v>
      </c>
      <c r="I387" s="329" t="s">
        <v>942</v>
      </c>
      <c r="J387" s="329" t="s">
        <v>673</v>
      </c>
      <c r="K387" s="329" t="s">
        <v>930</v>
      </c>
    </row>
    <row r="389" spans="1:29" x14ac:dyDescent="0.2">
      <c r="H389" s="325" t="str">
        <f>LEFT(H390,1)</f>
        <v>A</v>
      </c>
      <c r="I389" s="325" t="str">
        <f>LEFT(I390,1)</f>
        <v>D</v>
      </c>
      <c r="J389" s="325" t="str">
        <f>LEFT(J390,1)</f>
        <v>B</v>
      </c>
      <c r="K389" s="325" t="str">
        <f>LEFT(K390,1)</f>
        <v>C</v>
      </c>
    </row>
    <row r="390" spans="1:29" x14ac:dyDescent="0.2">
      <c r="G390" s="321" t="str">
        <f>P371&amp;P372&amp;P373&amp;P374</f>
        <v>ABCD</v>
      </c>
      <c r="H390" s="325" t="str">
        <f>VLOOKUP($G390,$G$373:$K$387,2,FALSE)</f>
        <v>A3</v>
      </c>
      <c r="I390" s="325" t="str">
        <f>VLOOKUP($G390,$G$373:$K$387,3,FALSE)</f>
        <v>D3</v>
      </c>
      <c r="J390" s="325" t="str">
        <f>VLOOKUP($G390,$G$373:$K$387,4,FALSE)</f>
        <v>B3</v>
      </c>
      <c r="K390" s="325" t="str">
        <f>VLOOKUP($G390,$G$373:$K$387,5,FALSE)</f>
        <v>C3</v>
      </c>
    </row>
    <row r="391" spans="1:29" x14ac:dyDescent="0.2">
      <c r="H391" s="325">
        <f>VLOOKUP(H390,$A$362:$D$367,4,FALSE)</f>
        <v>3</v>
      </c>
      <c r="I391" s="325">
        <f>VLOOKUP(I390,$A$362:$D$367,4,FALSE)</f>
        <v>15</v>
      </c>
      <c r="J391" s="325">
        <f>VLOOKUP(J390,$A$362:$D$367,4,FALSE)</f>
        <v>7</v>
      </c>
      <c r="K391" s="325">
        <f>VLOOKUP(K390,$A$362:$D$367,4,FALSE)</f>
        <v>11</v>
      </c>
    </row>
    <row r="392" spans="1:29" x14ac:dyDescent="0.2">
      <c r="H392" s="325" t="str">
        <f>IF(SUM($F$335:$F$358)=0,"x",INDEX(teams_k,H391))</f>
        <v>x</v>
      </c>
      <c r="I392" s="325" t="str">
        <f>IF(SUM($F$335:$F$358)=0,"x",INDEX(teams_k,I391))</f>
        <v>x</v>
      </c>
      <c r="J392" s="325" t="str">
        <f>IF(SUM($F$335:$F$358)=0,"x",INDEX(teams_k,J391))</f>
        <v>x</v>
      </c>
      <c r="K392" s="325" t="str">
        <f>IF(SUM($F$335:$F$358)=0,"x",INDEX(teams_k,K391))</f>
        <v>x</v>
      </c>
    </row>
    <row r="393" spans="1:29" x14ac:dyDescent="0.2">
      <c r="A393" s="322" t="s">
        <v>1052</v>
      </c>
      <c r="E393" s="322"/>
      <c r="F393" s="322"/>
      <c r="G393" s="322"/>
      <c r="H393" s="322"/>
      <c r="I393" s="322"/>
      <c r="J393" s="322"/>
      <c r="K393" s="322"/>
      <c r="L393" s="322"/>
      <c r="M393" s="322"/>
      <c r="N393" s="322"/>
      <c r="O393" s="322"/>
      <c r="P393" s="322"/>
      <c r="Q393" s="322" t="s">
        <v>1053</v>
      </c>
      <c r="R393" s="322"/>
      <c r="S393" s="322" t="s">
        <v>1054</v>
      </c>
      <c r="T393" s="322"/>
      <c r="U393" s="322" t="s">
        <v>394</v>
      </c>
      <c r="V393" s="322"/>
      <c r="W393" s="322"/>
      <c r="X393" s="322"/>
      <c r="Y393" s="322"/>
      <c r="Z393" s="322"/>
      <c r="AA393" s="322"/>
      <c r="AB393" s="322"/>
      <c r="AC393" s="322"/>
    </row>
    <row r="394" spans="1:29" x14ac:dyDescent="0.2">
      <c r="D394" s="322" t="s">
        <v>1055</v>
      </c>
      <c r="E394" s="322" t="s">
        <v>494</v>
      </c>
      <c r="F394" s="322"/>
      <c r="G394" s="322"/>
      <c r="H394" s="329" t="s">
        <v>1056</v>
      </c>
      <c r="I394" s="329"/>
      <c r="J394" s="322" t="s">
        <v>1057</v>
      </c>
      <c r="K394" s="322"/>
      <c r="L394" s="322"/>
      <c r="M394" s="322" t="s">
        <v>1058</v>
      </c>
      <c r="N394" s="322"/>
      <c r="O394" s="322" t="s">
        <v>1059</v>
      </c>
      <c r="P394" s="322"/>
      <c r="Q394" s="322"/>
      <c r="R394" s="322"/>
      <c r="S394" s="322"/>
      <c r="T394" s="322"/>
      <c r="U394" s="322"/>
      <c r="V394" s="322"/>
      <c r="W394" s="322"/>
      <c r="X394" s="322"/>
      <c r="Y394" s="322"/>
      <c r="Z394" s="322"/>
      <c r="AA394" s="322"/>
      <c r="AB394" s="322"/>
      <c r="AC394" s="322"/>
    </row>
    <row r="395" spans="1:29" x14ac:dyDescent="0.2">
      <c r="A395" s="321" t="s">
        <v>615</v>
      </c>
      <c r="B395" s="323" t="str">
        <f>"D"&amp;H389</f>
        <v>DA</v>
      </c>
      <c r="C395" s="322">
        <v>1</v>
      </c>
      <c r="D395" s="330" t="b">
        <f t="shared" ref="D395:D402" si="119">AND(O395,P395)</f>
        <v>0</v>
      </c>
      <c r="E395" s="331">
        <v>4</v>
      </c>
      <c r="F395" s="329">
        <v>40</v>
      </c>
      <c r="G395" s="332" t="s">
        <v>151</v>
      </c>
      <c r="H395" s="329" t="s">
        <v>913</v>
      </c>
      <c r="I395" s="333" t="str">
        <f>H390</f>
        <v>A3</v>
      </c>
      <c r="J395" s="330">
        <f t="shared" ref="J395:K402" si="120">VLOOKUP(A395,$B$335:$C$358,2,FALSE)</f>
        <v>5</v>
      </c>
      <c r="K395" s="330">
        <f t="shared" si="120"/>
        <v>3</v>
      </c>
      <c r="L395" s="322"/>
      <c r="M395" s="322" t="s">
        <v>61</v>
      </c>
      <c r="N395" s="322" t="s">
        <v>967</v>
      </c>
      <c r="O395" s="330" t="b">
        <f>SUMIF($N$335:$N$358,"=1",$F$335:$F$358)=12</f>
        <v>0</v>
      </c>
      <c r="P395" s="330" t="b">
        <f>SUMIF($N$335:$N$358,"=3",$F$335:$F$358)=12</f>
        <v>0</v>
      </c>
      <c r="Q395" s="334" t="str">
        <f t="shared" ref="Q395:R402" si="121">INDEX(teams_k,J395)</f>
        <v>ESP</v>
      </c>
      <c r="R395" s="334" t="str">
        <f t="shared" si="121"/>
        <v>HUN</v>
      </c>
      <c r="S395" s="334" t="str">
        <f t="shared" ref="S395:S402" si="122">Q395&amp;IF(LEFT(Q395,1)&lt;&gt;" "," - ","")&amp;R395</f>
        <v>ESP - HUN</v>
      </c>
      <c r="T395" s="330" t="str">
        <f>" ["&amp;HLOOKUP(M395,$H$370:$K$390,21,FALSE)&amp;"]"</f>
        <v xml:space="preserve"> [A3]</v>
      </c>
      <c r="U395" s="330">
        <f t="shared" ref="U395:V402" si="123">IF(O395,J395,0)</f>
        <v>0</v>
      </c>
      <c r="V395" s="330">
        <f t="shared" si="123"/>
        <v>0</v>
      </c>
      <c r="W395" s="322"/>
      <c r="X395" s="335" t="s">
        <v>807</v>
      </c>
      <c r="Y395" s="335" t="s">
        <v>1060</v>
      </c>
      <c r="Z395" s="336" t="s">
        <v>615</v>
      </c>
      <c r="AA395" s="337" t="s">
        <v>623</v>
      </c>
      <c r="AB395" s="338" t="str">
        <f t="shared" ref="AB395:AB402" si="124">M395</f>
        <v>1. B</v>
      </c>
      <c r="AC395" s="338" t="str">
        <f t="shared" ref="AC395:AC402" si="125">IF(LEN(T395)=0,N395,IF(SUM($F$335:$F$358)=72,"3. "&amp;MID(T395,3,1),"3. ?"))</f>
        <v>3. ?</v>
      </c>
    </row>
    <row r="396" spans="1:29" x14ac:dyDescent="0.2">
      <c r="A396" s="321" t="s">
        <v>599</v>
      </c>
      <c r="B396" s="321" t="s">
        <v>634</v>
      </c>
      <c r="C396" s="322">
        <v>2</v>
      </c>
      <c r="D396" s="330" t="b">
        <f t="shared" si="119"/>
        <v>0</v>
      </c>
      <c r="E396" s="339">
        <v>2</v>
      </c>
      <c r="F396" s="329">
        <v>38</v>
      </c>
      <c r="G396" s="332" t="s">
        <v>152</v>
      </c>
      <c r="H396" s="329" t="s">
        <v>895</v>
      </c>
      <c r="I396" s="329" t="s">
        <v>925</v>
      </c>
      <c r="J396" s="330">
        <f t="shared" si="120"/>
        <v>1</v>
      </c>
      <c r="K396" s="330">
        <f t="shared" si="120"/>
        <v>10</v>
      </c>
      <c r="L396" s="322"/>
      <c r="M396" s="322" t="s">
        <v>60</v>
      </c>
      <c r="N396" s="322" t="s">
        <v>68</v>
      </c>
      <c r="O396" s="330" t="b">
        <f>SUMIF($N$335:$N$358,"=4",$F$335:$F$358)=12</f>
        <v>0</v>
      </c>
      <c r="P396" s="330" t="b">
        <f>SUM($F$335:$F$358)=72</f>
        <v>0</v>
      </c>
      <c r="Q396" s="334" t="str">
        <f t="shared" si="121"/>
        <v>GER</v>
      </c>
      <c r="R396" s="334" t="str">
        <f t="shared" si="121"/>
        <v>DEN</v>
      </c>
      <c r="S396" s="334" t="str">
        <f t="shared" si="122"/>
        <v>GER - DEN</v>
      </c>
      <c r="T396" s="330"/>
      <c r="U396" s="330">
        <f t="shared" si="123"/>
        <v>0</v>
      </c>
      <c r="V396" s="330">
        <f t="shared" si="123"/>
        <v>0</v>
      </c>
      <c r="W396" s="322"/>
      <c r="X396" s="335" t="s">
        <v>808</v>
      </c>
      <c r="Y396" s="335" t="s">
        <v>1061</v>
      </c>
      <c r="Z396" s="336" t="s">
        <v>599</v>
      </c>
      <c r="AA396" s="336" t="s">
        <v>634</v>
      </c>
      <c r="AB396" s="338" t="str">
        <f t="shared" si="124"/>
        <v>1. A</v>
      </c>
      <c r="AC396" s="338" t="str">
        <f t="shared" si="125"/>
        <v>2. C</v>
      </c>
    </row>
    <row r="397" spans="1:29" x14ac:dyDescent="0.2">
      <c r="A397" s="340" t="s">
        <v>661</v>
      </c>
      <c r="B397" s="341" t="str">
        <f>"D"&amp;K389</f>
        <v>DC</v>
      </c>
      <c r="C397" s="322">
        <v>3</v>
      </c>
      <c r="D397" s="330" t="b">
        <f t="shared" si="119"/>
        <v>0</v>
      </c>
      <c r="E397" s="339">
        <v>6</v>
      </c>
      <c r="F397" s="329">
        <v>42</v>
      </c>
      <c r="G397" s="332" t="s">
        <v>153</v>
      </c>
      <c r="H397" s="329" t="s">
        <v>944</v>
      </c>
      <c r="I397" s="333" t="str">
        <f>K390</f>
        <v>C3</v>
      </c>
      <c r="J397" s="330">
        <f t="shared" si="120"/>
        <v>21</v>
      </c>
      <c r="K397" s="330">
        <f t="shared" si="120"/>
        <v>11</v>
      </c>
      <c r="L397" s="322"/>
      <c r="M397" s="322" t="s">
        <v>65</v>
      </c>
      <c r="N397" s="322" t="s">
        <v>968</v>
      </c>
      <c r="O397" s="330" t="b">
        <f>SUMIF($N$335:$N$358,"=2",$F$335:$F$358)=12</f>
        <v>0</v>
      </c>
      <c r="P397" s="330" t="b">
        <f>SUM($F$335:$F$358)=72</f>
        <v>0</v>
      </c>
      <c r="Q397" s="334" t="str">
        <f t="shared" si="121"/>
        <v>TUR</v>
      </c>
      <c r="R397" s="334" t="str">
        <f t="shared" si="121"/>
        <v>SRB</v>
      </c>
      <c r="S397" s="334" t="str">
        <f t="shared" si="122"/>
        <v>TUR - SRB</v>
      </c>
      <c r="T397" s="330" t="str">
        <f>" ["&amp;HLOOKUP(M397,$H$370:$K$390,21,FALSE)&amp;"]"</f>
        <v xml:space="preserve"> [C3]</v>
      </c>
      <c r="U397" s="330">
        <f t="shared" si="123"/>
        <v>0</v>
      </c>
      <c r="V397" s="330">
        <f t="shared" si="123"/>
        <v>0</v>
      </c>
      <c r="W397" s="322"/>
      <c r="X397" s="335" t="s">
        <v>809</v>
      </c>
      <c r="Y397" s="335" t="s">
        <v>1062</v>
      </c>
      <c r="Z397" s="336" t="s">
        <v>661</v>
      </c>
      <c r="AA397" s="337" t="s">
        <v>665</v>
      </c>
      <c r="AB397" s="338" t="str">
        <f t="shared" si="124"/>
        <v>1. F</v>
      </c>
      <c r="AC397" s="338" t="str">
        <f t="shared" si="125"/>
        <v>3. ?</v>
      </c>
    </row>
    <row r="398" spans="1:29" x14ac:dyDescent="0.2">
      <c r="A398" s="342" t="s">
        <v>646</v>
      </c>
      <c r="B398" s="342" t="s">
        <v>654</v>
      </c>
      <c r="C398" s="322">
        <v>4</v>
      </c>
      <c r="D398" s="330" t="b">
        <f t="shared" si="119"/>
        <v>0</v>
      </c>
      <c r="E398" s="339">
        <v>5</v>
      </c>
      <c r="F398" s="329">
        <v>41</v>
      </c>
      <c r="G398" s="332" t="s">
        <v>154</v>
      </c>
      <c r="H398" s="329" t="s">
        <v>671</v>
      </c>
      <c r="I398" s="329" t="s">
        <v>941</v>
      </c>
      <c r="J398" s="330">
        <f t="shared" si="120"/>
        <v>14</v>
      </c>
      <c r="K398" s="330">
        <f t="shared" si="120"/>
        <v>18</v>
      </c>
      <c r="L398" s="322"/>
      <c r="M398" s="322" t="s">
        <v>69</v>
      </c>
      <c r="N398" s="322" t="s">
        <v>70</v>
      </c>
      <c r="O398" s="330" t="b">
        <f>SUMIF($N$335:$N$358,"=6",$F$335:$F$358)=12</f>
        <v>0</v>
      </c>
      <c r="P398" s="330" t="b">
        <f>SUMIF($N$335:$N$358,"=5",$F$335:$F$358)=12</f>
        <v>0</v>
      </c>
      <c r="Q398" s="334" t="str">
        <f t="shared" si="121"/>
        <v>NED</v>
      </c>
      <c r="R398" s="334" t="str">
        <f t="shared" si="121"/>
        <v>SVK</v>
      </c>
      <c r="S398" s="334" t="str">
        <f t="shared" si="122"/>
        <v>NED - SVK</v>
      </c>
      <c r="T398" s="330"/>
      <c r="U398" s="330">
        <f t="shared" si="123"/>
        <v>0</v>
      </c>
      <c r="V398" s="330">
        <f t="shared" si="123"/>
        <v>0</v>
      </c>
      <c r="W398" s="322"/>
      <c r="X398" s="335" t="s">
        <v>1063</v>
      </c>
      <c r="Y398" s="335" t="s">
        <v>1064</v>
      </c>
      <c r="Z398" s="336" t="s">
        <v>646</v>
      </c>
      <c r="AA398" s="336" t="s">
        <v>654</v>
      </c>
      <c r="AB398" s="338" t="str">
        <f t="shared" si="124"/>
        <v>2. D</v>
      </c>
      <c r="AC398" s="338" t="str">
        <f t="shared" si="125"/>
        <v>2. E</v>
      </c>
    </row>
    <row r="399" spans="1:29" x14ac:dyDescent="0.2">
      <c r="A399" s="340" t="s">
        <v>652</v>
      </c>
      <c r="B399" s="341" t="str">
        <f>"D"&amp;J389</f>
        <v>DB</v>
      </c>
      <c r="C399" s="322">
        <v>5</v>
      </c>
      <c r="D399" s="330" t="b">
        <f t="shared" si="119"/>
        <v>0</v>
      </c>
      <c r="E399" s="339">
        <v>7</v>
      </c>
      <c r="F399" s="329">
        <v>44</v>
      </c>
      <c r="G399" s="332" t="s">
        <v>155</v>
      </c>
      <c r="H399" s="329" t="s">
        <v>938</v>
      </c>
      <c r="I399" s="333" t="str">
        <f>J390</f>
        <v>B3</v>
      </c>
      <c r="J399" s="330">
        <f t="shared" si="120"/>
        <v>17</v>
      </c>
      <c r="K399" s="330">
        <f t="shared" si="120"/>
        <v>7</v>
      </c>
      <c r="L399" s="322"/>
      <c r="M399" s="322" t="s">
        <v>64</v>
      </c>
      <c r="N399" s="322" t="s">
        <v>969</v>
      </c>
      <c r="O399" s="330" t="b">
        <f>SUMIF($N$335:$N$358,"=5",$F$335:$F$358)=12</f>
        <v>0</v>
      </c>
      <c r="P399" s="330" t="b">
        <f>SUMIF($N$335:$N$358,"=4",$F$335:$F$358)=12</f>
        <v>0</v>
      </c>
      <c r="Q399" s="334" t="str">
        <f t="shared" si="121"/>
        <v>BEL</v>
      </c>
      <c r="R399" s="334" t="str">
        <f t="shared" si="121"/>
        <v>ITA</v>
      </c>
      <c r="S399" s="334" t="str">
        <f t="shared" si="122"/>
        <v>BEL - ITA</v>
      </c>
      <c r="T399" s="330" t="str">
        <f>" ["&amp;HLOOKUP(M399,$H$370:$K$390,21,FALSE)&amp;"]"</f>
        <v xml:space="preserve"> [B3]</v>
      </c>
      <c r="U399" s="330">
        <f t="shared" si="123"/>
        <v>0</v>
      </c>
      <c r="V399" s="330">
        <f t="shared" si="123"/>
        <v>0</v>
      </c>
      <c r="W399" s="322"/>
      <c r="X399" s="335" t="s">
        <v>810</v>
      </c>
      <c r="Y399" s="335" t="s">
        <v>1065</v>
      </c>
      <c r="Z399" s="336" t="s">
        <v>652</v>
      </c>
      <c r="AA399" s="337" t="s">
        <v>657</v>
      </c>
      <c r="AB399" s="338" t="str">
        <f t="shared" si="124"/>
        <v>1. E</v>
      </c>
      <c r="AC399" s="338" t="str">
        <f t="shared" si="125"/>
        <v>3. ?</v>
      </c>
    </row>
    <row r="400" spans="1:29" x14ac:dyDescent="0.2">
      <c r="A400" s="342" t="s">
        <v>643</v>
      </c>
      <c r="B400" s="342" t="s">
        <v>663</v>
      </c>
      <c r="C400" s="322">
        <v>6</v>
      </c>
      <c r="D400" s="330" t="b">
        <f t="shared" si="119"/>
        <v>0</v>
      </c>
      <c r="E400" s="339">
        <v>8</v>
      </c>
      <c r="F400" s="329">
        <v>43</v>
      </c>
      <c r="G400" s="332" t="s">
        <v>156</v>
      </c>
      <c r="H400" s="329" t="s">
        <v>668</v>
      </c>
      <c r="I400" s="329" t="s">
        <v>945</v>
      </c>
      <c r="J400" s="330">
        <f t="shared" si="120"/>
        <v>13</v>
      </c>
      <c r="K400" s="330">
        <f t="shared" si="120"/>
        <v>22</v>
      </c>
      <c r="L400" s="322"/>
      <c r="M400" s="322" t="s">
        <v>63</v>
      </c>
      <c r="N400" s="322" t="s">
        <v>71</v>
      </c>
      <c r="O400" s="330" t="b">
        <f>SUMIF($N$335:$N$358,"=3",$F$335:$F$358)=12</f>
        <v>0</v>
      </c>
      <c r="P400" s="330" t="b">
        <f>SUM($F$335:$F$358)=72</f>
        <v>0</v>
      </c>
      <c r="Q400" s="334" t="str">
        <f t="shared" si="121"/>
        <v>POL</v>
      </c>
      <c r="R400" s="334" t="str">
        <f t="shared" si="121"/>
        <v>GEO</v>
      </c>
      <c r="S400" s="334" t="str">
        <f t="shared" si="122"/>
        <v>POL - GEO</v>
      </c>
      <c r="T400" s="330"/>
      <c r="U400" s="330">
        <f t="shared" si="123"/>
        <v>0</v>
      </c>
      <c r="V400" s="330">
        <f t="shared" si="123"/>
        <v>0</v>
      </c>
      <c r="W400" s="322"/>
      <c r="X400" s="335" t="s">
        <v>811</v>
      </c>
      <c r="Y400" s="335" t="s">
        <v>1066</v>
      </c>
      <c r="Z400" s="336" t="s">
        <v>643</v>
      </c>
      <c r="AA400" s="336" t="s">
        <v>663</v>
      </c>
      <c r="AB400" s="338" t="str">
        <f t="shared" si="124"/>
        <v>1. D</v>
      </c>
      <c r="AC400" s="338" t="str">
        <f t="shared" si="125"/>
        <v>2. F</v>
      </c>
    </row>
    <row r="401" spans="1:29" x14ac:dyDescent="0.2">
      <c r="A401" s="321" t="s">
        <v>630</v>
      </c>
      <c r="B401" s="323" t="str">
        <f>"D"&amp;I389</f>
        <v>DD</v>
      </c>
      <c r="C401" s="322">
        <v>7</v>
      </c>
      <c r="D401" s="330" t="b">
        <f t="shared" si="119"/>
        <v>0</v>
      </c>
      <c r="E401" s="339">
        <v>3</v>
      </c>
      <c r="F401" s="329">
        <v>39</v>
      </c>
      <c r="G401" s="332" t="s">
        <v>157</v>
      </c>
      <c r="H401" s="329" t="s">
        <v>922</v>
      </c>
      <c r="I401" s="333" t="str">
        <f>I390</f>
        <v>D3</v>
      </c>
      <c r="J401" s="330">
        <f t="shared" si="120"/>
        <v>9</v>
      </c>
      <c r="K401" s="330">
        <f t="shared" si="120"/>
        <v>15</v>
      </c>
      <c r="L401" s="322"/>
      <c r="M401" s="322" t="s">
        <v>62</v>
      </c>
      <c r="N401" s="322" t="s">
        <v>966</v>
      </c>
      <c r="O401" s="330" t="b">
        <f>SUMIF($N$335:$N$358,"=2",$F$335:$F$358)=12</f>
        <v>0</v>
      </c>
      <c r="P401" s="330" t="b">
        <f>SUMIF($N$335:$N$358,"=6",$F$335:$F$358)=12</f>
        <v>0</v>
      </c>
      <c r="Q401" s="334" t="str">
        <f t="shared" si="121"/>
        <v>SLO</v>
      </c>
      <c r="R401" s="334" t="str">
        <f t="shared" si="121"/>
        <v>AUT</v>
      </c>
      <c r="S401" s="334" t="str">
        <f t="shared" si="122"/>
        <v>SLO - AUT</v>
      </c>
      <c r="T401" s="330" t="str">
        <f>" ["&amp;HLOOKUP(M401,$H$370:$K$390,21,FALSE)&amp;"]"</f>
        <v xml:space="preserve"> [D3]</v>
      </c>
      <c r="U401" s="330">
        <f t="shared" si="123"/>
        <v>0</v>
      </c>
      <c r="V401" s="330">
        <f t="shared" si="123"/>
        <v>0</v>
      </c>
      <c r="W401" s="322"/>
      <c r="X401" s="335" t="s">
        <v>812</v>
      </c>
      <c r="Y401" s="335" t="s">
        <v>1067</v>
      </c>
      <c r="Z401" s="336" t="s">
        <v>630</v>
      </c>
      <c r="AA401" s="337" t="s">
        <v>639</v>
      </c>
      <c r="AB401" s="338" t="str">
        <f t="shared" si="124"/>
        <v>1. C</v>
      </c>
      <c r="AC401" s="338" t="str">
        <f t="shared" si="125"/>
        <v>3. ?</v>
      </c>
    </row>
    <row r="402" spans="1:29" ht="12" thickBot="1" x14ac:dyDescent="0.25">
      <c r="A402" s="321" t="s">
        <v>603</v>
      </c>
      <c r="B402" s="321" t="s">
        <v>619</v>
      </c>
      <c r="C402" s="322">
        <v>8</v>
      </c>
      <c r="D402" s="330" t="b">
        <f t="shared" si="119"/>
        <v>0</v>
      </c>
      <c r="E402" s="343">
        <v>1</v>
      </c>
      <c r="F402" s="344">
        <v>37</v>
      </c>
      <c r="G402" s="345" t="s">
        <v>158</v>
      </c>
      <c r="H402" s="329" t="s">
        <v>901</v>
      </c>
      <c r="I402" s="329" t="s">
        <v>915</v>
      </c>
      <c r="J402" s="330">
        <f t="shared" si="120"/>
        <v>2</v>
      </c>
      <c r="K402" s="330">
        <f t="shared" si="120"/>
        <v>6</v>
      </c>
      <c r="L402" s="322"/>
      <c r="M402" s="322" t="s">
        <v>66</v>
      </c>
      <c r="N402" s="322" t="s">
        <v>67</v>
      </c>
      <c r="O402" s="330" t="b">
        <f>SUMIF($N$335:$N$358,"=1",$F$335:$F$358)=12</f>
        <v>0</v>
      </c>
      <c r="P402" s="330" t="b">
        <f>SUM($F$335:$F$358)=72</f>
        <v>0</v>
      </c>
      <c r="Q402" s="334" t="str">
        <f t="shared" si="121"/>
        <v>SCO</v>
      </c>
      <c r="R402" s="334" t="str">
        <f t="shared" si="121"/>
        <v>CRO</v>
      </c>
      <c r="S402" s="334" t="str">
        <f t="shared" si="122"/>
        <v>SCO - CRO</v>
      </c>
      <c r="T402" s="330"/>
      <c r="U402" s="330">
        <f t="shared" si="123"/>
        <v>0</v>
      </c>
      <c r="V402" s="330">
        <f t="shared" si="123"/>
        <v>0</v>
      </c>
      <c r="W402" s="322"/>
      <c r="X402" s="335" t="s">
        <v>1068</v>
      </c>
      <c r="Y402" s="335" t="s">
        <v>1069</v>
      </c>
      <c r="Z402" s="336" t="s">
        <v>603</v>
      </c>
      <c r="AA402" s="336" t="s">
        <v>619</v>
      </c>
      <c r="AB402" s="338" t="str">
        <f t="shared" si="124"/>
        <v>2. A</v>
      </c>
      <c r="AC402" s="338" t="str">
        <f t="shared" si="125"/>
        <v>2. B</v>
      </c>
    </row>
    <row r="403" spans="1:29" x14ac:dyDescent="0.2">
      <c r="D403" s="322"/>
      <c r="E403" s="322"/>
      <c r="F403" s="322"/>
      <c r="G403" s="322"/>
      <c r="H403" s="322"/>
      <c r="I403" s="322"/>
      <c r="J403" s="322"/>
      <c r="K403" s="322"/>
      <c r="L403" s="322"/>
      <c r="M403" s="322"/>
      <c r="N403" s="322"/>
      <c r="O403" s="322"/>
      <c r="P403" s="322"/>
      <c r="Q403"/>
      <c r="R403"/>
      <c r="S403" s="322"/>
      <c r="T403" s="322"/>
      <c r="U403" s="322"/>
      <c r="V403" s="322"/>
      <c r="W403" s="322"/>
      <c r="X403" s="322"/>
      <c r="Y403" s="322"/>
      <c r="Z403" s="322"/>
      <c r="AA403" s="322"/>
      <c r="AB403" s="322"/>
      <c r="AC403" s="322"/>
    </row>
    <row r="404" spans="1:29" x14ac:dyDescent="0.2">
      <c r="D404" s="322"/>
      <c r="E404" s="322"/>
      <c r="F404" s="322"/>
      <c r="G404" s="322"/>
      <c r="H404" s="322"/>
      <c r="I404" s="322"/>
      <c r="J404" s="322"/>
      <c r="K404" s="322"/>
      <c r="L404" s="322"/>
      <c r="M404" s="322"/>
      <c r="N404" s="322"/>
      <c r="O404" s="322"/>
      <c r="P404" s="322"/>
      <c r="Q404" s="322"/>
      <c r="R404" s="322"/>
      <c r="S404" s="322"/>
      <c r="T404" s="322"/>
      <c r="U404" s="322"/>
      <c r="V404" s="322"/>
      <c r="W404" s="322"/>
      <c r="X404" s="322"/>
      <c r="Y404" s="322"/>
      <c r="Z404" s="322"/>
      <c r="AA404" s="322"/>
      <c r="AB404" s="322"/>
      <c r="AC404" s="322"/>
    </row>
    <row r="405" spans="1:29" x14ac:dyDescent="0.2">
      <c r="A405" s="322"/>
      <c r="B405" s="322" t="s">
        <v>1070</v>
      </c>
      <c r="C405" s="322"/>
      <c r="D405" s="322"/>
      <c r="E405" s="322" t="s">
        <v>289</v>
      </c>
      <c r="F405" s="322"/>
      <c r="G405" s="322" t="s">
        <v>1071</v>
      </c>
      <c r="H405" s="322" t="s">
        <v>1072</v>
      </c>
      <c r="I405" s="322"/>
      <c r="J405" s="322" t="s">
        <v>1055</v>
      </c>
      <c r="K405" s="322"/>
      <c r="L405" s="322" t="s">
        <v>881</v>
      </c>
      <c r="M405" s="322"/>
      <c r="N405" s="322" t="s">
        <v>1073</v>
      </c>
      <c r="O405" s="322"/>
      <c r="P405" s="322"/>
      <c r="Q405" s="322"/>
      <c r="R405" s="322"/>
      <c r="S405" s="322" t="s">
        <v>1074</v>
      </c>
      <c r="T405" s="322"/>
      <c r="U405" s="322"/>
      <c r="V405" s="322"/>
      <c r="W405" s="322"/>
      <c r="X405" s="322"/>
      <c r="Y405" s="322"/>
      <c r="Z405" s="322"/>
      <c r="AA405" s="322"/>
      <c r="AB405" s="322"/>
      <c r="AC405" s="322"/>
    </row>
    <row r="406" spans="1:29" x14ac:dyDescent="0.2">
      <c r="A406" s="322"/>
      <c r="B406" s="322" t="str">
        <f>B72</f>
        <v>Deutschland</v>
      </c>
      <c r="C406" s="321">
        <f t="shared" ref="C406:C429" si="126">MATCH(B406,teams,0)</f>
        <v>1</v>
      </c>
      <c r="D406" s="322">
        <v>1</v>
      </c>
      <c r="E406" s="322" t="s">
        <v>37</v>
      </c>
      <c r="F406" s="322" t="s">
        <v>599</v>
      </c>
      <c r="G406" s="322">
        <f t="shared" ref="G406:G417" si="127">VLOOKUP(F406,$B$335:$C$358,2,FALSE)</f>
        <v>1</v>
      </c>
      <c r="H406" s="322">
        <f t="shared" ref="H406:H417" si="128">SUMIF($N$335:$N$358,"="&amp;D406,$F$335:$F$358)</f>
        <v>0</v>
      </c>
      <c r="I406" s="322"/>
      <c r="J406" s="322">
        <f t="shared" ref="J406:J417" si="129">IF(H406=12,G406,-1)</f>
        <v>-1</v>
      </c>
      <c r="K406" s="322"/>
      <c r="L406" s="322"/>
      <c r="M406" s="322"/>
      <c r="N406" s="322"/>
      <c r="O406" s="322"/>
      <c r="P406" s="322"/>
      <c r="Q406" s="322"/>
      <c r="R406" s="322"/>
      <c r="S406" s="322" t="s">
        <v>1075</v>
      </c>
      <c r="T406" s="322" t="s">
        <v>1076</v>
      </c>
      <c r="U406" s="322"/>
      <c r="V406" s="322"/>
      <c r="W406" s="322"/>
      <c r="X406" s="322"/>
      <c r="Y406" s="322"/>
      <c r="Z406" s="322"/>
      <c r="AA406" s="322"/>
      <c r="AB406" s="322"/>
      <c r="AC406" s="322"/>
    </row>
    <row r="407" spans="1:29" x14ac:dyDescent="0.2">
      <c r="A407" s="322"/>
      <c r="B407" s="322" t="str">
        <f>B73</f>
        <v>Schottland</v>
      </c>
      <c r="C407" s="321">
        <f t="shared" si="126"/>
        <v>2</v>
      </c>
      <c r="D407" s="322">
        <v>1</v>
      </c>
      <c r="E407" s="322" t="s">
        <v>39</v>
      </c>
      <c r="F407" s="322" t="s">
        <v>603</v>
      </c>
      <c r="G407" s="322">
        <f t="shared" si="127"/>
        <v>2</v>
      </c>
      <c r="H407" s="322">
        <f t="shared" si="128"/>
        <v>0</v>
      </c>
      <c r="I407" s="322"/>
      <c r="J407" s="322">
        <f t="shared" si="129"/>
        <v>-1</v>
      </c>
      <c r="K407" s="322">
        <v>1</v>
      </c>
      <c r="L407" s="322">
        <f t="shared" ref="L407:L414" si="130">VLOOKUP(K407,$E$395:$K$402,6,FALSE)</f>
        <v>2</v>
      </c>
      <c r="M407" s="322">
        <f t="shared" ref="M407:M414" si="131">VLOOKUP(K407,$E$395:$K$402,7,FALSE)</f>
        <v>6</v>
      </c>
      <c r="N407" s="322">
        <f ca="1">Tippabgabe!$EJ$99</f>
        <v>-1</v>
      </c>
      <c r="O407" s="322"/>
      <c r="P407" s="322"/>
      <c r="Q407" s="322"/>
      <c r="R407" s="322"/>
      <c r="S407" s="346" t="str">
        <f>Tippabgabe!CE99</f>
        <v/>
      </c>
      <c r="T407" s="346" t="str">
        <f>Tippabgabe!CF99</f>
        <v/>
      </c>
      <c r="U407" s="322"/>
      <c r="V407" s="322"/>
      <c r="W407" s="322"/>
      <c r="X407" s="322"/>
      <c r="Y407" s="322"/>
      <c r="Z407" s="322"/>
      <c r="AA407" s="322"/>
      <c r="AB407" s="322"/>
      <c r="AC407" s="322"/>
    </row>
    <row r="408" spans="1:29" x14ac:dyDescent="0.2">
      <c r="A408" s="322"/>
      <c r="B408" s="322" t="str">
        <f>B74</f>
        <v>Ungarn</v>
      </c>
      <c r="C408" s="321">
        <f t="shared" si="126"/>
        <v>3</v>
      </c>
      <c r="D408" s="322">
        <v>2</v>
      </c>
      <c r="E408" s="322" t="s">
        <v>40</v>
      </c>
      <c r="F408" s="322" t="s">
        <v>615</v>
      </c>
      <c r="G408" s="322">
        <f t="shared" si="127"/>
        <v>5</v>
      </c>
      <c r="H408" s="322">
        <f t="shared" si="128"/>
        <v>0</v>
      </c>
      <c r="I408" s="322"/>
      <c r="J408" s="322">
        <f t="shared" si="129"/>
        <v>-1</v>
      </c>
      <c r="K408" s="322">
        <v>2</v>
      </c>
      <c r="L408" s="322">
        <f t="shared" si="130"/>
        <v>1</v>
      </c>
      <c r="M408" s="322">
        <f t="shared" si="131"/>
        <v>10</v>
      </c>
      <c r="N408" s="322">
        <f ca="1">Tippabgabe!$EJ$102</f>
        <v>-1</v>
      </c>
      <c r="O408" s="322"/>
      <c r="P408" s="322"/>
      <c r="Q408" s="322"/>
      <c r="R408" s="322"/>
      <c r="S408" s="346" t="str">
        <f>Tippabgabe!CE102</f>
        <v/>
      </c>
      <c r="T408" s="346" t="str">
        <f>Tippabgabe!CF102</f>
        <v/>
      </c>
      <c r="U408" s="322"/>
      <c r="V408" s="322"/>
      <c r="W408" s="322"/>
      <c r="X408" s="322"/>
      <c r="Y408" s="322"/>
      <c r="Z408" s="322"/>
      <c r="AA408" s="322"/>
      <c r="AB408" s="322"/>
      <c r="AC408" s="322"/>
    </row>
    <row r="409" spans="1:29" x14ac:dyDescent="0.2">
      <c r="A409" s="322"/>
      <c r="B409" s="322" t="str">
        <f>B75</f>
        <v>Schweiz</v>
      </c>
      <c r="C409" s="321">
        <f t="shared" si="126"/>
        <v>4</v>
      </c>
      <c r="D409" s="322">
        <v>2</v>
      </c>
      <c r="E409" s="322" t="s">
        <v>43</v>
      </c>
      <c r="F409" s="322" t="s">
        <v>619</v>
      </c>
      <c r="G409" s="322">
        <f t="shared" si="127"/>
        <v>6</v>
      </c>
      <c r="H409" s="322">
        <f t="shared" si="128"/>
        <v>0</v>
      </c>
      <c r="I409" s="322"/>
      <c r="J409" s="322">
        <f t="shared" si="129"/>
        <v>-1</v>
      </c>
      <c r="K409" s="322">
        <v>3</v>
      </c>
      <c r="L409" s="322">
        <f t="shared" si="130"/>
        <v>9</v>
      </c>
      <c r="M409" s="322">
        <f t="shared" si="131"/>
        <v>15</v>
      </c>
      <c r="N409" s="322">
        <f ca="1">Tippabgabe!$EJ$105</f>
        <v>-1</v>
      </c>
      <c r="O409" s="322"/>
      <c r="P409" s="322"/>
      <c r="Q409" s="322"/>
      <c r="R409" s="322"/>
      <c r="S409" s="346" t="str">
        <f>Tippabgabe!CE105</f>
        <v/>
      </c>
      <c r="T409" s="346" t="str">
        <f>Tippabgabe!CF105</f>
        <v/>
      </c>
      <c r="U409" s="322"/>
      <c r="V409" s="322"/>
      <c r="W409" s="322"/>
      <c r="X409" s="322"/>
      <c r="Y409" s="322"/>
      <c r="Z409" s="322"/>
      <c r="AA409" s="322"/>
      <c r="AB409" s="322"/>
      <c r="AC409" s="322"/>
    </row>
    <row r="410" spans="1:29" x14ac:dyDescent="0.2">
      <c r="A410" s="322"/>
      <c r="B410" s="322" t="str">
        <f>AB72</f>
        <v>Spanien</v>
      </c>
      <c r="C410" s="321">
        <f t="shared" si="126"/>
        <v>5</v>
      </c>
      <c r="D410" s="322">
        <v>3</v>
      </c>
      <c r="E410" s="322" t="s">
        <v>45</v>
      </c>
      <c r="F410" s="322" t="s">
        <v>630</v>
      </c>
      <c r="G410" s="322">
        <f t="shared" si="127"/>
        <v>9</v>
      </c>
      <c r="H410" s="322">
        <f t="shared" si="128"/>
        <v>0</v>
      </c>
      <c r="I410" s="322"/>
      <c r="J410" s="322">
        <f t="shared" si="129"/>
        <v>-1</v>
      </c>
      <c r="K410" s="322">
        <v>4</v>
      </c>
      <c r="L410" s="322">
        <f t="shared" si="130"/>
        <v>5</v>
      </c>
      <c r="M410" s="322">
        <f t="shared" si="131"/>
        <v>3</v>
      </c>
      <c r="N410" s="322">
        <f ca="1">Tippabgabe!$EJ$108</f>
        <v>-1</v>
      </c>
      <c r="O410" s="322"/>
      <c r="P410" s="322"/>
      <c r="Q410" s="322"/>
      <c r="R410" s="322"/>
      <c r="S410" s="346" t="str">
        <f>Tippabgabe!CE108</f>
        <v/>
      </c>
      <c r="T410" s="346" t="str">
        <f>Tippabgabe!CF108</f>
        <v/>
      </c>
      <c r="U410" s="322"/>
      <c r="V410" s="322"/>
      <c r="W410" s="322"/>
      <c r="X410" s="322"/>
      <c r="Y410" s="322"/>
      <c r="Z410" s="322"/>
      <c r="AA410" s="322"/>
      <c r="AB410" s="322"/>
      <c r="AC410" s="322"/>
    </row>
    <row r="411" spans="1:29" x14ac:dyDescent="0.2">
      <c r="A411" s="322"/>
      <c r="B411" s="322" t="str">
        <f>AB73</f>
        <v>Kroatien</v>
      </c>
      <c r="C411" s="321">
        <f t="shared" si="126"/>
        <v>6</v>
      </c>
      <c r="D411" s="322">
        <v>3</v>
      </c>
      <c r="E411" s="322" t="s">
        <v>47</v>
      </c>
      <c r="F411" s="322" t="s">
        <v>634</v>
      </c>
      <c r="G411" s="322">
        <f t="shared" si="127"/>
        <v>10</v>
      </c>
      <c r="H411" s="322">
        <f t="shared" si="128"/>
        <v>0</v>
      </c>
      <c r="I411" s="322"/>
      <c r="J411" s="322">
        <f t="shared" si="129"/>
        <v>-1</v>
      </c>
      <c r="K411" s="322">
        <v>5</v>
      </c>
      <c r="L411" s="322">
        <f t="shared" si="130"/>
        <v>14</v>
      </c>
      <c r="M411" s="322">
        <f t="shared" si="131"/>
        <v>18</v>
      </c>
      <c r="N411" s="322">
        <f ca="1">Tippabgabe!$EJ$111</f>
        <v>-1</v>
      </c>
      <c r="O411" s="322"/>
      <c r="P411" s="322"/>
      <c r="Q411" s="322"/>
      <c r="R411" s="322"/>
      <c r="S411" s="346" t="str">
        <f>Tippabgabe!CE111</f>
        <v/>
      </c>
      <c r="T411" s="346" t="str">
        <f>Tippabgabe!CF111</f>
        <v/>
      </c>
      <c r="U411" s="322"/>
      <c r="V411" s="322"/>
      <c r="W411" s="322"/>
      <c r="X411" s="322"/>
      <c r="Y411" s="322"/>
      <c r="Z411" s="322"/>
      <c r="AA411" s="322"/>
      <c r="AB411" s="322"/>
      <c r="AC411" s="322"/>
    </row>
    <row r="412" spans="1:29" x14ac:dyDescent="0.2">
      <c r="A412" s="322"/>
      <c r="B412" s="322" t="str">
        <f>AB74</f>
        <v>Italien</v>
      </c>
      <c r="C412" s="321">
        <f t="shared" si="126"/>
        <v>7</v>
      </c>
      <c r="D412" s="322">
        <v>4</v>
      </c>
      <c r="E412" s="322" t="s">
        <v>49</v>
      </c>
      <c r="F412" s="322" t="s">
        <v>643</v>
      </c>
      <c r="G412" s="322">
        <f t="shared" si="127"/>
        <v>13</v>
      </c>
      <c r="H412" s="322">
        <f t="shared" si="128"/>
        <v>0</v>
      </c>
      <c r="I412" s="322"/>
      <c r="J412" s="322">
        <f t="shared" si="129"/>
        <v>-1</v>
      </c>
      <c r="K412" s="322">
        <v>6</v>
      </c>
      <c r="L412" s="322">
        <f t="shared" si="130"/>
        <v>21</v>
      </c>
      <c r="M412" s="322">
        <f t="shared" si="131"/>
        <v>11</v>
      </c>
      <c r="N412" s="322">
        <f ca="1">Tippabgabe!$EJ$114</f>
        <v>-1</v>
      </c>
      <c r="O412" s="322"/>
      <c r="P412" s="322"/>
      <c r="Q412" s="322"/>
      <c r="R412" s="322"/>
      <c r="S412" s="346" t="str">
        <f>Tippabgabe!CE114</f>
        <v/>
      </c>
      <c r="T412" s="346" t="str">
        <f>Tippabgabe!CF114</f>
        <v/>
      </c>
      <c r="U412" s="322"/>
      <c r="V412" s="322"/>
      <c r="W412" s="322"/>
      <c r="X412" s="322"/>
      <c r="Y412" s="322"/>
      <c r="Z412" s="322"/>
      <c r="AA412" s="322"/>
      <c r="AB412" s="322"/>
      <c r="AC412" s="322"/>
    </row>
    <row r="413" spans="1:29" x14ac:dyDescent="0.2">
      <c r="A413" s="322"/>
      <c r="B413" s="322" t="str">
        <f>AB75</f>
        <v>Albanien</v>
      </c>
      <c r="C413" s="321">
        <f t="shared" si="126"/>
        <v>8</v>
      </c>
      <c r="D413" s="322">
        <v>4</v>
      </c>
      <c r="E413" s="322" t="s">
        <v>52</v>
      </c>
      <c r="F413" s="322" t="s">
        <v>646</v>
      </c>
      <c r="G413" s="322">
        <f t="shared" si="127"/>
        <v>14</v>
      </c>
      <c r="H413" s="322">
        <f t="shared" si="128"/>
        <v>0</v>
      </c>
      <c r="I413" s="322"/>
      <c r="J413" s="322">
        <f t="shared" si="129"/>
        <v>-1</v>
      </c>
      <c r="K413" s="322">
        <v>7</v>
      </c>
      <c r="L413" s="322">
        <f t="shared" si="130"/>
        <v>17</v>
      </c>
      <c r="M413" s="322">
        <f t="shared" si="131"/>
        <v>7</v>
      </c>
      <c r="N413" s="322">
        <f ca="1">Tippabgabe!$EJ$117</f>
        <v>-1</v>
      </c>
      <c r="O413" s="322"/>
      <c r="P413" s="322"/>
      <c r="Q413" s="322"/>
      <c r="R413" s="322"/>
      <c r="S413" s="346" t="str">
        <f>Tippabgabe!CE117</f>
        <v/>
      </c>
      <c r="T413" s="346" t="str">
        <f>Tippabgabe!CF117</f>
        <v/>
      </c>
      <c r="U413" s="322"/>
      <c r="V413" s="322"/>
      <c r="W413" s="322"/>
      <c r="X413" s="322"/>
      <c r="Y413" s="322"/>
      <c r="Z413" s="322"/>
      <c r="AA413" s="322"/>
      <c r="AB413" s="322"/>
      <c r="AC413" s="322"/>
    </row>
    <row r="414" spans="1:29" x14ac:dyDescent="0.2">
      <c r="A414" s="322"/>
      <c r="B414" s="322" t="str">
        <f>B154</f>
        <v>Slowenien</v>
      </c>
      <c r="C414" s="321">
        <f t="shared" si="126"/>
        <v>9</v>
      </c>
      <c r="D414" s="322">
        <v>5</v>
      </c>
      <c r="E414" s="322" t="s">
        <v>53</v>
      </c>
      <c r="F414" s="322" t="s">
        <v>652</v>
      </c>
      <c r="G414" s="322">
        <f t="shared" si="127"/>
        <v>17</v>
      </c>
      <c r="H414" s="322">
        <f t="shared" si="128"/>
        <v>0</v>
      </c>
      <c r="I414" s="322"/>
      <c r="J414" s="322">
        <f t="shared" si="129"/>
        <v>-1</v>
      </c>
      <c r="K414" s="322">
        <v>8</v>
      </c>
      <c r="L414" s="322">
        <f t="shared" si="130"/>
        <v>13</v>
      </c>
      <c r="M414" s="322">
        <f t="shared" si="131"/>
        <v>22</v>
      </c>
      <c r="N414" s="322">
        <f ca="1">Tippabgabe!$EJ$120</f>
        <v>-1</v>
      </c>
      <c r="O414" s="322" t="s">
        <v>1077</v>
      </c>
      <c r="P414" s="322"/>
      <c r="Q414" s="322" t="s">
        <v>1078</v>
      </c>
      <c r="R414" s="322"/>
      <c r="S414" s="346" t="str">
        <f>Tippabgabe!CE120</f>
        <v/>
      </c>
      <c r="T414" s="346" t="str">
        <f>Tippabgabe!CF120</f>
        <v/>
      </c>
      <c r="U414" s="322"/>
      <c r="V414" s="322"/>
      <c r="W414" s="322"/>
      <c r="X414" s="322"/>
      <c r="Y414" s="322"/>
      <c r="Z414" s="322"/>
      <c r="AA414" s="322"/>
      <c r="AB414" s="322"/>
      <c r="AC414" s="322"/>
    </row>
    <row r="415" spans="1:29" x14ac:dyDescent="0.2">
      <c r="A415" s="322"/>
      <c r="B415" s="322" t="str">
        <f>B155</f>
        <v>Dänemark</v>
      </c>
      <c r="C415" s="321">
        <f t="shared" si="126"/>
        <v>10</v>
      </c>
      <c r="D415" s="322">
        <v>5</v>
      </c>
      <c r="E415" s="322" t="s">
        <v>55</v>
      </c>
      <c r="F415" s="322" t="s">
        <v>654</v>
      </c>
      <c r="G415" s="322">
        <f t="shared" si="127"/>
        <v>18</v>
      </c>
      <c r="H415" s="322">
        <f t="shared" si="128"/>
        <v>0</v>
      </c>
      <c r="I415" s="322"/>
      <c r="J415" s="322">
        <f t="shared" si="129"/>
        <v>-1</v>
      </c>
      <c r="K415" s="322"/>
      <c r="L415" s="347">
        <f t="shared" ref="L415:M418" ca="1" si="132">IF(Q415&lt;=0,-1,INDEX($L$407:$M$414,O415,Q415))</f>
        <v>-1</v>
      </c>
      <c r="M415" s="347">
        <f t="shared" ca="1" si="132"/>
        <v>-1</v>
      </c>
      <c r="N415" s="347">
        <f ca="1">Tippabgabe!$EJ$130</f>
        <v>-1</v>
      </c>
      <c r="O415" s="340">
        <f>Tippabgabe!A130</f>
        <v>4</v>
      </c>
      <c r="P415" s="340">
        <f>Tippabgabe!B130</f>
        <v>2</v>
      </c>
      <c r="Q415" s="347">
        <f t="shared" ref="Q415:R418" ca="1" si="133">INDEX($N$407:$N$414,O415)</f>
        <v>-1</v>
      </c>
      <c r="R415" s="347">
        <f t="shared" ca="1" si="133"/>
        <v>-1</v>
      </c>
      <c r="S415" s="346" t="str">
        <f>Tippabgabe!CE130</f>
        <v/>
      </c>
      <c r="T415" s="346" t="str">
        <f>Tippabgabe!CF130</f>
        <v/>
      </c>
      <c r="U415" s="322"/>
      <c r="V415" s="322"/>
      <c r="W415" s="322"/>
      <c r="X415" s="322"/>
      <c r="Y415" s="322"/>
      <c r="Z415" s="322"/>
      <c r="AA415" s="322"/>
      <c r="AB415" s="322"/>
      <c r="AC415" s="322"/>
    </row>
    <row r="416" spans="1:29" x14ac:dyDescent="0.2">
      <c r="A416" s="322"/>
      <c r="B416" s="322" t="str">
        <f>B156</f>
        <v>Serbien</v>
      </c>
      <c r="C416" s="321">
        <f t="shared" si="126"/>
        <v>11</v>
      </c>
      <c r="D416" s="322">
        <v>6</v>
      </c>
      <c r="E416" s="322" t="s">
        <v>56</v>
      </c>
      <c r="F416" s="322" t="s">
        <v>661</v>
      </c>
      <c r="G416" s="322">
        <f t="shared" si="127"/>
        <v>21</v>
      </c>
      <c r="H416" s="322">
        <f t="shared" si="128"/>
        <v>0</v>
      </c>
      <c r="I416" s="322"/>
      <c r="J416" s="322">
        <f t="shared" si="129"/>
        <v>-1</v>
      </c>
      <c r="K416" s="322"/>
      <c r="L416" s="322">
        <f t="shared" ca="1" si="132"/>
        <v>-1</v>
      </c>
      <c r="M416" s="322">
        <f t="shared" ca="1" si="132"/>
        <v>-1</v>
      </c>
      <c r="N416" s="322">
        <f ca="1">Tippabgabe!$EJ$133</f>
        <v>-1</v>
      </c>
      <c r="O416" s="321">
        <f>Tippabgabe!A133</f>
        <v>6</v>
      </c>
      <c r="P416" s="321">
        <f>Tippabgabe!B133</f>
        <v>5</v>
      </c>
      <c r="Q416" s="322">
        <f t="shared" ca="1" si="133"/>
        <v>-1</v>
      </c>
      <c r="R416" s="322">
        <f t="shared" ca="1" si="133"/>
        <v>-1</v>
      </c>
      <c r="S416" s="346" t="str">
        <f>Tippabgabe!CE133</f>
        <v/>
      </c>
      <c r="T416" s="346" t="str">
        <f>Tippabgabe!CF133</f>
        <v/>
      </c>
      <c r="U416" s="322"/>
      <c r="V416" s="322"/>
      <c r="W416" s="322"/>
      <c r="X416" s="322"/>
      <c r="Y416" s="322"/>
      <c r="Z416" s="322"/>
      <c r="AA416" s="322"/>
      <c r="AB416" s="322"/>
      <c r="AC416" s="322"/>
    </row>
    <row r="417" spans="1:29" x14ac:dyDescent="0.2">
      <c r="A417" s="322"/>
      <c r="B417" s="322" t="str">
        <f>B157</f>
        <v>England</v>
      </c>
      <c r="C417" s="321">
        <f t="shared" si="126"/>
        <v>12</v>
      </c>
      <c r="D417" s="322">
        <v>6</v>
      </c>
      <c r="E417" s="322" t="s">
        <v>58</v>
      </c>
      <c r="F417" s="322" t="s">
        <v>663</v>
      </c>
      <c r="G417" s="322">
        <f t="shared" si="127"/>
        <v>22</v>
      </c>
      <c r="H417" s="322">
        <f t="shared" si="128"/>
        <v>0</v>
      </c>
      <c r="I417" s="322"/>
      <c r="J417" s="322">
        <f t="shared" si="129"/>
        <v>-1</v>
      </c>
      <c r="K417" s="322"/>
      <c r="L417" s="322">
        <f t="shared" ca="1" si="132"/>
        <v>-1</v>
      </c>
      <c r="M417" s="322">
        <f t="shared" ca="1" si="132"/>
        <v>-1</v>
      </c>
      <c r="N417" s="322">
        <f ca="1">Tippabgabe!$EJ$136</f>
        <v>-1</v>
      </c>
      <c r="O417" s="321">
        <f>Tippabgabe!A136</f>
        <v>3</v>
      </c>
      <c r="P417" s="321">
        <f>Tippabgabe!B136</f>
        <v>1</v>
      </c>
      <c r="Q417" s="322">
        <f t="shared" ca="1" si="133"/>
        <v>-1</v>
      </c>
      <c r="R417" s="322">
        <f t="shared" ca="1" si="133"/>
        <v>-1</v>
      </c>
      <c r="S417" s="346" t="str">
        <f>Tippabgabe!CE136</f>
        <v/>
      </c>
      <c r="T417" s="346" t="str">
        <f>Tippabgabe!CF136</f>
        <v/>
      </c>
      <c r="U417" s="322"/>
      <c r="V417" s="322"/>
      <c r="W417" s="322"/>
      <c r="X417" s="322"/>
      <c r="Y417" s="322"/>
      <c r="Z417" s="322"/>
      <c r="AA417" s="322"/>
      <c r="AB417" s="322"/>
      <c r="AC417" s="322"/>
    </row>
    <row r="418" spans="1:29" x14ac:dyDescent="0.2">
      <c r="A418" s="322"/>
      <c r="B418" s="322" t="str">
        <f>AB154</f>
        <v>Polen</v>
      </c>
      <c r="C418" s="321">
        <f t="shared" si="126"/>
        <v>13</v>
      </c>
      <c r="D418" s="322"/>
      <c r="E418" s="322" t="s">
        <v>606</v>
      </c>
      <c r="F418" s="322" t="s">
        <v>606</v>
      </c>
      <c r="G418" s="322">
        <f>H391</f>
        <v>3</v>
      </c>
      <c r="H418" s="322">
        <f>SUM(F335:F358)</f>
        <v>0</v>
      </c>
      <c r="I418" s="322"/>
      <c r="J418" s="322">
        <f>IF(H418=72,G418,-1)</f>
        <v>-1</v>
      </c>
      <c r="K418" s="322"/>
      <c r="L418" s="322">
        <f t="shared" ca="1" si="132"/>
        <v>-1</v>
      </c>
      <c r="M418" s="322">
        <f t="shared" ca="1" si="132"/>
        <v>-1</v>
      </c>
      <c r="N418" s="322">
        <f ca="1">Tippabgabe!$EJ$139</f>
        <v>-1</v>
      </c>
      <c r="O418" s="342">
        <f>Tippabgabe!A139</f>
        <v>7</v>
      </c>
      <c r="P418" s="342">
        <f>Tippabgabe!B139</f>
        <v>8</v>
      </c>
      <c r="Q418" s="348">
        <f t="shared" ca="1" si="133"/>
        <v>-1</v>
      </c>
      <c r="R418" s="348">
        <f t="shared" ca="1" si="133"/>
        <v>-1</v>
      </c>
      <c r="S418" s="346" t="str">
        <f>Tippabgabe!CE139</f>
        <v/>
      </c>
      <c r="T418" s="346" t="str">
        <f>Tippabgabe!CF139</f>
        <v/>
      </c>
      <c r="U418" s="322"/>
      <c r="V418" s="322"/>
      <c r="W418" s="322"/>
      <c r="X418" s="322"/>
      <c r="Y418" s="322"/>
      <c r="Z418" s="322"/>
      <c r="AA418" s="322"/>
      <c r="AB418" s="322"/>
      <c r="AC418" s="322"/>
    </row>
    <row r="419" spans="1:29" x14ac:dyDescent="0.2">
      <c r="A419" s="322"/>
      <c r="B419" s="322" t="str">
        <f>AB155</f>
        <v>Niederlande</v>
      </c>
      <c r="C419" s="321">
        <f t="shared" si="126"/>
        <v>14</v>
      </c>
      <c r="D419" s="322"/>
      <c r="E419" s="322" t="s">
        <v>623</v>
      </c>
      <c r="F419" s="322" t="s">
        <v>623</v>
      </c>
      <c r="G419" s="322">
        <f>I391</f>
        <v>15</v>
      </c>
      <c r="H419" s="322">
        <f>SUM(F336:F359)</f>
        <v>0</v>
      </c>
      <c r="I419" s="322"/>
      <c r="J419" s="322">
        <f>IF(H419=72,G419,-1)</f>
        <v>-1</v>
      </c>
      <c r="K419" s="322"/>
      <c r="L419" s="347">
        <f ca="1">IF(Q419=-1,-1,INDEX($L$415:$M$418,O419,Q419))</f>
        <v>-1</v>
      </c>
      <c r="M419" s="347">
        <f ca="1">IF(R419=-1,-1,INDEX($L$415:$M$418,P419,R419))</f>
        <v>-1</v>
      </c>
      <c r="N419" s="347">
        <f ca="1">Tippabgabe!$EJ$149</f>
        <v>-1</v>
      </c>
      <c r="O419" s="347">
        <f>Tippabgabe!$A$149</f>
        <v>1</v>
      </c>
      <c r="P419" s="347">
        <f>Tippabgabe!$B$149</f>
        <v>2</v>
      </c>
      <c r="Q419" s="347">
        <f ca="1">INDEX($N$415:$N$418,O419)</f>
        <v>-1</v>
      </c>
      <c r="R419" s="347">
        <f ca="1">INDEX($N$415:$N$418,P419)</f>
        <v>-1</v>
      </c>
      <c r="S419" s="346" t="str">
        <f>Tippabgabe!CE149</f>
        <v/>
      </c>
      <c r="T419" s="346" t="str">
        <f>Tippabgabe!CF149</f>
        <v/>
      </c>
      <c r="U419" s="322"/>
      <c r="V419" s="322"/>
      <c r="W419" s="322"/>
      <c r="X419" s="322"/>
      <c r="Y419" s="322"/>
      <c r="Z419" s="322"/>
      <c r="AA419" s="322"/>
      <c r="AB419" s="322"/>
      <c r="AC419" s="322"/>
    </row>
    <row r="420" spans="1:29" x14ac:dyDescent="0.2">
      <c r="A420" s="322"/>
      <c r="B420" s="322" t="str">
        <f>AB156</f>
        <v>Österreich</v>
      </c>
      <c r="C420" s="321">
        <f t="shared" si="126"/>
        <v>15</v>
      </c>
      <c r="D420" s="322"/>
      <c r="E420" s="322" t="s">
        <v>639</v>
      </c>
      <c r="F420" s="322" t="s">
        <v>639</v>
      </c>
      <c r="G420" s="322">
        <f>J391</f>
        <v>7</v>
      </c>
      <c r="H420" s="322">
        <f>SUM(F337:F360)</f>
        <v>0</v>
      </c>
      <c r="I420" s="322"/>
      <c r="J420" s="322">
        <f>IF(H420=72,G420,-1)</f>
        <v>-1</v>
      </c>
      <c r="K420" s="322"/>
      <c r="L420" s="348">
        <f ca="1">IF(Q420=-1,-1,INDEX($L$415:$M$418,O420,Q420))</f>
        <v>-1</v>
      </c>
      <c r="M420" s="348">
        <f ca="1">IF(R420=-1,-1,INDEX($L$415:$M$418,P420,R420))</f>
        <v>-1</v>
      </c>
      <c r="N420" s="322">
        <f ca="1">Tippabgabe!$EJ$152</f>
        <v>-1</v>
      </c>
      <c r="O420" s="348">
        <f>Tippabgabe!$A$152</f>
        <v>4</v>
      </c>
      <c r="P420" s="348">
        <f>Tippabgabe!$B$152</f>
        <v>3</v>
      </c>
      <c r="Q420" s="348">
        <f ca="1">INDEX($N$415:$N$418,O420)</f>
        <v>-1</v>
      </c>
      <c r="R420" s="348">
        <f ca="1">INDEX($N$415:$N$418,P420)</f>
        <v>-1</v>
      </c>
      <c r="S420" s="346" t="str">
        <f>Tippabgabe!CE152</f>
        <v/>
      </c>
      <c r="T420" s="346" t="str">
        <f>Tippabgabe!CF152</f>
        <v/>
      </c>
      <c r="U420" s="322"/>
      <c r="V420" s="322"/>
      <c r="W420" s="322"/>
      <c r="X420" s="322"/>
      <c r="Y420" s="322"/>
      <c r="Z420" s="322"/>
      <c r="AA420" s="322"/>
      <c r="AB420" s="322"/>
      <c r="AC420" s="322"/>
    </row>
    <row r="421" spans="1:29" x14ac:dyDescent="0.2">
      <c r="A421" s="322"/>
      <c r="B421" s="322" t="str">
        <f>AB157</f>
        <v>Frankreich</v>
      </c>
      <c r="C421" s="321">
        <f t="shared" si="126"/>
        <v>16</v>
      </c>
      <c r="D421" s="322"/>
      <c r="E421" s="322" t="s">
        <v>648</v>
      </c>
      <c r="F421" s="322" t="s">
        <v>648</v>
      </c>
      <c r="G421" s="322">
        <f>K391</f>
        <v>11</v>
      </c>
      <c r="H421" s="322">
        <f>SUM(F338:F361)</f>
        <v>0</v>
      </c>
      <c r="I421" s="322"/>
      <c r="J421" s="322">
        <f>IF(H421=72,G421,-1)</f>
        <v>-1</v>
      </c>
      <c r="K421" s="322"/>
      <c r="L421" s="347">
        <f ca="1">IF(Q421&lt;=0,-1,INDEX($L$419:$M$420,O421,Q421))</f>
        <v>-1</v>
      </c>
      <c r="M421" s="347">
        <f ca="1">IF(R421&lt;=0,-1,INDEX($L$419:$M$420,P421,R421))</f>
        <v>-1</v>
      </c>
      <c r="N421" s="347">
        <f>Tippabgabe!$EJ$164</f>
        <v>0</v>
      </c>
      <c r="O421" s="322">
        <v>1</v>
      </c>
      <c r="P421" s="322">
        <v>2</v>
      </c>
      <c r="Q421" s="322">
        <f ca="1">IF(Q422&lt;=0,-1,IF(Q422=1,2,1))</f>
        <v>-1</v>
      </c>
      <c r="R421" s="322">
        <f ca="1">IF(R422&lt;=0,-1,IF(R422=1,2,1))</f>
        <v>-1</v>
      </c>
      <c r="S421" s="346">
        <f>Tippabgabe!CE164</f>
        <v>0</v>
      </c>
      <c r="T421" s="346">
        <f>Tippabgabe!CF164</f>
        <v>0</v>
      </c>
      <c r="U421" s="322"/>
      <c r="V421" s="322"/>
      <c r="W421" s="322"/>
      <c r="X421" s="322"/>
      <c r="Y421" s="322"/>
      <c r="Z421" s="322"/>
      <c r="AA421" s="322"/>
      <c r="AB421" s="322"/>
      <c r="AC421" s="322"/>
    </row>
    <row r="422" spans="1:29" x14ac:dyDescent="0.2">
      <c r="A422" s="322"/>
      <c r="B422" s="322" t="str">
        <f>B236</f>
        <v>Belgien</v>
      </c>
      <c r="C422" s="321">
        <f t="shared" si="126"/>
        <v>17</v>
      </c>
      <c r="D422" s="322"/>
      <c r="E422" s="322"/>
      <c r="F422" s="322"/>
      <c r="G422" s="322"/>
      <c r="H422" s="322"/>
      <c r="I422" s="322"/>
      <c r="J422" s="322"/>
      <c r="K422" s="322"/>
      <c r="L422" s="322">
        <f ca="1">IF(Q422&lt;=0,-1,INDEX($L$419:$M$420,O422,Q422))</f>
        <v>-1</v>
      </c>
      <c r="M422" s="322">
        <f ca="1">IF(R422&lt;=0,-1,INDEX($L$419:$M$420,P422,R422))</f>
        <v>-1</v>
      </c>
      <c r="N422" s="322">
        <f ca="1">Tippabgabe!$EJ$155</f>
        <v>-1</v>
      </c>
      <c r="O422" s="322">
        <v>1</v>
      </c>
      <c r="P422" s="322">
        <v>2</v>
      </c>
      <c r="Q422" s="322">
        <f ca="1">INDEX($N$419:$N$420,O422)</f>
        <v>-1</v>
      </c>
      <c r="R422" s="322">
        <f ca="1">INDEX($N$419:$N$420,P422)</f>
        <v>-1</v>
      </c>
      <c r="S422" s="346" t="str">
        <f>Tippabgabe!CE155</f>
        <v/>
      </c>
      <c r="T422" s="346" t="str">
        <f>Tippabgabe!CF155</f>
        <v/>
      </c>
      <c r="U422" s="322"/>
      <c r="V422" s="322"/>
      <c r="W422" s="322"/>
      <c r="X422" s="322"/>
      <c r="Y422" s="322"/>
      <c r="Z422" s="322"/>
      <c r="AA422" s="322"/>
      <c r="AB422" s="322"/>
      <c r="AC422" s="322"/>
    </row>
    <row r="423" spans="1:29" x14ac:dyDescent="0.2">
      <c r="A423" s="322"/>
      <c r="B423" s="322" t="str">
        <f>B237</f>
        <v>Slowakei</v>
      </c>
      <c r="C423" s="321">
        <f t="shared" si="126"/>
        <v>18</v>
      </c>
      <c r="D423" s="322"/>
      <c r="E423" s="322"/>
      <c r="F423" s="322"/>
      <c r="G423" s="322"/>
      <c r="H423" s="322"/>
      <c r="I423" s="322"/>
      <c r="J423" s="322"/>
      <c r="K423" s="322"/>
      <c r="L423" s="322"/>
      <c r="M423" s="322"/>
      <c r="N423" s="322"/>
      <c r="O423" s="322"/>
      <c r="P423" s="322"/>
      <c r="Q423" s="322"/>
      <c r="R423" s="322"/>
      <c r="S423" s="322"/>
      <c r="T423" s="322"/>
      <c r="U423" s="322"/>
      <c r="V423" s="322"/>
      <c r="W423" s="322"/>
      <c r="X423" s="322"/>
      <c r="Y423" s="322"/>
      <c r="Z423" s="322"/>
      <c r="AA423" s="322"/>
      <c r="AB423" s="322"/>
      <c r="AC423" s="322"/>
    </row>
    <row r="424" spans="1:29" x14ac:dyDescent="0.2">
      <c r="A424" s="322"/>
      <c r="B424" s="322" t="str">
        <f>B238</f>
        <v>Rumänien</v>
      </c>
      <c r="C424" s="321">
        <f t="shared" si="126"/>
        <v>19</v>
      </c>
      <c r="D424" s="322"/>
      <c r="E424" s="322"/>
      <c r="F424" s="322"/>
      <c r="G424" s="322"/>
      <c r="H424" s="322"/>
      <c r="I424" s="322"/>
      <c r="J424" s="322"/>
      <c r="K424" s="322"/>
      <c r="L424" s="322" t="s">
        <v>22</v>
      </c>
      <c r="M424" s="322">
        <f ca="1">IF(N422&lt;=0,-1,INDEX(L422:M422,N422))</f>
        <v>-1</v>
      </c>
      <c r="N424" s="322"/>
      <c r="O424" s="322"/>
      <c r="P424" s="322"/>
      <c r="Q424" s="322"/>
      <c r="R424" s="322"/>
      <c r="S424" s="322"/>
      <c r="T424" s="322"/>
      <c r="U424" s="322"/>
      <c r="V424" s="322"/>
      <c r="W424" s="322"/>
      <c r="X424" s="322"/>
      <c r="Y424" s="322"/>
      <c r="Z424" s="322"/>
      <c r="AA424" s="322"/>
      <c r="AB424" s="322"/>
      <c r="AC424" s="322"/>
    </row>
    <row r="425" spans="1:29" x14ac:dyDescent="0.2">
      <c r="A425" s="322"/>
      <c r="B425" s="322" t="str">
        <f>B239</f>
        <v>Ukraine</v>
      </c>
      <c r="C425" s="321">
        <f t="shared" si="126"/>
        <v>20</v>
      </c>
      <c r="D425" s="322"/>
      <c r="G425" s="322"/>
      <c r="H425" s="322"/>
      <c r="I425" s="322"/>
      <c r="J425" s="322"/>
      <c r="K425" s="322"/>
      <c r="L425" s="322" t="s">
        <v>25</v>
      </c>
      <c r="M425" s="322">
        <f ca="1">IF(N422&lt;=0,-1,IF(N422=1,M422,L422))</f>
        <v>-1</v>
      </c>
      <c r="N425" s="322"/>
      <c r="O425" s="322"/>
      <c r="P425" s="322"/>
      <c r="Q425" s="322"/>
      <c r="R425" s="322"/>
      <c r="S425" s="322"/>
      <c r="T425" s="322"/>
      <c r="U425" s="322"/>
      <c r="V425" s="322"/>
      <c r="W425" s="322"/>
      <c r="X425" s="322"/>
      <c r="Y425" s="322"/>
      <c r="Z425" s="322"/>
      <c r="AA425" s="322"/>
      <c r="AB425" s="322"/>
      <c r="AC425" s="322"/>
    </row>
    <row r="426" spans="1:29" x14ac:dyDescent="0.2">
      <c r="A426" s="322"/>
      <c r="B426" s="322" t="str">
        <f>AB236</f>
        <v>Türkei</v>
      </c>
      <c r="C426" s="321">
        <f t="shared" si="126"/>
        <v>21</v>
      </c>
      <c r="L426" s="321" t="s">
        <v>1079</v>
      </c>
      <c r="M426" s="321">
        <f>IF(N421&lt;=0,-1,INDEX(L421:M421,N421))</f>
        <v>-1</v>
      </c>
    </row>
    <row r="427" spans="1:29" x14ac:dyDescent="0.2">
      <c r="A427" s="322"/>
      <c r="B427" s="322" t="str">
        <f>AB237</f>
        <v>Georgien</v>
      </c>
      <c r="C427" s="321">
        <f t="shared" si="126"/>
        <v>22</v>
      </c>
      <c r="L427" s="321" t="s">
        <v>1080</v>
      </c>
      <c r="M427" s="321">
        <f>IF(N421&lt;=0,-1,IF(N421=1,M421,L421))</f>
        <v>-1</v>
      </c>
    </row>
    <row r="428" spans="1:29" x14ac:dyDescent="0.2">
      <c r="A428" s="322"/>
      <c r="B428" s="322" t="str">
        <f>AB238</f>
        <v>Portugal</v>
      </c>
      <c r="C428" s="321">
        <f t="shared" si="126"/>
        <v>23</v>
      </c>
    </row>
    <row r="429" spans="1:29" x14ac:dyDescent="0.2">
      <c r="A429" s="322"/>
      <c r="B429" s="322" t="str">
        <f>AB239</f>
        <v>Tschechien</v>
      </c>
      <c r="C429" s="321">
        <f t="shared" si="126"/>
        <v>24</v>
      </c>
      <c r="L429" s="321" t="s">
        <v>1003</v>
      </c>
      <c r="M429" s="321" t="s">
        <v>953</v>
      </c>
    </row>
    <row r="430" spans="1:29" x14ac:dyDescent="0.2">
      <c r="A430" s="322"/>
      <c r="B430" s="322"/>
      <c r="C430" s="322"/>
      <c r="K430" s="321" t="s">
        <v>1081</v>
      </c>
      <c r="L430" s="321">
        <f>MAX(H335:H358)</f>
        <v>0</v>
      </c>
      <c r="M430" s="321">
        <f>INDEX($C$335:$C$358,MATCH(L430,$H$335:$H$358,0))</f>
        <v>1</v>
      </c>
    </row>
    <row r="431" spans="1:29" x14ac:dyDescent="0.2">
      <c r="A431" s="322"/>
      <c r="B431" s="322"/>
      <c r="C431" s="322"/>
      <c r="K431" s="321" t="s">
        <v>1082</v>
      </c>
      <c r="L431" s="321">
        <f>MIN(H335:H358)</f>
        <v>0</v>
      </c>
      <c r="M431" s="321">
        <f>INDEX($C$335:$C$358,MATCH(L431,$H$335:$H$358,0))</f>
        <v>1</v>
      </c>
    </row>
    <row r="432" spans="1:29" x14ac:dyDescent="0.2">
      <c r="A432" s="322"/>
      <c r="B432" s="322" t="s">
        <v>690</v>
      </c>
      <c r="C432" s="322"/>
      <c r="K432" s="321" t="s">
        <v>1083</v>
      </c>
      <c r="L432" s="321">
        <f>MAX(I335:I358)</f>
        <v>0</v>
      </c>
      <c r="M432" s="321">
        <f>INDEX($C$335:$C$358,MATCH(L432,$I$335:$I$358,0))</f>
        <v>1</v>
      </c>
    </row>
    <row r="433" spans="1:15" x14ac:dyDescent="0.2">
      <c r="A433" s="322">
        <v>1</v>
      </c>
      <c r="B433" s="322" t="s">
        <v>581</v>
      </c>
      <c r="C433" s="322" t="b">
        <f t="shared" ref="C433:C438" si="134">NOT(ISERROR(MATCH(A433,$N$371:$N$374,0)))</f>
        <v>1</v>
      </c>
      <c r="K433" s="321" t="s">
        <v>1084</v>
      </c>
      <c r="L433" s="321">
        <f>MIN(I335:I358)</f>
        <v>0</v>
      </c>
      <c r="M433" s="321">
        <f>INDEX($C$335:$C$358,MATCH(L433,$I$335:$I$358,0))</f>
        <v>1</v>
      </c>
    </row>
    <row r="434" spans="1:15" x14ac:dyDescent="0.2">
      <c r="A434" s="322">
        <v>2</v>
      </c>
      <c r="B434" s="322" t="s">
        <v>601</v>
      </c>
      <c r="C434" s="322" t="b">
        <f t="shared" si="134"/>
        <v>1</v>
      </c>
      <c r="K434" s="321" t="s">
        <v>1031</v>
      </c>
      <c r="L434" s="321">
        <f>SUM(L435:L436)</f>
        <v>0</v>
      </c>
    </row>
    <row r="435" spans="1:15" x14ac:dyDescent="0.2">
      <c r="A435" s="322">
        <v>3</v>
      </c>
      <c r="B435" s="322" t="s">
        <v>613</v>
      </c>
      <c r="C435" s="322" t="b">
        <f t="shared" si="134"/>
        <v>1</v>
      </c>
      <c r="K435" s="321" t="s">
        <v>1085</v>
      </c>
      <c r="L435" s="321">
        <f>SUM(H335:H358)</f>
        <v>0</v>
      </c>
    </row>
    <row r="436" spans="1:15" x14ac:dyDescent="0.2">
      <c r="A436" s="322">
        <v>4</v>
      </c>
      <c r="B436" s="322" t="s">
        <v>608</v>
      </c>
      <c r="C436" s="322" t="b">
        <f t="shared" si="134"/>
        <v>1</v>
      </c>
      <c r="K436" s="321" t="s">
        <v>1086</v>
      </c>
      <c r="L436" s="321">
        <f>SUM(S407:T422)</f>
        <v>0</v>
      </c>
    </row>
    <row r="437" spans="1:15" x14ac:dyDescent="0.2">
      <c r="A437" s="322">
        <v>5</v>
      </c>
      <c r="B437" s="322" t="s">
        <v>487</v>
      </c>
      <c r="C437" s="322" t="b">
        <f t="shared" si="134"/>
        <v>0</v>
      </c>
      <c r="J437" s="321">
        <v>1</v>
      </c>
      <c r="K437" s="321" t="s">
        <v>581</v>
      </c>
      <c r="L437" s="321">
        <f t="shared" ref="L437:L442" si="135">SUMIF($N$335:$N$358,"="&amp;J437,$H$335:$H$358)</f>
        <v>0</v>
      </c>
      <c r="N437" s="321" t="s">
        <v>484</v>
      </c>
      <c r="O437" s="321" t="s">
        <v>483</v>
      </c>
    </row>
    <row r="438" spans="1:15" x14ac:dyDescent="0.2">
      <c r="A438" s="322">
        <v>6</v>
      </c>
      <c r="B438" s="322" t="s">
        <v>632</v>
      </c>
      <c r="C438" s="322" t="b">
        <f t="shared" si="134"/>
        <v>0</v>
      </c>
      <c r="J438" s="321">
        <v>2</v>
      </c>
      <c r="K438" s="321" t="s">
        <v>601</v>
      </c>
      <c r="L438" s="321">
        <f t="shared" si="135"/>
        <v>0</v>
      </c>
      <c r="N438" s="321">
        <f>MAX(L437:L442)</f>
        <v>0</v>
      </c>
      <c r="O438" s="321">
        <f>MIN(L437:L442)</f>
        <v>0</v>
      </c>
    </row>
    <row r="439" spans="1:15" x14ac:dyDescent="0.2">
      <c r="J439" s="321">
        <v>3</v>
      </c>
      <c r="K439" s="321" t="s">
        <v>613</v>
      </c>
      <c r="L439" s="321">
        <f t="shared" si="135"/>
        <v>0</v>
      </c>
    </row>
    <row r="440" spans="1:15" x14ac:dyDescent="0.2">
      <c r="J440" s="321">
        <v>4</v>
      </c>
      <c r="K440" s="321" t="s">
        <v>608</v>
      </c>
      <c r="L440" s="321">
        <f t="shared" si="135"/>
        <v>0</v>
      </c>
      <c r="N440" s="321" t="s">
        <v>1087</v>
      </c>
    </row>
    <row r="441" spans="1:15" x14ac:dyDescent="0.2">
      <c r="J441" s="321">
        <v>5</v>
      </c>
      <c r="K441" s="321" t="s">
        <v>487</v>
      </c>
      <c r="L441" s="321">
        <f t="shared" si="135"/>
        <v>0</v>
      </c>
      <c r="N441" s="321">
        <f>MATCH(N438,$L$437:$L$442,0)</f>
        <v>1</v>
      </c>
      <c r="O441" s="321">
        <f>MATCH(O438,$L$437:$L$442,0)</f>
        <v>1</v>
      </c>
    </row>
    <row r="442" spans="1:15" x14ac:dyDescent="0.2">
      <c r="J442" s="321">
        <v>6</v>
      </c>
      <c r="K442" s="321" t="s">
        <v>632</v>
      </c>
      <c r="L442" s="321">
        <f t="shared" si="135"/>
        <v>0</v>
      </c>
    </row>
    <row r="444" spans="1:15" x14ac:dyDescent="0.2">
      <c r="K444" s="321" t="s">
        <v>1088</v>
      </c>
      <c r="L444" s="321">
        <f ca="1">MAX(R335:R358)</f>
        <v>0</v>
      </c>
      <c r="M444" s="321">
        <f ca="1">INDEX($C$335:$C$358,MATCH(L444,$R$335:$R$358,0))</f>
        <v>1</v>
      </c>
    </row>
  </sheetData>
  <mergeCells count="8">
    <mergeCell ref="E59:F59"/>
    <mergeCell ref="E141:F141"/>
    <mergeCell ref="AE59:AF59"/>
    <mergeCell ref="AE141:AF141"/>
    <mergeCell ref="E223:F223"/>
    <mergeCell ref="E305:F305"/>
    <mergeCell ref="AE223:AF223"/>
    <mergeCell ref="AE305:AF305"/>
  </mergeCells>
  <phoneticPr fontId="5" type="noConversion"/>
  <pageMargins left="0.78740157499999996" right="0.78740157499999996" top="0.984251969" bottom="0.984251969" header="0.4921259845" footer="0.4921259845"/>
  <pageSetup paperSize="9" orientation="portrait" horizontalDpi="4294967293"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718D4-C8C5-4344-81F7-7F3FDD522F95}">
  <sheetPr codeName="Tabelle8"/>
  <dimension ref="A1:AT438"/>
  <sheetViews>
    <sheetView showGridLines="0" zoomScale="115" workbookViewId="0">
      <selection activeCell="K29" sqref="K29"/>
    </sheetView>
  </sheetViews>
  <sheetFormatPr baseColWidth="10" defaultColWidth="11.375" defaultRowHeight="10.199999999999999" x14ac:dyDescent="0.2"/>
  <cols>
    <col min="1" max="22" width="11.375" style="322"/>
    <col min="23" max="23" width="2.625" style="322" customWidth="1"/>
    <col min="24" max="16384" width="11.375" style="322"/>
  </cols>
  <sheetData>
    <row r="1" spans="1:46" x14ac:dyDescent="0.2">
      <c r="A1" s="322" t="s">
        <v>1105</v>
      </c>
      <c r="C1" s="322" t="s">
        <v>970</v>
      </c>
      <c r="H1" s="322" t="s">
        <v>971</v>
      </c>
    </row>
    <row r="2" spans="1:46" x14ac:dyDescent="0.2">
      <c r="C2" s="322" t="s">
        <v>972</v>
      </c>
      <c r="H2" s="322" t="s">
        <v>473</v>
      </c>
    </row>
    <row r="3" spans="1:46" x14ac:dyDescent="0.2">
      <c r="A3" s="322" t="s">
        <v>973</v>
      </c>
    </row>
    <row r="4" spans="1:46" x14ac:dyDescent="0.2">
      <c r="A4" s="322" t="s">
        <v>581</v>
      </c>
      <c r="B4" s="322" t="s">
        <v>394</v>
      </c>
      <c r="G4" s="322" t="s">
        <v>473</v>
      </c>
      <c r="K4" s="322" t="s">
        <v>974</v>
      </c>
      <c r="AA4" s="322" t="s">
        <v>601</v>
      </c>
      <c r="AB4" s="322" t="s">
        <v>394</v>
      </c>
      <c r="AG4" s="322" t="s">
        <v>473</v>
      </c>
      <c r="AK4" s="322" t="s">
        <v>974</v>
      </c>
    </row>
    <row r="5" spans="1:46" x14ac:dyDescent="0.2">
      <c r="A5" s="322" t="s">
        <v>975</v>
      </c>
      <c r="D5" s="322" t="s">
        <v>976</v>
      </c>
      <c r="E5" s="322" t="s">
        <v>977</v>
      </c>
      <c r="F5" s="322" t="s">
        <v>978</v>
      </c>
      <c r="G5" s="322" t="s">
        <v>979</v>
      </c>
      <c r="H5" s="322" t="s">
        <v>980</v>
      </c>
      <c r="I5" s="322" t="s">
        <v>981</v>
      </c>
      <c r="K5" s="322" t="s">
        <v>982</v>
      </c>
      <c r="L5" s="322" t="s">
        <v>983</v>
      </c>
      <c r="M5" s="322" t="s">
        <v>984</v>
      </c>
      <c r="N5" s="322" t="s">
        <v>985</v>
      </c>
      <c r="O5" s="322" t="s">
        <v>986</v>
      </c>
      <c r="P5" s="322" t="s">
        <v>987</v>
      </c>
      <c r="Q5" s="322" t="s">
        <v>879</v>
      </c>
      <c r="S5" s="322" t="s">
        <v>473</v>
      </c>
      <c r="AA5" s="322" t="s">
        <v>975</v>
      </c>
      <c r="AD5" s="322" t="s">
        <v>976</v>
      </c>
      <c r="AE5" s="322" t="s">
        <v>977</v>
      </c>
      <c r="AF5" s="322" t="s">
        <v>978</v>
      </c>
      <c r="AG5" s="322" t="s">
        <v>979</v>
      </c>
      <c r="AH5" s="322" t="s">
        <v>980</v>
      </c>
      <c r="AI5" s="322" t="s">
        <v>981</v>
      </c>
      <c r="AK5" s="322" t="s">
        <v>982</v>
      </c>
      <c r="AL5" s="322" t="s">
        <v>983</v>
      </c>
      <c r="AM5" s="322" t="s">
        <v>984</v>
      </c>
      <c r="AN5" s="322" t="s">
        <v>985</v>
      </c>
      <c r="AO5" s="322" t="s">
        <v>986</v>
      </c>
      <c r="AP5" s="322" t="s">
        <v>987</v>
      </c>
      <c r="AQ5" s="322" t="s">
        <v>879</v>
      </c>
      <c r="AS5" s="322" t="s">
        <v>473</v>
      </c>
    </row>
    <row r="6" spans="1:46" ht="11.4" x14ac:dyDescent="0.2">
      <c r="A6" s="316">
        <v>1</v>
      </c>
      <c r="B6" s="316" t="str">
        <f t="shared" ref="B6:B11" si="0">D6&amp;"#"&amp;E6</f>
        <v>1#2</v>
      </c>
      <c r="C6" s="316" t="str">
        <f t="shared" ref="C6:C11" si="1">E6&amp;"#"&amp;D6</f>
        <v>2#1</v>
      </c>
      <c r="D6" s="316">
        <f>VLOOKUP(J6,daten!$G$59:$L$94,5,FALSE)</f>
        <v>1</v>
      </c>
      <c r="E6" s="316">
        <f>VLOOKUP(J6,daten!$G$59:$L$94,6,FALSE)</f>
        <v>2</v>
      </c>
      <c r="F6" s="316">
        <f t="shared" ref="F6:F11" si="2">D6</f>
        <v>1</v>
      </c>
      <c r="G6" s="316" t="str">
        <f>VLOOKUP(J6,Tippabgabe!$DQ$40:$DW$75,4,FALSE)</f>
        <v/>
      </c>
      <c r="H6" s="316" t="str">
        <f>VLOOKUP(J6,Tippabgabe!$DQ$40:$DW$75,5,FALSE)</f>
        <v/>
      </c>
      <c r="I6" s="316" t="str">
        <f t="shared" ref="I6:I11" si="3">IF(LEN(G6)&gt;0,G6,"")</f>
        <v/>
      </c>
      <c r="J6" s="316" t="str">
        <f>A4&amp;"-"&amp;A6</f>
        <v>A-1</v>
      </c>
      <c r="K6" s="322">
        <f t="shared" ref="K6:K11" si="4">IF(COUNT(G6:H6)&lt;&gt;2,0,IF(G6&gt;H6,3,IF(H6&gt;G6,0,1)))</f>
        <v>0</v>
      </c>
      <c r="L6" s="322">
        <f t="shared" ref="L6:L11" si="5">IF(COUNT(G6:H6)&lt;&gt;2,0,IF(G6&gt;H6,0,IF(H6&gt;G6,3,1)))</f>
        <v>0</v>
      </c>
      <c r="M6" s="322">
        <f t="shared" ref="M6:M11" si="6">IF(COUNT(G6:H6)&lt;&gt;2,0,G6-H6)</f>
        <v>0</v>
      </c>
      <c r="N6" s="322">
        <f t="shared" ref="N6:N11" si="7">IF(COUNT(G6:H6)&lt;&gt;2,0,H6-I6)</f>
        <v>0</v>
      </c>
      <c r="O6" s="322">
        <f t="shared" ref="O6:P11" si="8">K6*1000+M6+IF(LEN(G6)=0,0,G6/1000)</f>
        <v>0</v>
      </c>
      <c r="P6" s="322">
        <f t="shared" si="8"/>
        <v>0</v>
      </c>
      <c r="Q6" s="322">
        <f t="shared" ref="Q6:Q11" si="9">IF(COUNT(G6:H6)=2,1,0)</f>
        <v>0</v>
      </c>
      <c r="R6" s="322">
        <f t="shared" ref="R6:R11" si="10">Q6</f>
        <v>0</v>
      </c>
      <c r="S6" s="322" t="str">
        <f t="shared" ref="S6:T11" si="11">IF(Q6=0,"X",IF(K6=3,"S",IF(K6=0,"N","U")))&amp;D6</f>
        <v>X1</v>
      </c>
      <c r="T6" s="322" t="str">
        <f t="shared" si="11"/>
        <v>X2</v>
      </c>
      <c r="AA6" s="316">
        <v>1</v>
      </c>
      <c r="AB6" s="316" t="str">
        <f t="shared" ref="AB6:AB11" si="12">AD6&amp;"#"&amp;AE6</f>
        <v>5#6</v>
      </c>
      <c r="AC6" s="316" t="str">
        <f t="shared" ref="AC6:AC11" si="13">AE6&amp;"#"&amp;AD6</f>
        <v>6#5</v>
      </c>
      <c r="AD6" s="316">
        <f>VLOOKUP(AJ6,daten!$G$59:$L$94,5,FALSE)</f>
        <v>5</v>
      </c>
      <c r="AE6" s="316">
        <f>VLOOKUP(AJ6,daten!$G$59:$L$94,6,FALSE)</f>
        <v>6</v>
      </c>
      <c r="AF6" s="316">
        <f t="shared" ref="AF6:AF11" si="14">AD6</f>
        <v>5</v>
      </c>
      <c r="AG6" s="316" t="str">
        <f>VLOOKUP(AJ6,Tippabgabe!$DQ$40:$DW$75,4,FALSE)</f>
        <v/>
      </c>
      <c r="AH6" s="316" t="str">
        <f>VLOOKUP(AJ6,Tippabgabe!$DQ$40:$DW$75,5,FALSE)</f>
        <v/>
      </c>
      <c r="AI6" s="316" t="str">
        <f t="shared" ref="AI6:AI11" si="15">IF(LEN(AG6)&gt;0,AG6,"")</f>
        <v/>
      </c>
      <c r="AJ6" s="316" t="str">
        <f>AA4&amp;"-"&amp;AA6</f>
        <v>B-1</v>
      </c>
      <c r="AK6" s="322">
        <f t="shared" ref="AK6:AK11" si="16">IF(COUNT(AG6:AH6)&lt;&gt;2,0,IF(AG6&gt;AH6,3,IF(AH6&gt;AG6,0,1)))</f>
        <v>0</v>
      </c>
      <c r="AL6" s="322">
        <f t="shared" ref="AL6:AL11" si="17">IF(COUNT(AG6:AH6)&lt;&gt;2,0,IF(AG6&gt;AH6,0,IF(AH6&gt;AG6,3,1)))</f>
        <v>0</v>
      </c>
      <c r="AM6" s="322">
        <f t="shared" ref="AM6:AM11" si="18">IF(COUNT(AG6:AH6)&lt;&gt;2,0,AG6-AH6)</f>
        <v>0</v>
      </c>
      <c r="AN6" s="322">
        <f t="shared" ref="AN6:AN11" si="19">IF(COUNT(AG6:AH6)&lt;&gt;2,0,AH6-AI6)</f>
        <v>0</v>
      </c>
      <c r="AO6" s="322">
        <f t="shared" ref="AO6:AP11" si="20">AK6*1000+AM6+IF(LEN(AG6)=0,0,AG6/1000)</f>
        <v>0</v>
      </c>
      <c r="AP6" s="322">
        <f t="shared" si="20"/>
        <v>0</v>
      </c>
      <c r="AQ6" s="322">
        <f t="shared" ref="AQ6:AQ11" si="21">IF(COUNT(AG6:AH6)=2,1,0)</f>
        <v>0</v>
      </c>
      <c r="AR6" s="322">
        <f t="shared" ref="AR6:AR11" si="22">AQ6</f>
        <v>0</v>
      </c>
      <c r="AS6" s="322" t="str">
        <f t="shared" ref="AS6:AT11" si="23">IF(AQ6=0,"X",IF(AK6=3,"S",IF(AK6=0,"N","U")))&amp;AD6</f>
        <v>X5</v>
      </c>
      <c r="AT6" s="322" t="str">
        <f t="shared" si="23"/>
        <v>X6</v>
      </c>
    </row>
    <row r="7" spans="1:46" ht="11.4" x14ac:dyDescent="0.2">
      <c r="A7" s="316">
        <v>2</v>
      </c>
      <c r="B7" s="316" t="str">
        <f t="shared" si="0"/>
        <v>3#4</v>
      </c>
      <c r="C7" s="316" t="str">
        <f t="shared" si="1"/>
        <v>4#3</v>
      </c>
      <c r="D7" s="316">
        <f>VLOOKUP(J7,daten!$G$59:$L$94,5,FALSE)</f>
        <v>3</v>
      </c>
      <c r="E7" s="316">
        <f>VLOOKUP(J7,daten!$G$59:$L$94,6,FALSE)</f>
        <v>4</v>
      </c>
      <c r="F7" s="316">
        <f t="shared" si="2"/>
        <v>3</v>
      </c>
      <c r="G7" s="316" t="str">
        <f>VLOOKUP(J7,Tippabgabe!$DQ$40:$DW$75,4,FALSE)</f>
        <v/>
      </c>
      <c r="H7" s="316" t="str">
        <f>VLOOKUP(J7,Tippabgabe!$DQ$40:$DW$75,5,FALSE)</f>
        <v/>
      </c>
      <c r="I7" s="316" t="str">
        <f t="shared" si="3"/>
        <v/>
      </c>
      <c r="J7" s="316" t="str">
        <f>A4&amp;"-"&amp;A7</f>
        <v>A-2</v>
      </c>
      <c r="K7" s="322">
        <f t="shared" si="4"/>
        <v>0</v>
      </c>
      <c r="L7" s="322">
        <f t="shared" si="5"/>
        <v>0</v>
      </c>
      <c r="M7" s="322">
        <f t="shared" si="6"/>
        <v>0</v>
      </c>
      <c r="N7" s="322">
        <f t="shared" si="7"/>
        <v>0</v>
      </c>
      <c r="O7" s="322">
        <f t="shared" si="8"/>
        <v>0</v>
      </c>
      <c r="P7" s="322">
        <f t="shared" si="8"/>
        <v>0</v>
      </c>
      <c r="Q7" s="322">
        <f t="shared" si="9"/>
        <v>0</v>
      </c>
      <c r="R7" s="322">
        <f t="shared" si="10"/>
        <v>0</v>
      </c>
      <c r="S7" s="322" t="str">
        <f t="shared" si="11"/>
        <v>X3</v>
      </c>
      <c r="T7" s="322" t="str">
        <f t="shared" si="11"/>
        <v>X4</v>
      </c>
      <c r="AA7" s="316">
        <v>2</v>
      </c>
      <c r="AB7" s="316" t="str">
        <f t="shared" si="12"/>
        <v>7#8</v>
      </c>
      <c r="AC7" s="316" t="str">
        <f t="shared" si="13"/>
        <v>8#7</v>
      </c>
      <c r="AD7" s="316">
        <f>VLOOKUP(AJ7,daten!$G$59:$L$94,5,FALSE)</f>
        <v>7</v>
      </c>
      <c r="AE7" s="316">
        <f>VLOOKUP(AJ7,daten!$G$59:$L$94,6,FALSE)</f>
        <v>8</v>
      </c>
      <c r="AF7" s="316">
        <f t="shared" si="14"/>
        <v>7</v>
      </c>
      <c r="AG7" s="316" t="str">
        <f>VLOOKUP(AJ7,Tippabgabe!$DQ$40:$DW$75,4,FALSE)</f>
        <v/>
      </c>
      <c r="AH7" s="316" t="str">
        <f>VLOOKUP(AJ7,Tippabgabe!$DQ$40:$DW$75,5,FALSE)</f>
        <v/>
      </c>
      <c r="AI7" s="316" t="str">
        <f t="shared" si="15"/>
        <v/>
      </c>
      <c r="AJ7" s="316" t="str">
        <f>AA4&amp;"-"&amp;AA7</f>
        <v>B-2</v>
      </c>
      <c r="AK7" s="322">
        <f t="shared" si="16"/>
        <v>0</v>
      </c>
      <c r="AL7" s="322">
        <f t="shared" si="17"/>
        <v>0</v>
      </c>
      <c r="AM7" s="322">
        <f t="shared" si="18"/>
        <v>0</v>
      </c>
      <c r="AN7" s="322">
        <f t="shared" si="19"/>
        <v>0</v>
      </c>
      <c r="AO7" s="322">
        <f t="shared" si="20"/>
        <v>0</v>
      </c>
      <c r="AP7" s="322">
        <f t="shared" si="20"/>
        <v>0</v>
      </c>
      <c r="AQ7" s="322">
        <f t="shared" si="21"/>
        <v>0</v>
      </c>
      <c r="AR7" s="322">
        <f t="shared" si="22"/>
        <v>0</v>
      </c>
      <c r="AS7" s="322" t="str">
        <f t="shared" si="23"/>
        <v>X7</v>
      </c>
      <c r="AT7" s="322" t="str">
        <f t="shared" si="23"/>
        <v>X8</v>
      </c>
    </row>
    <row r="8" spans="1:46" ht="11.4" x14ac:dyDescent="0.2">
      <c r="A8" s="316">
        <v>3</v>
      </c>
      <c r="B8" s="316" t="str">
        <f t="shared" si="0"/>
        <v>1#3</v>
      </c>
      <c r="C8" s="316" t="str">
        <f t="shared" si="1"/>
        <v>3#1</v>
      </c>
      <c r="D8" s="316">
        <f>VLOOKUP(J8,daten!$G$59:$L$94,5,FALSE)</f>
        <v>1</v>
      </c>
      <c r="E8" s="316">
        <f>VLOOKUP(J8,daten!$G$59:$L$94,6,FALSE)</f>
        <v>3</v>
      </c>
      <c r="F8" s="316">
        <f t="shared" si="2"/>
        <v>1</v>
      </c>
      <c r="G8" s="316" t="str">
        <f>VLOOKUP(J8,Tippabgabe!$DQ$40:$DW$75,4,FALSE)</f>
        <v/>
      </c>
      <c r="H8" s="316" t="str">
        <f>VLOOKUP(J8,Tippabgabe!$DQ$40:$DW$75,5,FALSE)</f>
        <v/>
      </c>
      <c r="I8" s="316" t="str">
        <f t="shared" si="3"/>
        <v/>
      </c>
      <c r="J8" s="316" t="str">
        <f>A4&amp;"-"&amp;A8</f>
        <v>A-3</v>
      </c>
      <c r="K8" s="322">
        <f t="shared" si="4"/>
        <v>0</v>
      </c>
      <c r="L8" s="322">
        <f t="shared" si="5"/>
        <v>0</v>
      </c>
      <c r="M8" s="322">
        <f t="shared" si="6"/>
        <v>0</v>
      </c>
      <c r="N8" s="322">
        <f t="shared" si="7"/>
        <v>0</v>
      </c>
      <c r="O8" s="322">
        <f t="shared" si="8"/>
        <v>0</v>
      </c>
      <c r="P8" s="322">
        <f t="shared" si="8"/>
        <v>0</v>
      </c>
      <c r="Q8" s="322">
        <f t="shared" si="9"/>
        <v>0</v>
      </c>
      <c r="R8" s="322">
        <f t="shared" si="10"/>
        <v>0</v>
      </c>
      <c r="S8" s="322" t="str">
        <f t="shared" si="11"/>
        <v>X1</v>
      </c>
      <c r="T8" s="322" t="str">
        <f t="shared" si="11"/>
        <v>X3</v>
      </c>
      <c r="AA8" s="316">
        <v>3</v>
      </c>
      <c r="AB8" s="316" t="str">
        <f t="shared" si="12"/>
        <v>6#8</v>
      </c>
      <c r="AC8" s="316" t="str">
        <f t="shared" si="13"/>
        <v>8#6</v>
      </c>
      <c r="AD8" s="316">
        <f>VLOOKUP(AJ8,daten!$G$59:$L$94,5,FALSE)</f>
        <v>6</v>
      </c>
      <c r="AE8" s="316">
        <f>VLOOKUP(AJ8,daten!$G$59:$L$94,6,FALSE)</f>
        <v>8</v>
      </c>
      <c r="AF8" s="316">
        <f t="shared" si="14"/>
        <v>6</v>
      </c>
      <c r="AG8" s="316" t="str">
        <f>VLOOKUP(AJ8,Tippabgabe!$DQ$40:$DW$75,4,FALSE)</f>
        <v/>
      </c>
      <c r="AH8" s="316" t="str">
        <f>VLOOKUP(AJ8,Tippabgabe!$DQ$40:$DW$75,5,FALSE)</f>
        <v/>
      </c>
      <c r="AI8" s="316" t="str">
        <f t="shared" si="15"/>
        <v/>
      </c>
      <c r="AJ8" s="316" t="str">
        <f>AA4&amp;"-"&amp;AA8</f>
        <v>B-3</v>
      </c>
      <c r="AK8" s="322">
        <f t="shared" si="16"/>
        <v>0</v>
      </c>
      <c r="AL8" s="322">
        <f t="shared" si="17"/>
        <v>0</v>
      </c>
      <c r="AM8" s="322">
        <f t="shared" si="18"/>
        <v>0</v>
      </c>
      <c r="AN8" s="322">
        <f t="shared" si="19"/>
        <v>0</v>
      </c>
      <c r="AO8" s="322">
        <f t="shared" si="20"/>
        <v>0</v>
      </c>
      <c r="AP8" s="322">
        <f t="shared" si="20"/>
        <v>0</v>
      </c>
      <c r="AQ8" s="322">
        <f t="shared" si="21"/>
        <v>0</v>
      </c>
      <c r="AR8" s="322">
        <f t="shared" si="22"/>
        <v>0</v>
      </c>
      <c r="AS8" s="322" t="str">
        <f t="shared" si="23"/>
        <v>X6</v>
      </c>
      <c r="AT8" s="322" t="str">
        <f t="shared" si="23"/>
        <v>X8</v>
      </c>
    </row>
    <row r="9" spans="1:46" ht="11.4" x14ac:dyDescent="0.2">
      <c r="A9" s="316">
        <v>4</v>
      </c>
      <c r="B9" s="316" t="str">
        <f t="shared" si="0"/>
        <v>2#4</v>
      </c>
      <c r="C9" s="316" t="str">
        <f t="shared" si="1"/>
        <v>4#2</v>
      </c>
      <c r="D9" s="316">
        <f>VLOOKUP(J9,daten!$G$59:$L$94,5,FALSE)</f>
        <v>2</v>
      </c>
      <c r="E9" s="316">
        <f>VLOOKUP(J9,daten!$G$59:$L$94,6,FALSE)</f>
        <v>4</v>
      </c>
      <c r="F9" s="316">
        <f t="shared" si="2"/>
        <v>2</v>
      </c>
      <c r="G9" s="316" t="str">
        <f>VLOOKUP(J9,Tippabgabe!$DQ$40:$DW$75,4,FALSE)</f>
        <v/>
      </c>
      <c r="H9" s="316" t="str">
        <f>VLOOKUP(J9,Tippabgabe!$DQ$40:$DW$75,5,FALSE)</f>
        <v/>
      </c>
      <c r="I9" s="316" t="str">
        <f t="shared" si="3"/>
        <v/>
      </c>
      <c r="J9" s="316" t="str">
        <f>A4&amp;"-"&amp;A9</f>
        <v>A-4</v>
      </c>
      <c r="K9" s="322">
        <f t="shared" si="4"/>
        <v>0</v>
      </c>
      <c r="L9" s="322">
        <f t="shared" si="5"/>
        <v>0</v>
      </c>
      <c r="M9" s="322">
        <f t="shared" si="6"/>
        <v>0</v>
      </c>
      <c r="N9" s="322">
        <f t="shared" si="7"/>
        <v>0</v>
      </c>
      <c r="O9" s="322">
        <f t="shared" si="8"/>
        <v>0</v>
      </c>
      <c r="P9" s="322">
        <f t="shared" si="8"/>
        <v>0</v>
      </c>
      <c r="Q9" s="322">
        <f t="shared" si="9"/>
        <v>0</v>
      </c>
      <c r="R9" s="322">
        <f t="shared" si="10"/>
        <v>0</v>
      </c>
      <c r="S9" s="322" t="str">
        <f t="shared" si="11"/>
        <v>X2</v>
      </c>
      <c r="T9" s="322" t="str">
        <f t="shared" si="11"/>
        <v>X4</v>
      </c>
      <c r="AA9" s="316">
        <v>4</v>
      </c>
      <c r="AB9" s="316" t="str">
        <f t="shared" si="12"/>
        <v>5#7</v>
      </c>
      <c r="AC9" s="316" t="str">
        <f t="shared" si="13"/>
        <v>7#5</v>
      </c>
      <c r="AD9" s="316">
        <f>VLOOKUP(AJ9,daten!$G$59:$L$94,5,FALSE)</f>
        <v>5</v>
      </c>
      <c r="AE9" s="316">
        <f>VLOOKUP(AJ9,daten!$G$59:$L$94,6,FALSE)</f>
        <v>7</v>
      </c>
      <c r="AF9" s="316">
        <f t="shared" si="14"/>
        <v>5</v>
      </c>
      <c r="AG9" s="316" t="str">
        <f>VLOOKUP(AJ9,Tippabgabe!$DQ$40:$DW$75,4,FALSE)</f>
        <v/>
      </c>
      <c r="AH9" s="316" t="str">
        <f>VLOOKUP(AJ9,Tippabgabe!$DQ$40:$DW$75,5,FALSE)</f>
        <v/>
      </c>
      <c r="AI9" s="316" t="str">
        <f t="shared" si="15"/>
        <v/>
      </c>
      <c r="AJ9" s="316" t="str">
        <f>AA4&amp;"-"&amp;AA9</f>
        <v>B-4</v>
      </c>
      <c r="AK9" s="322">
        <f t="shared" si="16"/>
        <v>0</v>
      </c>
      <c r="AL9" s="322">
        <f t="shared" si="17"/>
        <v>0</v>
      </c>
      <c r="AM9" s="322">
        <f t="shared" si="18"/>
        <v>0</v>
      </c>
      <c r="AN9" s="322">
        <f t="shared" si="19"/>
        <v>0</v>
      </c>
      <c r="AO9" s="322">
        <f t="shared" si="20"/>
        <v>0</v>
      </c>
      <c r="AP9" s="322">
        <f t="shared" si="20"/>
        <v>0</v>
      </c>
      <c r="AQ9" s="322">
        <f t="shared" si="21"/>
        <v>0</v>
      </c>
      <c r="AR9" s="322">
        <f t="shared" si="22"/>
        <v>0</v>
      </c>
      <c r="AS9" s="322" t="str">
        <f t="shared" si="23"/>
        <v>X5</v>
      </c>
      <c r="AT9" s="322" t="str">
        <f t="shared" si="23"/>
        <v>X7</v>
      </c>
    </row>
    <row r="10" spans="1:46" ht="11.4" x14ac:dyDescent="0.2">
      <c r="A10" s="316">
        <v>5</v>
      </c>
      <c r="B10" s="316" t="str">
        <f t="shared" si="0"/>
        <v>4#1</v>
      </c>
      <c r="C10" s="316" t="str">
        <f t="shared" si="1"/>
        <v>1#4</v>
      </c>
      <c r="D10" s="316">
        <f>VLOOKUP(J10,daten!$G$59:$L$94,5,FALSE)</f>
        <v>4</v>
      </c>
      <c r="E10" s="316">
        <f>VLOOKUP(J10,daten!$G$59:$L$94,6,FALSE)</f>
        <v>1</v>
      </c>
      <c r="F10" s="316">
        <f t="shared" si="2"/>
        <v>4</v>
      </c>
      <c r="G10" s="316" t="str">
        <f>VLOOKUP(J10,Tippabgabe!$DQ$40:$DW$75,4,FALSE)</f>
        <v/>
      </c>
      <c r="H10" s="316" t="str">
        <f>VLOOKUP(J10,Tippabgabe!$DQ$40:$DW$75,5,FALSE)</f>
        <v/>
      </c>
      <c r="I10" s="316" t="str">
        <f t="shared" si="3"/>
        <v/>
      </c>
      <c r="J10" s="316" t="str">
        <f>A4&amp;"-"&amp;A10</f>
        <v>A-5</v>
      </c>
      <c r="K10" s="322">
        <f t="shared" si="4"/>
        <v>0</v>
      </c>
      <c r="L10" s="322">
        <f t="shared" si="5"/>
        <v>0</v>
      </c>
      <c r="M10" s="322">
        <f t="shared" si="6"/>
        <v>0</v>
      </c>
      <c r="N10" s="322">
        <f t="shared" si="7"/>
        <v>0</v>
      </c>
      <c r="O10" s="322">
        <f t="shared" si="8"/>
        <v>0</v>
      </c>
      <c r="P10" s="322">
        <f t="shared" si="8"/>
        <v>0</v>
      </c>
      <c r="Q10" s="322">
        <f t="shared" si="9"/>
        <v>0</v>
      </c>
      <c r="R10" s="322">
        <f t="shared" si="10"/>
        <v>0</v>
      </c>
      <c r="S10" s="322" t="str">
        <f t="shared" si="11"/>
        <v>X4</v>
      </c>
      <c r="T10" s="322" t="str">
        <f t="shared" si="11"/>
        <v>X1</v>
      </c>
      <c r="AA10" s="316">
        <v>5</v>
      </c>
      <c r="AB10" s="316" t="str">
        <f t="shared" si="12"/>
        <v>6#7</v>
      </c>
      <c r="AC10" s="316" t="str">
        <f t="shared" si="13"/>
        <v>7#6</v>
      </c>
      <c r="AD10" s="316">
        <f>VLOOKUP(AJ10,daten!$G$59:$L$94,5,FALSE)</f>
        <v>6</v>
      </c>
      <c r="AE10" s="316">
        <f>VLOOKUP(AJ10,daten!$G$59:$L$94,6,FALSE)</f>
        <v>7</v>
      </c>
      <c r="AF10" s="316">
        <f t="shared" si="14"/>
        <v>6</v>
      </c>
      <c r="AG10" s="316" t="str">
        <f>VLOOKUP(AJ10,Tippabgabe!$DQ$40:$DW$75,4,FALSE)</f>
        <v/>
      </c>
      <c r="AH10" s="316" t="str">
        <f>VLOOKUP(AJ10,Tippabgabe!$DQ$40:$DW$75,5,FALSE)</f>
        <v/>
      </c>
      <c r="AI10" s="316" t="str">
        <f t="shared" si="15"/>
        <v/>
      </c>
      <c r="AJ10" s="316" t="str">
        <f>AA4&amp;"-"&amp;AA10</f>
        <v>B-5</v>
      </c>
      <c r="AK10" s="322">
        <f t="shared" si="16"/>
        <v>0</v>
      </c>
      <c r="AL10" s="322">
        <f t="shared" si="17"/>
        <v>0</v>
      </c>
      <c r="AM10" s="322">
        <f t="shared" si="18"/>
        <v>0</v>
      </c>
      <c r="AN10" s="322">
        <f t="shared" si="19"/>
        <v>0</v>
      </c>
      <c r="AO10" s="322">
        <f t="shared" si="20"/>
        <v>0</v>
      </c>
      <c r="AP10" s="322">
        <f t="shared" si="20"/>
        <v>0</v>
      </c>
      <c r="AQ10" s="322">
        <f t="shared" si="21"/>
        <v>0</v>
      </c>
      <c r="AR10" s="322">
        <f t="shared" si="22"/>
        <v>0</v>
      </c>
      <c r="AS10" s="322" t="str">
        <f t="shared" si="23"/>
        <v>X6</v>
      </c>
      <c r="AT10" s="322" t="str">
        <f t="shared" si="23"/>
        <v>X7</v>
      </c>
    </row>
    <row r="11" spans="1:46" ht="11.4" x14ac:dyDescent="0.2">
      <c r="A11" s="316">
        <v>6</v>
      </c>
      <c r="B11" s="316" t="str">
        <f t="shared" si="0"/>
        <v>2#3</v>
      </c>
      <c r="C11" s="316" t="str">
        <f t="shared" si="1"/>
        <v>3#2</v>
      </c>
      <c r="D11" s="316">
        <f>VLOOKUP(J11,daten!$G$59:$L$94,5,FALSE)</f>
        <v>2</v>
      </c>
      <c r="E11" s="316">
        <f>VLOOKUP(J11,daten!$G$59:$L$94,6,FALSE)</f>
        <v>3</v>
      </c>
      <c r="F11" s="316">
        <f t="shared" si="2"/>
        <v>2</v>
      </c>
      <c r="G11" s="316" t="str">
        <f>VLOOKUP(J11,Tippabgabe!$DQ$40:$DW$75,4,FALSE)</f>
        <v/>
      </c>
      <c r="H11" s="316" t="str">
        <f>VLOOKUP(J11,Tippabgabe!$DQ$40:$DW$75,5,FALSE)</f>
        <v/>
      </c>
      <c r="I11" s="316" t="str">
        <f t="shared" si="3"/>
        <v/>
      </c>
      <c r="J11" s="316" t="str">
        <f>A4&amp;"-"&amp;A11</f>
        <v>A-6</v>
      </c>
      <c r="K11" s="322">
        <f t="shared" si="4"/>
        <v>0</v>
      </c>
      <c r="L11" s="322">
        <f t="shared" si="5"/>
        <v>0</v>
      </c>
      <c r="M11" s="322">
        <f t="shared" si="6"/>
        <v>0</v>
      </c>
      <c r="N11" s="322">
        <f t="shared" si="7"/>
        <v>0</v>
      </c>
      <c r="O11" s="322">
        <f t="shared" si="8"/>
        <v>0</v>
      </c>
      <c r="P11" s="322">
        <f t="shared" si="8"/>
        <v>0</v>
      </c>
      <c r="Q11" s="322">
        <f t="shared" si="9"/>
        <v>0</v>
      </c>
      <c r="R11" s="322">
        <f t="shared" si="10"/>
        <v>0</v>
      </c>
      <c r="S11" s="322" t="str">
        <f t="shared" si="11"/>
        <v>X2</v>
      </c>
      <c r="T11" s="322" t="str">
        <f t="shared" si="11"/>
        <v>X3</v>
      </c>
      <c r="AA11" s="316">
        <v>6</v>
      </c>
      <c r="AB11" s="316" t="str">
        <f t="shared" si="12"/>
        <v>8#5</v>
      </c>
      <c r="AC11" s="316" t="str">
        <f t="shared" si="13"/>
        <v>5#8</v>
      </c>
      <c r="AD11" s="316">
        <f>VLOOKUP(AJ11,daten!$G$59:$L$94,5,FALSE)</f>
        <v>8</v>
      </c>
      <c r="AE11" s="316">
        <f>VLOOKUP(AJ11,daten!$G$59:$L$94,6,FALSE)</f>
        <v>5</v>
      </c>
      <c r="AF11" s="316">
        <f t="shared" si="14"/>
        <v>8</v>
      </c>
      <c r="AG11" s="316" t="str">
        <f>VLOOKUP(AJ11,Tippabgabe!$DQ$40:$DW$75,4,FALSE)</f>
        <v/>
      </c>
      <c r="AH11" s="316" t="str">
        <f>VLOOKUP(AJ11,Tippabgabe!$DQ$40:$DW$75,5,FALSE)</f>
        <v/>
      </c>
      <c r="AI11" s="316" t="str">
        <f t="shared" si="15"/>
        <v/>
      </c>
      <c r="AJ11" s="316" t="str">
        <f>AA4&amp;"-"&amp;AA11</f>
        <v>B-6</v>
      </c>
      <c r="AK11" s="322">
        <f t="shared" si="16"/>
        <v>0</v>
      </c>
      <c r="AL11" s="322">
        <f t="shared" si="17"/>
        <v>0</v>
      </c>
      <c r="AM11" s="322">
        <f t="shared" si="18"/>
        <v>0</v>
      </c>
      <c r="AN11" s="322">
        <f t="shared" si="19"/>
        <v>0</v>
      </c>
      <c r="AO11" s="322">
        <f t="shared" si="20"/>
        <v>0</v>
      </c>
      <c r="AP11" s="322">
        <f t="shared" si="20"/>
        <v>0</v>
      </c>
      <c r="AQ11" s="322">
        <f t="shared" si="21"/>
        <v>0</v>
      </c>
      <c r="AR11" s="322">
        <f t="shared" si="22"/>
        <v>0</v>
      </c>
      <c r="AS11" s="322" t="str">
        <f t="shared" si="23"/>
        <v>X8</v>
      </c>
      <c r="AT11" s="322" t="str">
        <f t="shared" si="23"/>
        <v>X5</v>
      </c>
    </row>
    <row r="13" spans="1:46" x14ac:dyDescent="0.2">
      <c r="N13" s="322" t="s">
        <v>1089</v>
      </c>
    </row>
    <row r="14" spans="1:46" x14ac:dyDescent="0.2">
      <c r="A14" s="322" t="s">
        <v>374</v>
      </c>
      <c r="C14" s="322" t="s">
        <v>988</v>
      </c>
      <c r="D14" s="322" t="s">
        <v>587</v>
      </c>
      <c r="E14" s="322" t="s">
        <v>989</v>
      </c>
      <c r="F14" s="322" t="s">
        <v>990</v>
      </c>
      <c r="G14" s="322" t="s">
        <v>991</v>
      </c>
      <c r="H14" s="322" t="s">
        <v>108</v>
      </c>
      <c r="I14" s="322" t="s">
        <v>992</v>
      </c>
      <c r="K14" s="322" t="s">
        <v>993</v>
      </c>
      <c r="M14" s="322" t="s">
        <v>994</v>
      </c>
      <c r="N14" s="322" t="s">
        <v>992</v>
      </c>
      <c r="AA14" s="322" t="s">
        <v>374</v>
      </c>
      <c r="AC14" s="322" t="s">
        <v>988</v>
      </c>
      <c r="AD14" s="322" t="s">
        <v>587</v>
      </c>
      <c r="AE14" s="322" t="s">
        <v>989</v>
      </c>
      <c r="AF14" s="322" t="s">
        <v>990</v>
      </c>
      <c r="AG14" s="322" t="s">
        <v>991</v>
      </c>
      <c r="AH14" s="322" t="s">
        <v>108</v>
      </c>
      <c r="AI14" s="322" t="s">
        <v>992</v>
      </c>
      <c r="AK14" s="322" t="s">
        <v>993</v>
      </c>
      <c r="AM14" s="322" t="s">
        <v>994</v>
      </c>
      <c r="AN14" s="322" t="s">
        <v>992</v>
      </c>
    </row>
    <row r="15" spans="1:46" x14ac:dyDescent="0.2">
      <c r="A15" s="322">
        <v>1</v>
      </c>
      <c r="C15" s="322">
        <v>1</v>
      </c>
      <c r="D15" s="322">
        <f>SUMIF($D$6:$E$11,"="&amp;C15,$K$6:$L$11)</f>
        <v>0</v>
      </c>
      <c r="E15" s="322">
        <f>SUMIF($D$6:$E$11,"="&amp;$C15,$G$6:$H$11)</f>
        <v>0</v>
      </c>
      <c r="F15" s="322">
        <f>E15-G15</f>
        <v>0</v>
      </c>
      <c r="G15" s="322">
        <f>SUMIF($D$6:$E$11,"="&amp;$C15,$G$6:$H$11)-SUMIF($D$6:$E$11,"="&amp;$C15,$H$6:$I$11)</f>
        <v>0</v>
      </c>
      <c r="H15" s="322" t="str">
        <f>INDEX(teams_k,C15)</f>
        <v>GER</v>
      </c>
      <c r="I15" s="322">
        <f>RANK(D15,$D$15:$D$18,1)</f>
        <v>1</v>
      </c>
      <c r="L15" s="322">
        <v>1</v>
      </c>
      <c r="M15" s="322">
        <v>1</v>
      </c>
      <c r="N15" s="322">
        <f>RANK(M15,$M$15:$M$18)</f>
        <v>1</v>
      </c>
      <c r="AA15" s="322">
        <v>1</v>
      </c>
      <c r="AC15" s="322">
        <v>5</v>
      </c>
      <c r="AD15" s="322">
        <f>SUMIF($AD$6:$AE$11,"="&amp;AC15,$AK$6:$AL$11)</f>
        <v>0</v>
      </c>
      <c r="AE15" s="322">
        <f>SUMIF($AD$6:$AE$11,"="&amp;$AC15,$AG$6:$AH$11)</f>
        <v>0</v>
      </c>
      <c r="AF15" s="322">
        <f>AE15-AG15</f>
        <v>0</v>
      </c>
      <c r="AG15" s="322">
        <f>SUMIF($AD$6:$AE$11,"="&amp;$AC15,$AG$6:$AH$11)-SUMIF($AD$6:$AE$11,"="&amp;$AC15,$AH$6:$AI$11)</f>
        <v>0</v>
      </c>
      <c r="AH15" s="322" t="str">
        <f>INDEX(teams_k,AC15)</f>
        <v>ESP</v>
      </c>
      <c r="AI15" s="322">
        <f>RANK(AD15,$AD$15:$AD$18,1)</f>
        <v>1</v>
      </c>
      <c r="AL15" s="322">
        <v>1</v>
      </c>
      <c r="AM15" s="322">
        <v>1</v>
      </c>
      <c r="AN15" s="322">
        <f>RANK(AM15,$AM$15:$AM$18)</f>
        <v>1</v>
      </c>
    </row>
    <row r="16" spans="1:46" x14ac:dyDescent="0.2">
      <c r="C16" s="322">
        <v>2</v>
      </c>
      <c r="D16" s="322">
        <f>SUMIF($D$6:$E$11,"="&amp;C16,$K$6:$L$11)</f>
        <v>0</v>
      </c>
      <c r="E16" s="322">
        <f>SUMIF($D$6:$E$11,"="&amp;$C16,$G$6:$H$11)</f>
        <v>0</v>
      </c>
      <c r="F16" s="322">
        <f>E16-G16</f>
        <v>0</v>
      </c>
      <c r="G16" s="322">
        <f>SUMIF($D$6:$E$11,"="&amp;$C16,$G$6:$H$11)-SUMIF($D$6:$E$11,"="&amp;$C16,$H$6:$I$11)</f>
        <v>0</v>
      </c>
      <c r="H16" s="322" t="str">
        <f>INDEX(teams_k,C16)</f>
        <v>SCO</v>
      </c>
      <c r="I16" s="322">
        <f>RANK(D16,$D$15:$D$18,1)</f>
        <v>1</v>
      </c>
      <c r="L16" s="322">
        <v>2</v>
      </c>
      <c r="M16" s="322">
        <v>1</v>
      </c>
      <c r="N16" s="322">
        <f>RANK(M16,$M$15:$M$18)</f>
        <v>1</v>
      </c>
      <c r="AC16" s="322">
        <v>6</v>
      </c>
      <c r="AD16" s="322">
        <f>SUMIF($AD$6:$AE$11,"="&amp;AC16,$AK$6:$AL$11)</f>
        <v>0</v>
      </c>
      <c r="AE16" s="322">
        <f>SUMIF($AD$6:$AE$11,"="&amp;$AC16,$AG$6:$AH$11)</f>
        <v>0</v>
      </c>
      <c r="AF16" s="322">
        <f>AE16-AG16</f>
        <v>0</v>
      </c>
      <c r="AG16" s="322">
        <f>SUMIF($AD$6:$AE$11,"="&amp;$AC16,$AG$6:$AH$11)-SUMIF($AD$6:$AE$11,"="&amp;$AC16,$AH$6:$AI$11)</f>
        <v>0</v>
      </c>
      <c r="AH16" s="322" t="str">
        <f>INDEX(teams_k,AC16)</f>
        <v>CRO</v>
      </c>
      <c r="AI16" s="322">
        <f>RANK(AD16,$AD$15:$AD$18,1)</f>
        <v>1</v>
      </c>
      <c r="AL16" s="322">
        <v>2</v>
      </c>
      <c r="AM16" s="322">
        <v>1</v>
      </c>
      <c r="AN16" s="322">
        <f>RANK(AM16,$AM$15:$AM$18)</f>
        <v>1</v>
      </c>
    </row>
    <row r="17" spans="2:40" x14ac:dyDescent="0.2">
      <c r="C17" s="322">
        <v>3</v>
      </c>
      <c r="D17" s="322">
        <f>SUMIF($D$6:$E$11,"="&amp;C17,$K$6:$L$11)</f>
        <v>0</v>
      </c>
      <c r="E17" s="322">
        <f>SUMIF($D$6:$E$11,"="&amp;$C17,$G$6:$H$11)</f>
        <v>0</v>
      </c>
      <c r="F17" s="322">
        <f>E17-G17</f>
        <v>0</v>
      </c>
      <c r="G17" s="322">
        <f>SUMIF($D$6:$E$11,"="&amp;$C17,$G$6:$H$11)-SUMIF($D$6:$E$11,"="&amp;$C17,$H$6:$I$11)</f>
        <v>0</v>
      </c>
      <c r="H17" s="322" t="str">
        <f>INDEX(teams_k,C17)</f>
        <v>HUN</v>
      </c>
      <c r="I17" s="322">
        <f>RANK(D17,$D$15:$D$18,1)</f>
        <v>1</v>
      </c>
      <c r="L17" s="322">
        <v>3</v>
      </c>
      <c r="M17" s="322">
        <v>1</v>
      </c>
      <c r="N17" s="322">
        <f>RANK(M17,$M$15:$M$18)</f>
        <v>1</v>
      </c>
      <c r="AC17" s="322">
        <v>7</v>
      </c>
      <c r="AD17" s="322">
        <f>SUMIF($AD$6:$AE$11,"="&amp;AC17,$AK$6:$AL$11)</f>
        <v>0</v>
      </c>
      <c r="AE17" s="322">
        <f>SUMIF($AD$6:$AE$11,"="&amp;$AC17,$AG$6:$AH$11)</f>
        <v>0</v>
      </c>
      <c r="AF17" s="322">
        <f>AE17-AG17</f>
        <v>0</v>
      </c>
      <c r="AG17" s="322">
        <f>SUMIF($AD$6:$AE$11,"="&amp;$AC17,$AG$6:$AH$11)-SUMIF($AD$6:$AE$11,"="&amp;$AC17,$AH$6:$AI$11)</f>
        <v>0</v>
      </c>
      <c r="AH17" s="322" t="str">
        <f>INDEX(teams_k,AC17)</f>
        <v>ITA</v>
      </c>
      <c r="AI17" s="322">
        <f>RANK(AD17,$AD$15:$AD$18,1)</f>
        <v>1</v>
      </c>
      <c r="AL17" s="322">
        <v>3</v>
      </c>
      <c r="AM17" s="322">
        <v>1</v>
      </c>
      <c r="AN17" s="322">
        <f>RANK(AM17,$AM$15:$AM$18)</f>
        <v>1</v>
      </c>
    </row>
    <row r="18" spans="2:40" x14ac:dyDescent="0.2">
      <c r="C18" s="322">
        <v>4</v>
      </c>
      <c r="D18" s="322">
        <f>SUMIF($D$6:$E$11,"="&amp;C18,$K$6:$L$11)</f>
        <v>0</v>
      </c>
      <c r="E18" s="322">
        <f>SUMIF($D$6:$E$11,"="&amp;$C18,$G$6:$H$11)</f>
        <v>0</v>
      </c>
      <c r="F18" s="322">
        <f>E18-G18</f>
        <v>0</v>
      </c>
      <c r="G18" s="322">
        <f>SUMIF($D$6:$E$11,"="&amp;$C18,$G$6:$H$11)-SUMIF($D$6:$E$11,"="&amp;$C18,$H$6:$I$11)</f>
        <v>0</v>
      </c>
      <c r="H18" s="322" t="str">
        <f>INDEX(teams_k,C18)</f>
        <v>SUI</v>
      </c>
      <c r="I18" s="322">
        <f>RANK(D18,$D$15:$D$18,1)</f>
        <v>1</v>
      </c>
      <c r="L18" s="322">
        <v>4</v>
      </c>
      <c r="M18" s="322">
        <v>1</v>
      </c>
      <c r="N18" s="322">
        <f>RANK(M18,$M$15:$M$18)</f>
        <v>1</v>
      </c>
      <c r="AC18" s="322">
        <v>8</v>
      </c>
      <c r="AD18" s="322">
        <f>SUMIF($AD$6:$AE$11,"="&amp;AC18,$AK$6:$AL$11)</f>
        <v>0</v>
      </c>
      <c r="AE18" s="322">
        <f>SUMIF($AD$6:$AE$11,"="&amp;$AC18,$AG$6:$AH$11)</f>
        <v>0</v>
      </c>
      <c r="AF18" s="322">
        <f>AE18-AG18</f>
        <v>0</v>
      </c>
      <c r="AG18" s="322">
        <f>SUMIF($AD$6:$AE$11,"="&amp;$AC18,$AG$6:$AH$11)-SUMIF($AD$6:$AE$11,"="&amp;$AC18,$AH$6:$AI$11)</f>
        <v>0</v>
      </c>
      <c r="AH18" s="322" t="str">
        <f>INDEX(teams_k,AC18)</f>
        <v>ALB</v>
      </c>
      <c r="AI18" s="322">
        <f>RANK(AD18,$AD$15:$AD$18,1)</f>
        <v>1</v>
      </c>
      <c r="AL18" s="322">
        <v>4</v>
      </c>
      <c r="AM18" s="322">
        <v>1</v>
      </c>
      <c r="AN18" s="322">
        <f>RANK(AM18,$AM$15:$AM$18)</f>
        <v>1</v>
      </c>
    </row>
    <row r="20" spans="2:40" x14ac:dyDescent="0.2">
      <c r="B20" s="322" t="s">
        <v>995</v>
      </c>
      <c r="D20" s="322">
        <f>B22</f>
        <v>1</v>
      </c>
      <c r="E20" s="322">
        <f>B23</f>
        <v>2</v>
      </c>
      <c r="F20" s="322">
        <f>B24</f>
        <v>3</v>
      </c>
      <c r="G20" s="322">
        <f>B25</f>
        <v>4</v>
      </c>
      <c r="AB20" s="322" t="s">
        <v>995</v>
      </c>
      <c r="AD20" s="322">
        <f>AB22</f>
        <v>5</v>
      </c>
      <c r="AE20" s="322">
        <f>AB23</f>
        <v>6</v>
      </c>
      <c r="AF20" s="322">
        <f>AB24</f>
        <v>7</v>
      </c>
      <c r="AG20" s="322">
        <f>AB25</f>
        <v>8</v>
      </c>
    </row>
    <row r="21" spans="2:40" x14ac:dyDescent="0.2">
      <c r="B21" s="322" t="s">
        <v>996</v>
      </c>
      <c r="C21" s="322" t="s">
        <v>975</v>
      </c>
      <c r="D21" s="322">
        <f>C22</f>
        <v>1</v>
      </c>
      <c r="E21" s="322">
        <f>C23</f>
        <v>2</v>
      </c>
      <c r="F21" s="322">
        <f>C24</f>
        <v>3</v>
      </c>
      <c r="G21" s="322">
        <f>C25</f>
        <v>4</v>
      </c>
      <c r="I21" s="322" t="s">
        <v>997</v>
      </c>
      <c r="AB21" s="322" t="s">
        <v>996</v>
      </c>
      <c r="AC21" s="322" t="s">
        <v>975</v>
      </c>
      <c r="AD21" s="322">
        <f>AC22</f>
        <v>1</v>
      </c>
      <c r="AE21" s="322">
        <f>AC23</f>
        <v>2</v>
      </c>
      <c r="AF21" s="322">
        <f>AC24</f>
        <v>3</v>
      </c>
      <c r="AG21" s="322">
        <f>AC25</f>
        <v>4</v>
      </c>
      <c r="AI21" s="322" t="s">
        <v>997</v>
      </c>
    </row>
    <row r="22" spans="2:40" x14ac:dyDescent="0.2">
      <c r="B22" s="322">
        <f>INDEX($C$15:$C$18,C22)</f>
        <v>1</v>
      </c>
      <c r="C22" s="322">
        <v>1</v>
      </c>
      <c r="D22" s="322">
        <f t="shared" ref="D22:G25" si="24">IF(INDEX($I$15:$I$18,$C22)&lt;&gt;INDEX($I$15:$I$18,D$21),0,SUMIF($B$6:$C$11,"="&amp;$B22&amp;"#"&amp;D$20,$O$6:$P$11))</f>
        <v>0</v>
      </c>
      <c r="E22" s="322">
        <f t="shared" si="24"/>
        <v>0</v>
      </c>
      <c r="F22" s="322">
        <f t="shared" si="24"/>
        <v>0</v>
      </c>
      <c r="G22" s="322">
        <f t="shared" si="24"/>
        <v>0</v>
      </c>
      <c r="H22" s="322">
        <f>SUM(D22:G22)</f>
        <v>0</v>
      </c>
      <c r="I22" s="322">
        <f>RANK(H22,$H$22:$H$25,1)</f>
        <v>1</v>
      </c>
      <c r="AB22" s="322">
        <f>INDEX($AC$15:$AC$18,AC22)</f>
        <v>5</v>
      </c>
      <c r="AC22" s="322">
        <v>1</v>
      </c>
      <c r="AD22" s="322">
        <f t="shared" ref="AD22:AG25" si="25">IF(INDEX($AI$15:$AI$18,$AC22)&lt;&gt;INDEX($AI$15:$AI$18,AD$21),0,SUMIF($AB$6:$AC$11,"="&amp;$AB22&amp;"#"&amp;AD$20,$AO$6:$AP$11))</f>
        <v>0</v>
      </c>
      <c r="AE22" s="322">
        <f t="shared" si="25"/>
        <v>0</v>
      </c>
      <c r="AF22" s="322">
        <f t="shared" si="25"/>
        <v>0</v>
      </c>
      <c r="AG22" s="322">
        <f t="shared" si="25"/>
        <v>0</v>
      </c>
      <c r="AH22" s="322">
        <f>SUM(AD22:AG22)</f>
        <v>0</v>
      </c>
      <c r="AI22" s="322">
        <f>RANK(AH22,$AH$22:$AH$25,1)</f>
        <v>1</v>
      </c>
    </row>
    <row r="23" spans="2:40" x14ac:dyDescent="0.2">
      <c r="B23" s="322">
        <f>INDEX($C$15:$C$18,C23)</f>
        <v>2</v>
      </c>
      <c r="C23" s="322">
        <v>2</v>
      </c>
      <c r="D23" s="322">
        <f t="shared" si="24"/>
        <v>0</v>
      </c>
      <c r="E23" s="322">
        <f t="shared" si="24"/>
        <v>0</v>
      </c>
      <c r="F23" s="322">
        <f t="shared" si="24"/>
        <v>0</v>
      </c>
      <c r="G23" s="322">
        <f t="shared" si="24"/>
        <v>0</v>
      </c>
      <c r="H23" s="322">
        <f>SUM(D23:G23)</f>
        <v>0</v>
      </c>
      <c r="I23" s="322">
        <f>RANK(H23,$H$22:$H$25,1)</f>
        <v>1</v>
      </c>
      <c r="AB23" s="322">
        <f>INDEX($AC$15:$AC$18,AC23)</f>
        <v>6</v>
      </c>
      <c r="AC23" s="322">
        <v>2</v>
      </c>
      <c r="AD23" s="322">
        <f t="shared" si="25"/>
        <v>0</v>
      </c>
      <c r="AE23" s="322">
        <f t="shared" si="25"/>
        <v>0</v>
      </c>
      <c r="AF23" s="322">
        <f t="shared" si="25"/>
        <v>0</v>
      </c>
      <c r="AG23" s="322">
        <f t="shared" si="25"/>
        <v>0</v>
      </c>
      <c r="AH23" s="322">
        <f>SUM(AD23:AG23)</f>
        <v>0</v>
      </c>
      <c r="AI23" s="322">
        <f>RANK(AH23,$AH$22:$AH$25,1)</f>
        <v>1</v>
      </c>
    </row>
    <row r="24" spans="2:40" x14ac:dyDescent="0.2">
      <c r="B24" s="322">
        <f>INDEX($C$15:$C$18,C24)</f>
        <v>3</v>
      </c>
      <c r="C24" s="322">
        <v>3</v>
      </c>
      <c r="D24" s="322">
        <f t="shared" si="24"/>
        <v>0</v>
      </c>
      <c r="E24" s="322">
        <f t="shared" si="24"/>
        <v>0</v>
      </c>
      <c r="F24" s="322">
        <f t="shared" si="24"/>
        <v>0</v>
      </c>
      <c r="G24" s="322">
        <f t="shared" si="24"/>
        <v>0</v>
      </c>
      <c r="H24" s="322">
        <f>SUM(D24:G24)</f>
        <v>0</v>
      </c>
      <c r="I24" s="322">
        <f>RANK(H24,$H$22:$H$25,1)</f>
        <v>1</v>
      </c>
      <c r="AB24" s="322">
        <f>INDEX($AC$15:$AC$18,AC24)</f>
        <v>7</v>
      </c>
      <c r="AC24" s="322">
        <v>3</v>
      </c>
      <c r="AD24" s="322">
        <f t="shared" si="25"/>
        <v>0</v>
      </c>
      <c r="AE24" s="322">
        <f t="shared" si="25"/>
        <v>0</v>
      </c>
      <c r="AF24" s="322">
        <f t="shared" si="25"/>
        <v>0</v>
      </c>
      <c r="AG24" s="322">
        <f t="shared" si="25"/>
        <v>0</v>
      </c>
      <c r="AH24" s="322">
        <f>SUM(AD24:AG24)</f>
        <v>0</v>
      </c>
      <c r="AI24" s="322">
        <f>RANK(AH24,$AH$22:$AH$25,1)</f>
        <v>1</v>
      </c>
    </row>
    <row r="25" spans="2:40" x14ac:dyDescent="0.2">
      <c r="B25" s="322">
        <f>INDEX($C$15:$C$18,C25)</f>
        <v>4</v>
      </c>
      <c r="C25" s="322">
        <v>4</v>
      </c>
      <c r="D25" s="322">
        <f t="shared" si="24"/>
        <v>0</v>
      </c>
      <c r="E25" s="322">
        <f t="shared" si="24"/>
        <v>0</v>
      </c>
      <c r="F25" s="322">
        <f t="shared" si="24"/>
        <v>0</v>
      </c>
      <c r="G25" s="322">
        <f t="shared" si="24"/>
        <v>0</v>
      </c>
      <c r="H25" s="322">
        <f>SUM(D25:G25)</f>
        <v>0</v>
      </c>
      <c r="I25" s="322">
        <f>RANK(H25,$H$22:$H$25,1)</f>
        <v>1</v>
      </c>
      <c r="AB25" s="322">
        <f>INDEX($AC$15:$AC$18,AC25)</f>
        <v>8</v>
      </c>
      <c r="AC25" s="322">
        <v>4</v>
      </c>
      <c r="AD25" s="322">
        <f t="shared" si="25"/>
        <v>0</v>
      </c>
      <c r="AE25" s="322">
        <f t="shared" si="25"/>
        <v>0</v>
      </c>
      <c r="AF25" s="322">
        <f t="shared" si="25"/>
        <v>0</v>
      </c>
      <c r="AG25" s="322">
        <f t="shared" si="25"/>
        <v>0</v>
      </c>
      <c r="AH25" s="322">
        <f>SUM(AD25:AG25)</f>
        <v>0</v>
      </c>
      <c r="AI25" s="322">
        <f>RANK(AH25,$AH$22:$AH$25,1)</f>
        <v>1</v>
      </c>
    </row>
    <row r="27" spans="2:40" x14ac:dyDescent="0.2">
      <c r="B27" s="322" t="s">
        <v>998</v>
      </c>
      <c r="C27" s="322" t="s">
        <v>975</v>
      </c>
      <c r="D27" s="322">
        <f>C28</f>
        <v>1</v>
      </c>
      <c r="E27" s="322">
        <f>C29</f>
        <v>2</v>
      </c>
      <c r="F27" s="322">
        <f>C30</f>
        <v>3</v>
      </c>
      <c r="G27" s="322">
        <f>C31</f>
        <v>4</v>
      </c>
      <c r="I27" s="322" t="s">
        <v>997</v>
      </c>
      <c r="AB27" s="322" t="s">
        <v>998</v>
      </c>
      <c r="AC27" s="322" t="s">
        <v>975</v>
      </c>
      <c r="AD27" s="322">
        <f>AC28</f>
        <v>1</v>
      </c>
      <c r="AE27" s="322">
        <f>AC29</f>
        <v>2</v>
      </c>
      <c r="AF27" s="322">
        <f>AC30</f>
        <v>3</v>
      </c>
      <c r="AG27" s="322">
        <f>AC31</f>
        <v>4</v>
      </c>
      <c r="AI27" s="322" t="s">
        <v>997</v>
      </c>
    </row>
    <row r="28" spans="2:40" x14ac:dyDescent="0.2">
      <c r="B28" s="322">
        <f>B22</f>
        <v>1</v>
      </c>
      <c r="C28" s="322">
        <v>1</v>
      </c>
      <c r="D28" s="322">
        <f t="shared" ref="D28:G31" si="26">IF(D22=0,0,IF(INDEX($I$22:$I$25,$C22)&lt;&gt;INDEX($I$22:$I$25,D$21),0,SUMIF($B$6:$C$11,"="&amp;$B22&amp;"#"&amp;D$20,$K$6:$L$11)*1000+SUMIF($B$6:$C$11,"="&amp;$B22&amp;"#"&amp;D$20,$M$6:$N$11)+SUMIF($B$6:$C$11,"="&amp;$B22&amp;"#"&amp;D$20,$G$6:$H$11)/1000))</f>
        <v>0</v>
      </c>
      <c r="E28" s="322">
        <f t="shared" si="26"/>
        <v>0</v>
      </c>
      <c r="F28" s="322">
        <f t="shared" si="26"/>
        <v>0</v>
      </c>
      <c r="G28" s="322">
        <f t="shared" si="26"/>
        <v>0</v>
      </c>
      <c r="H28" s="322">
        <f>SUM(D28:G28)</f>
        <v>0</v>
      </c>
      <c r="I28" s="322">
        <f>RANK(H28,$H$28:$H$31,1)</f>
        <v>1</v>
      </c>
      <c r="AB28" s="322">
        <f>AB22</f>
        <v>5</v>
      </c>
      <c r="AC28" s="322">
        <v>1</v>
      </c>
      <c r="AD28" s="322">
        <f t="shared" ref="AD28:AG31" si="27">IF(AD22=0,0,IF(INDEX($AI$22:$AI$25,$AC22)&lt;&gt;INDEX($AI$22:$AI$25,AD$21),0,SUMIF($AB$6:$AC$11,"="&amp;$AB22&amp;"#"&amp;AD$20,$AK$6:$AL$11)*1000+SUMIF($AB$6:$AC$11,"="&amp;$AB22&amp;"#"&amp;AD$20,$AM$6:$AN$11)+SUMIF($AB$6:$AC$11,"="&amp;$AB22&amp;"#"&amp;AD$20,$AG$6:$AH$11)/1000))</f>
        <v>0</v>
      </c>
      <c r="AE28" s="322">
        <f t="shared" si="27"/>
        <v>0</v>
      </c>
      <c r="AF28" s="322">
        <f t="shared" si="27"/>
        <v>0</v>
      </c>
      <c r="AG28" s="322">
        <f t="shared" si="27"/>
        <v>0</v>
      </c>
      <c r="AH28" s="322">
        <f>SUM(AD28:AG28)</f>
        <v>0</v>
      </c>
      <c r="AI28" s="322">
        <f>RANK(AH28,$AH$28:$AH$31,1)</f>
        <v>1</v>
      </c>
    </row>
    <row r="29" spans="2:40" x14ac:dyDescent="0.2">
      <c r="B29" s="322">
        <f>B23</f>
        <v>2</v>
      </c>
      <c r="C29" s="322">
        <v>2</v>
      </c>
      <c r="D29" s="322">
        <f t="shared" si="26"/>
        <v>0</v>
      </c>
      <c r="E29" s="322">
        <f t="shared" si="26"/>
        <v>0</v>
      </c>
      <c r="F29" s="322">
        <f t="shared" si="26"/>
        <v>0</v>
      </c>
      <c r="G29" s="322">
        <f t="shared" si="26"/>
        <v>0</v>
      </c>
      <c r="H29" s="322">
        <f>SUM(D29:G29)</f>
        <v>0</v>
      </c>
      <c r="I29" s="322">
        <f>RANK(H29,$H$28:$H$31,1)</f>
        <v>1</v>
      </c>
      <c r="AB29" s="322">
        <f>AB23</f>
        <v>6</v>
      </c>
      <c r="AC29" s="322">
        <v>2</v>
      </c>
      <c r="AD29" s="322">
        <f t="shared" si="27"/>
        <v>0</v>
      </c>
      <c r="AE29" s="322">
        <f t="shared" si="27"/>
        <v>0</v>
      </c>
      <c r="AF29" s="322">
        <f t="shared" si="27"/>
        <v>0</v>
      </c>
      <c r="AG29" s="322">
        <f t="shared" si="27"/>
        <v>0</v>
      </c>
      <c r="AH29" s="322">
        <f>SUM(AD29:AG29)</f>
        <v>0</v>
      </c>
      <c r="AI29" s="322">
        <f>RANK(AH29,$AH$28:$AH$31,1)</f>
        <v>1</v>
      </c>
    </row>
    <row r="30" spans="2:40" x14ac:dyDescent="0.2">
      <c r="B30" s="322">
        <f>B24</f>
        <v>3</v>
      </c>
      <c r="C30" s="322">
        <v>3</v>
      </c>
      <c r="D30" s="322">
        <f t="shared" si="26"/>
        <v>0</v>
      </c>
      <c r="E30" s="322">
        <f t="shared" si="26"/>
        <v>0</v>
      </c>
      <c r="F30" s="322">
        <f t="shared" si="26"/>
        <v>0</v>
      </c>
      <c r="G30" s="322">
        <f t="shared" si="26"/>
        <v>0</v>
      </c>
      <c r="H30" s="322">
        <f>SUM(D30:G30)</f>
        <v>0</v>
      </c>
      <c r="I30" s="322">
        <f>RANK(H30,$H$28:$H$31,1)</f>
        <v>1</v>
      </c>
      <c r="AB30" s="322">
        <f>AB24</f>
        <v>7</v>
      </c>
      <c r="AC30" s="322">
        <v>3</v>
      </c>
      <c r="AD30" s="322">
        <f t="shared" si="27"/>
        <v>0</v>
      </c>
      <c r="AE30" s="322">
        <f t="shared" si="27"/>
        <v>0</v>
      </c>
      <c r="AF30" s="322">
        <f t="shared" si="27"/>
        <v>0</v>
      </c>
      <c r="AG30" s="322">
        <f t="shared" si="27"/>
        <v>0</v>
      </c>
      <c r="AH30" s="322">
        <f>SUM(AD30:AG30)</f>
        <v>0</v>
      </c>
      <c r="AI30" s="322">
        <f>RANK(AH30,$AH$28:$AH$31,1)</f>
        <v>1</v>
      </c>
    </row>
    <row r="31" spans="2:40" x14ac:dyDescent="0.2">
      <c r="B31" s="322">
        <f>B25</f>
        <v>4</v>
      </c>
      <c r="C31" s="322">
        <v>4</v>
      </c>
      <c r="D31" s="322">
        <f t="shared" si="26"/>
        <v>0</v>
      </c>
      <c r="E31" s="322">
        <f t="shared" si="26"/>
        <v>0</v>
      </c>
      <c r="F31" s="322">
        <f t="shared" si="26"/>
        <v>0</v>
      </c>
      <c r="G31" s="322">
        <f t="shared" si="26"/>
        <v>0</v>
      </c>
      <c r="H31" s="322">
        <f>SUM(D31:G31)</f>
        <v>0</v>
      </c>
      <c r="I31" s="322">
        <f>RANK(H31,$H$28:$H$31,1)</f>
        <v>1</v>
      </c>
      <c r="AB31" s="322">
        <f>AB25</f>
        <v>8</v>
      </c>
      <c r="AC31" s="322">
        <v>4</v>
      </c>
      <c r="AD31" s="322">
        <f t="shared" si="27"/>
        <v>0</v>
      </c>
      <c r="AE31" s="322">
        <f t="shared" si="27"/>
        <v>0</v>
      </c>
      <c r="AF31" s="322">
        <f t="shared" si="27"/>
        <v>0</v>
      </c>
      <c r="AG31" s="322">
        <f t="shared" si="27"/>
        <v>0</v>
      </c>
      <c r="AH31" s="322">
        <f>SUM(AD31:AG31)</f>
        <v>0</v>
      </c>
      <c r="AI31" s="322">
        <f>RANK(AH31,$AH$28:$AH$31,1)</f>
        <v>1</v>
      </c>
    </row>
    <row r="33" spans="2:40" x14ac:dyDescent="0.2">
      <c r="C33" s="322" t="s">
        <v>975</v>
      </c>
      <c r="D33" s="322" t="s">
        <v>992</v>
      </c>
      <c r="H33" s="322" t="s">
        <v>992</v>
      </c>
      <c r="AC33" s="322" t="s">
        <v>975</v>
      </c>
      <c r="AD33" s="322" t="s">
        <v>992</v>
      </c>
      <c r="AH33" s="322" t="s">
        <v>992</v>
      </c>
    </row>
    <row r="34" spans="2:40" x14ac:dyDescent="0.2">
      <c r="B34" s="322" t="s">
        <v>999</v>
      </c>
      <c r="C34" s="322">
        <v>1</v>
      </c>
      <c r="D34" s="322">
        <f>RANK(G15,$G$15:$G$18,1)</f>
        <v>1</v>
      </c>
      <c r="F34" s="322" t="s">
        <v>585</v>
      </c>
      <c r="G34" s="322">
        <v>1</v>
      </c>
      <c r="H34" s="322">
        <f>RANK(E15,$E$15:$E$18,1)</f>
        <v>1</v>
      </c>
      <c r="AB34" s="322" t="s">
        <v>999</v>
      </c>
      <c r="AC34" s="322">
        <v>1</v>
      </c>
      <c r="AD34" s="322">
        <f>RANK(AG15,$AG$15:$AG$18,1)</f>
        <v>1</v>
      </c>
      <c r="AF34" s="322" t="s">
        <v>585</v>
      </c>
      <c r="AG34" s="322">
        <v>1</v>
      </c>
      <c r="AH34" s="322">
        <f>RANK(AE15,$AE$15:$AE$18,1)</f>
        <v>1</v>
      </c>
    </row>
    <row r="35" spans="2:40" x14ac:dyDescent="0.2">
      <c r="C35" s="322">
        <v>2</v>
      </c>
      <c r="D35" s="322">
        <f>RANK(G16,$G$15:$G$18,1)</f>
        <v>1</v>
      </c>
      <c r="G35" s="322">
        <v>2</v>
      </c>
      <c r="H35" s="322">
        <f>RANK(E16,$E$15:$E$18,1)</f>
        <v>1</v>
      </c>
      <c r="AC35" s="322">
        <v>2</v>
      </c>
      <c r="AD35" s="322">
        <f>RANK(AG16,$AG$15:$AG$18,1)</f>
        <v>1</v>
      </c>
      <c r="AG35" s="322">
        <v>2</v>
      </c>
      <c r="AH35" s="322">
        <f>RANK(AE16,$AE$15:$AE$18,1)</f>
        <v>1</v>
      </c>
    </row>
    <row r="36" spans="2:40" x14ac:dyDescent="0.2">
      <c r="C36" s="322">
        <v>3</v>
      </c>
      <c r="D36" s="322">
        <f>RANK(G17,$G$15:$G$18,1)</f>
        <v>1</v>
      </c>
      <c r="G36" s="322">
        <v>3</v>
      </c>
      <c r="H36" s="322">
        <f>RANK(E17,$E$15:$E$18,1)</f>
        <v>1</v>
      </c>
      <c r="AC36" s="322">
        <v>3</v>
      </c>
      <c r="AD36" s="322">
        <f>RANK(AG17,$AG$15:$AG$18,1)</f>
        <v>1</v>
      </c>
      <c r="AG36" s="322">
        <v>3</v>
      </c>
      <c r="AH36" s="322">
        <f>RANK(AE17,$AE$15:$AE$18,1)</f>
        <v>1</v>
      </c>
    </row>
    <row r="37" spans="2:40" x14ac:dyDescent="0.2">
      <c r="C37" s="322">
        <v>4</v>
      </c>
      <c r="D37" s="322">
        <f>RANK(G18,$G$15:$G$18,1)</f>
        <v>1</v>
      </c>
      <c r="G37" s="322">
        <v>4</v>
      </c>
      <c r="H37" s="322">
        <f>RANK(E18,$E$15:$E$18,1)</f>
        <v>1</v>
      </c>
      <c r="AC37" s="322">
        <v>4</v>
      </c>
      <c r="AD37" s="322">
        <f>RANK(AG18,$AG$15:$AG$18,1)</f>
        <v>1</v>
      </c>
      <c r="AG37" s="322">
        <v>4</v>
      </c>
      <c r="AH37" s="322">
        <f>RANK(AE18,$AE$15:$AE$18,1)</f>
        <v>1</v>
      </c>
    </row>
    <row r="39" spans="2:40" x14ac:dyDescent="0.2">
      <c r="I39" s="322" t="s">
        <v>374</v>
      </c>
      <c r="AI39" s="322" t="s">
        <v>374</v>
      </c>
    </row>
    <row r="40" spans="2:40" x14ac:dyDescent="0.2">
      <c r="C40" s="322" t="s">
        <v>975</v>
      </c>
      <c r="E40" s="322" t="s">
        <v>992</v>
      </c>
      <c r="F40" s="322" t="s">
        <v>994</v>
      </c>
      <c r="H40" s="322" t="s">
        <v>1000</v>
      </c>
      <c r="I40" s="322">
        <v>1</v>
      </c>
      <c r="J40" s="322">
        <v>2</v>
      </c>
      <c r="K40" s="322" t="s">
        <v>1001</v>
      </c>
      <c r="M40" s="322" t="s">
        <v>1002</v>
      </c>
      <c r="AC40" s="322" t="s">
        <v>975</v>
      </c>
      <c r="AE40" s="322" t="s">
        <v>992</v>
      </c>
      <c r="AF40" s="322" t="s">
        <v>994</v>
      </c>
      <c r="AH40" s="322" t="s">
        <v>1000</v>
      </c>
      <c r="AI40" s="322">
        <v>1</v>
      </c>
      <c r="AJ40" s="322">
        <v>2</v>
      </c>
      <c r="AK40" s="322" t="s">
        <v>1001</v>
      </c>
      <c r="AM40" s="322" t="s">
        <v>1002</v>
      </c>
    </row>
    <row r="41" spans="2:40" x14ac:dyDescent="0.2">
      <c r="B41" s="322" t="s">
        <v>1003</v>
      </c>
      <c r="C41" s="322">
        <v>1</v>
      </c>
      <c r="D41" s="322">
        <f>I15*$K$41+I22*$K$42+I28*$K$43+D34*$K$44+H34*$K$45</f>
        <v>1010101.01</v>
      </c>
      <c r="E41" s="322">
        <f>RANK(D41,$D$41:$D$44,1)</f>
        <v>1</v>
      </c>
      <c r="F41" s="322">
        <f>RANK(D41,$D$41:$D$44)</f>
        <v>1</v>
      </c>
      <c r="H41" s="322" t="s">
        <v>974</v>
      </c>
      <c r="I41" s="322">
        <v>1</v>
      </c>
      <c r="J41" s="322">
        <v>1</v>
      </c>
      <c r="K41" s="322">
        <f>INDEX($N$41:$N$45,INDEX(I41:J41,$A$15))</f>
        <v>1000000</v>
      </c>
      <c r="M41" s="322">
        <v>1</v>
      </c>
      <c r="N41" s="322">
        <v>1000000</v>
      </c>
      <c r="AB41" s="322" t="s">
        <v>1003</v>
      </c>
      <c r="AC41" s="322">
        <v>1</v>
      </c>
      <c r="AD41" s="322">
        <f>AI15*$AK$41+AI22*$AK$42+AI28*$AK$43+AD34*$AK$44+AH34*$AK$45</f>
        <v>1010101.01</v>
      </c>
      <c r="AE41" s="322">
        <f>RANK(AD41,$AD$41:$AD$44,1)</f>
        <v>1</v>
      </c>
      <c r="AF41" s="322">
        <f>RANK(AD41,$AD$41:$AD$44)</f>
        <v>1</v>
      </c>
      <c r="AH41" s="322" t="s">
        <v>974</v>
      </c>
      <c r="AI41" s="322">
        <v>1</v>
      </c>
      <c r="AJ41" s="322">
        <v>1</v>
      </c>
      <c r="AK41" s="322">
        <f>INDEX($AN$41:$AN$45,INDEX(AI41:AJ41,$AA$15))</f>
        <v>1000000</v>
      </c>
      <c r="AM41" s="322">
        <v>1</v>
      </c>
      <c r="AN41" s="322">
        <v>1000000</v>
      </c>
    </row>
    <row r="42" spans="2:40" x14ac:dyDescent="0.2">
      <c r="C42" s="322">
        <v>2</v>
      </c>
      <c r="D42" s="322">
        <f>I16*$K$41+I23*$K$42+I29*$K$43+D35*$K$44+H35*$K$45</f>
        <v>1010101.01</v>
      </c>
      <c r="E42" s="322">
        <f>RANK(D42,$D$41:$D$44,1)</f>
        <v>1</v>
      </c>
      <c r="F42" s="322">
        <f>RANK(D42,$D$41:$D$44)</f>
        <v>1</v>
      </c>
      <c r="H42" s="322" t="s">
        <v>995</v>
      </c>
      <c r="I42" s="322">
        <v>2</v>
      </c>
      <c r="J42" s="322">
        <v>4</v>
      </c>
      <c r="K42" s="322">
        <f>INDEX($N$41:$N$45,INDEX(I42:J42,$A$15))</f>
        <v>10000</v>
      </c>
      <c r="M42" s="322">
        <v>2</v>
      </c>
      <c r="N42" s="322">
        <v>10000</v>
      </c>
      <c r="AC42" s="322">
        <v>2</v>
      </c>
      <c r="AD42" s="322">
        <f>AI16*$AK$41+AI23*$AK$42+AI29*$AK$43+AD35*$AK$44+AH35*$AK$45</f>
        <v>1010101.01</v>
      </c>
      <c r="AE42" s="322">
        <f>RANK(AD42,$AD$41:$AD$44,1)</f>
        <v>1</v>
      </c>
      <c r="AF42" s="322">
        <f>RANK(AD42,$AD$41:$AD$44)</f>
        <v>1</v>
      </c>
      <c r="AH42" s="322" t="s">
        <v>995</v>
      </c>
      <c r="AI42" s="322">
        <v>2</v>
      </c>
      <c r="AJ42" s="322">
        <v>4</v>
      </c>
      <c r="AK42" s="322">
        <f>INDEX($AN$41:$AN$45,INDEX(AI42:AJ42,$AA$15))</f>
        <v>10000</v>
      </c>
      <c r="AM42" s="322">
        <v>2</v>
      </c>
      <c r="AN42" s="322">
        <v>10000</v>
      </c>
    </row>
    <row r="43" spans="2:40" x14ac:dyDescent="0.2">
      <c r="C43" s="322">
        <v>3</v>
      </c>
      <c r="D43" s="322">
        <f>I17*$K$41+I24*$K$42+I30*$K$43+D36*$K$44+H36*$K$45</f>
        <v>1010101.01</v>
      </c>
      <c r="E43" s="322">
        <f>RANK(D43,$D$41:$D$44,1)</f>
        <v>1</v>
      </c>
      <c r="F43" s="322">
        <f>RANK(D43,$D$41:$D$44)</f>
        <v>1</v>
      </c>
      <c r="H43" s="322" t="s">
        <v>998</v>
      </c>
      <c r="I43" s="322">
        <v>3</v>
      </c>
      <c r="J43" s="322">
        <v>5</v>
      </c>
      <c r="K43" s="322">
        <f>INDEX($N$41:$N$45,INDEX(I43:J43,$A$15))</f>
        <v>100</v>
      </c>
      <c r="M43" s="322">
        <v>3</v>
      </c>
      <c r="N43" s="322">
        <v>100</v>
      </c>
      <c r="AC43" s="322">
        <v>3</v>
      </c>
      <c r="AD43" s="322">
        <f>AI17*$AK$41+AI24*$AK$42+AI30*$AK$43+AD36*$AK$44+AH36*$AK$45</f>
        <v>1010101.01</v>
      </c>
      <c r="AE43" s="322">
        <f>RANK(AD43,$AD$41:$AD$44,1)</f>
        <v>1</v>
      </c>
      <c r="AF43" s="322">
        <f>RANK(AD43,$AD$41:$AD$44)</f>
        <v>1</v>
      </c>
      <c r="AH43" s="322" t="s">
        <v>998</v>
      </c>
      <c r="AI43" s="322">
        <v>3</v>
      </c>
      <c r="AJ43" s="322">
        <v>5</v>
      </c>
      <c r="AK43" s="322">
        <f>INDEX($AN$41:$AN$45,INDEX(AI43:AJ43,$AA$15))</f>
        <v>100</v>
      </c>
      <c r="AM43" s="322">
        <v>3</v>
      </c>
      <c r="AN43" s="322">
        <v>100</v>
      </c>
    </row>
    <row r="44" spans="2:40" x14ac:dyDescent="0.2">
      <c r="C44" s="322">
        <v>4</v>
      </c>
      <c r="D44" s="322">
        <f>I18*$K$41+I25*$K$42+I31*$K$43+D37*$K$44+H37*$K$45</f>
        <v>1010101.01</v>
      </c>
      <c r="E44" s="322">
        <f>RANK(D44,$D$41:$D$44,1)</f>
        <v>1</v>
      </c>
      <c r="F44" s="322">
        <f>RANK(D44,$D$41:$D$44)</f>
        <v>1</v>
      </c>
      <c r="H44" s="322" t="s">
        <v>1004</v>
      </c>
      <c r="I44" s="322">
        <v>4</v>
      </c>
      <c r="J44" s="322">
        <v>2</v>
      </c>
      <c r="K44" s="322">
        <f>INDEX($N$41:$N$45,INDEX(I44:J44,$A$15))</f>
        <v>1</v>
      </c>
      <c r="M44" s="322">
        <v>4</v>
      </c>
      <c r="N44" s="322">
        <v>1</v>
      </c>
      <c r="AC44" s="322">
        <v>4</v>
      </c>
      <c r="AD44" s="322">
        <f>AI18*$AK$41+AI25*$AK$42+AI31*$AK$43+AD37*$AK$44+AH37*$AK$45</f>
        <v>1010101.01</v>
      </c>
      <c r="AE44" s="322">
        <f>RANK(AD44,$AD$41:$AD$44,1)</f>
        <v>1</v>
      </c>
      <c r="AF44" s="322">
        <f>RANK(AD44,$AD$41:$AD$44)</f>
        <v>1</v>
      </c>
      <c r="AH44" s="322" t="s">
        <v>1004</v>
      </c>
      <c r="AI44" s="322">
        <v>4</v>
      </c>
      <c r="AJ44" s="322">
        <v>2</v>
      </c>
      <c r="AK44" s="322">
        <f>INDEX($AN$41:$AN$45,INDEX(AI44:AJ44,$AA$15))</f>
        <v>1</v>
      </c>
      <c r="AM44" s="322">
        <v>4</v>
      </c>
      <c r="AN44" s="322">
        <v>1</v>
      </c>
    </row>
    <row r="45" spans="2:40" x14ac:dyDescent="0.2">
      <c r="H45" s="322" t="s">
        <v>1005</v>
      </c>
      <c r="I45" s="322">
        <v>5</v>
      </c>
      <c r="J45" s="322">
        <v>3</v>
      </c>
      <c r="K45" s="322">
        <f>INDEX($N$41:$N$45,INDEX(I45:J45,$A$15))</f>
        <v>0.01</v>
      </c>
      <c r="M45" s="322">
        <v>5</v>
      </c>
      <c r="N45" s="322">
        <f>1/100</f>
        <v>0.01</v>
      </c>
      <c r="AH45" s="322" t="s">
        <v>1005</v>
      </c>
      <c r="AI45" s="322">
        <v>5</v>
      </c>
      <c r="AJ45" s="322">
        <v>3</v>
      </c>
      <c r="AK45" s="322">
        <f>INDEX($AN$41:$AN$45,INDEX(AI45:AJ45,$AA$15))</f>
        <v>0.01</v>
      </c>
      <c r="AM45" s="322">
        <v>5</v>
      </c>
      <c r="AN45" s="322">
        <f>1/100</f>
        <v>0.01</v>
      </c>
    </row>
    <row r="46" spans="2:40" x14ac:dyDescent="0.2">
      <c r="H46" s="322" t="s">
        <v>1006</v>
      </c>
      <c r="I46" s="322">
        <v>6</v>
      </c>
      <c r="J46" s="322">
        <v>6</v>
      </c>
      <c r="AH46" s="322" t="s">
        <v>1006</v>
      </c>
      <c r="AI46" s="322">
        <v>6</v>
      </c>
      <c r="AJ46" s="322">
        <v>6</v>
      </c>
    </row>
    <row r="47" spans="2:40" x14ac:dyDescent="0.2">
      <c r="B47" s="322" t="s">
        <v>1006</v>
      </c>
      <c r="C47" s="322" t="b">
        <f>A15=1</f>
        <v>1</v>
      </c>
      <c r="D47" s="322" t="s">
        <v>1007</v>
      </c>
      <c r="H47" s="322" t="s">
        <v>993</v>
      </c>
      <c r="I47" s="322">
        <v>7</v>
      </c>
      <c r="J47" s="322">
        <v>7</v>
      </c>
      <c r="AB47" s="322" t="s">
        <v>1006</v>
      </c>
      <c r="AC47" s="322" t="b">
        <f>AA15=1</f>
        <v>1</v>
      </c>
      <c r="AD47" s="322" t="s">
        <v>1007</v>
      </c>
      <c r="AH47" s="322" t="s">
        <v>993</v>
      </c>
      <c r="AI47" s="322">
        <v>7</v>
      </c>
      <c r="AJ47" s="322">
        <v>7</v>
      </c>
    </row>
    <row r="48" spans="2:40" x14ac:dyDescent="0.2">
      <c r="C48" s="322" t="s">
        <v>1008</v>
      </c>
      <c r="D48" s="322" t="s">
        <v>1009</v>
      </c>
      <c r="E48" s="322" t="s">
        <v>1010</v>
      </c>
      <c r="AC48" s="322" t="s">
        <v>1008</v>
      </c>
      <c r="AD48" s="322" t="s">
        <v>1009</v>
      </c>
      <c r="AE48" s="322" t="s">
        <v>1010</v>
      </c>
    </row>
    <row r="49" spans="2:36" x14ac:dyDescent="0.2">
      <c r="B49" s="322" t="s">
        <v>1011</v>
      </c>
      <c r="C49" s="322">
        <f>COUNTIF($F$41:$F$44,"=1")</f>
        <v>4</v>
      </c>
      <c r="D49" s="322">
        <f>COUNTIF($F$41:$F$44,"=2")</f>
        <v>0</v>
      </c>
      <c r="E49" s="322">
        <f>COUNTIF($F$41:$F$44,"=3")</f>
        <v>0</v>
      </c>
      <c r="AB49" s="322" t="s">
        <v>1011</v>
      </c>
      <c r="AC49" s="322">
        <f>COUNTIF($AF$41:$AF$44,"=1")</f>
        <v>4</v>
      </c>
      <c r="AD49" s="322">
        <f>COUNTIF($AF$41:$AF$44,"=2")</f>
        <v>0</v>
      </c>
      <c r="AE49" s="322">
        <f>COUNTIF($AF$41:$AF$44,"=3")</f>
        <v>0</v>
      </c>
    </row>
    <row r="51" spans="2:36" x14ac:dyDescent="0.2">
      <c r="B51" s="322" t="s">
        <v>994</v>
      </c>
      <c r="C51" s="322">
        <f>IF(NOT(C47),0,IF(C49=2,1,IF(D49=2,2,IF(E49=2,3,0))))</f>
        <v>0</v>
      </c>
      <c r="E51" s="322" t="s">
        <v>106</v>
      </c>
      <c r="F51" s="322">
        <f t="array" ref="F51">MIN(IF($F$41:$F$44=$C$51,$C$15:$C$18))</f>
        <v>0</v>
      </c>
      <c r="G51" s="322">
        <f t="array" ref="G51">MAX(IF($F$41:$F$44=C51,$C$15:$C$18))</f>
        <v>0</v>
      </c>
      <c r="I51" s="322" t="s">
        <v>1012</v>
      </c>
      <c r="J51" s="322" t="e">
        <f>IF(ISERROR(F53),G53,F53)</f>
        <v>#N/A</v>
      </c>
      <c r="AB51" s="322" t="s">
        <v>994</v>
      </c>
      <c r="AC51" s="322">
        <f>IF(NOT(AC47),0,IF(AC49=2,1,IF(AD49=2,2,IF(AE49=2,3,0))))</f>
        <v>0</v>
      </c>
      <c r="AE51" s="322" t="s">
        <v>106</v>
      </c>
      <c r="AF51" s="322">
        <f t="array" ref="AF51">MIN(IF($AF$41:$AF$44=$AC$51,$AC$15:$AC$18))</f>
        <v>0</v>
      </c>
      <c r="AG51" s="322">
        <f t="array" ref="AG51">MAX(IF($AF$41:$AF$44=AC51,$AC$15:$AC$18))</f>
        <v>0</v>
      </c>
      <c r="AI51" s="322" t="s">
        <v>1012</v>
      </c>
      <c r="AJ51" s="322" t="e">
        <f>IF(ISERROR(AF53),AG53,AF53)</f>
        <v>#N/A</v>
      </c>
    </row>
    <row r="52" spans="2:36" x14ac:dyDescent="0.2">
      <c r="F52" s="322" t="str">
        <f>F51&amp;"#"&amp;G51</f>
        <v>0#0</v>
      </c>
      <c r="G52" s="322" t="str">
        <f>G51&amp;"#"&amp;F51</f>
        <v>0#0</v>
      </c>
      <c r="AF52" s="322" t="str">
        <f>AF51&amp;"#"&amp;AG51</f>
        <v>0#0</v>
      </c>
      <c r="AG52" s="322" t="str">
        <f>AG51&amp;"#"&amp;AF51</f>
        <v>0#0</v>
      </c>
    </row>
    <row r="53" spans="2:36" x14ac:dyDescent="0.2">
      <c r="F53" s="322" t="e">
        <f>MATCH(F52,$B$6:$B$11,0)</f>
        <v>#N/A</v>
      </c>
      <c r="G53" s="322" t="e">
        <f>MATCH(G52,$B$6:$B$11,0)</f>
        <v>#N/A</v>
      </c>
      <c r="AF53" s="322" t="e">
        <f>MATCH(AF52,$AB$6:$AB$11,0)</f>
        <v>#N/A</v>
      </c>
      <c r="AG53" s="322" t="e">
        <f>MATCH(AG52,$AB$6:$AB$11,0)</f>
        <v>#N/A</v>
      </c>
    </row>
    <row r="56" spans="2:36" x14ac:dyDescent="0.2">
      <c r="B56" s="322" t="s">
        <v>988</v>
      </c>
      <c r="C56" s="322" t="e">
        <f>INDEX(D6:D11,J51)</f>
        <v>#N/A</v>
      </c>
      <c r="D56" s="322" t="e">
        <f>INDEX(E6:E11,J51)</f>
        <v>#N/A</v>
      </c>
      <c r="E56" s="322" t="s">
        <v>1013</v>
      </c>
      <c r="F56" s="322" t="s">
        <v>833</v>
      </c>
      <c r="G56" s="322" t="s">
        <v>1014</v>
      </c>
      <c r="I56" s="322" t="s">
        <v>1015</v>
      </c>
      <c r="J56" s="322" t="str">
        <f>IF(G57=0,"","EMS um Rang " &amp;C51)</f>
        <v/>
      </c>
      <c r="AB56" s="322" t="s">
        <v>988</v>
      </c>
      <c r="AC56" s="322" t="e">
        <f>INDEX(AD6:AD11,AJ51)</f>
        <v>#N/A</v>
      </c>
      <c r="AD56" s="322" t="e">
        <f>INDEX(AE6:AE11,AJ51)</f>
        <v>#N/A</v>
      </c>
      <c r="AE56" s="322" t="s">
        <v>1013</v>
      </c>
      <c r="AF56" s="322" t="s">
        <v>833</v>
      </c>
      <c r="AG56" s="322" t="s">
        <v>1014</v>
      </c>
      <c r="AI56" s="322" t="s">
        <v>1015</v>
      </c>
      <c r="AJ56" s="322" t="str">
        <f>IF(AG57=0,"","EMS um Rang " &amp;AC51)</f>
        <v/>
      </c>
    </row>
    <row r="57" spans="2:36" x14ac:dyDescent="0.2">
      <c r="B57" s="322" t="s">
        <v>974</v>
      </c>
      <c r="C57" s="322" t="e">
        <f>VLOOKUP(C56,$C$15:$D$18,2,FALSE)</f>
        <v>#N/A</v>
      </c>
      <c r="D57" s="322" t="e">
        <f>VLOOKUP(D56,$C$15:$D$18,2,FALSE)</f>
        <v>#N/A</v>
      </c>
      <c r="E57" s="322">
        <f>COUNTIF($D$15:$D$18,"="&amp;D57)</f>
        <v>0</v>
      </c>
      <c r="F57" s="322" t="e">
        <f>INDEX(K6:K11,J51)=1</f>
        <v>#N/A</v>
      </c>
      <c r="G57" s="322">
        <f>IF(C51=0,0,IF(J51&lt;5,0,IF(E57&lt;&gt;2,0,IF(C57&lt;&gt;D57,0,IF(NOT(F57),0,1)))))</f>
        <v>0</v>
      </c>
      <c r="AB57" s="322" t="s">
        <v>974</v>
      </c>
      <c r="AC57" s="322" t="e">
        <f>VLOOKUP(AC56,$AC$15:$AD$18,2,FALSE)</f>
        <v>#N/A</v>
      </c>
      <c r="AD57" s="322" t="e">
        <f>VLOOKUP(AD56,$AC$15:$AD$18,2,FALSE)</f>
        <v>#N/A</v>
      </c>
      <c r="AE57" s="322">
        <f>COUNTIF($AD$15:$AD$18,"="&amp;AD57)</f>
        <v>0</v>
      </c>
      <c r="AF57" s="322" t="e">
        <f>INDEX(AK6:AK11,AJ51)=1</f>
        <v>#N/A</v>
      </c>
      <c r="AG57" s="322">
        <f>IF(AC51=0,0,IF(AJ51&lt;5,0,IF(AE57&lt;&gt;2,0,IF(AC57&lt;&gt;AD57,0,IF(NOT(AF57),0,1)))))</f>
        <v>0</v>
      </c>
    </row>
    <row r="59" spans="2:36" x14ac:dyDescent="0.2">
      <c r="E59" s="523" t="s">
        <v>1016</v>
      </c>
      <c r="F59" s="523"/>
      <c r="AE59" s="523" t="s">
        <v>1016</v>
      </c>
      <c r="AF59" s="523"/>
    </row>
    <row r="60" spans="2:36" x14ac:dyDescent="0.2">
      <c r="B60" s="322" t="s">
        <v>106</v>
      </c>
      <c r="C60" s="322" t="e">
        <f>VLOOKUP(C56,$C$15:$H$18,6,FALSE)</f>
        <v>#N/A</v>
      </c>
      <c r="D60" s="322" t="e">
        <f>VLOOKUP(D56,$C$15:$H$18,6,FALSE)</f>
        <v>#N/A</v>
      </c>
      <c r="AB60" s="322" t="s">
        <v>106</v>
      </c>
      <c r="AC60" s="322" t="e">
        <f>VLOOKUP(AC56,$AC$15:$AH$18,6,FALSE)</f>
        <v>#N/A</v>
      </c>
      <c r="AD60" s="322" t="e">
        <f>VLOOKUP(AD56,$AC$15:$AH$18,6,FALSE)</f>
        <v>#N/A</v>
      </c>
    </row>
    <row r="61" spans="2:36" x14ac:dyDescent="0.2">
      <c r="B61" s="322" t="s">
        <v>975</v>
      </c>
      <c r="C61" s="322" t="e">
        <f>MATCH(C56,$C$15:$C$18,0)</f>
        <v>#N/A</v>
      </c>
      <c r="D61" s="322" t="e">
        <f>MATCH(D56,$C$15:$C$18,0)</f>
        <v>#N/A</v>
      </c>
      <c r="E61" s="322">
        <f>IF(COUNT(E60:F60)&lt;&gt;2,0,IF(E60&gt;F60,1,0))</f>
        <v>0</v>
      </c>
      <c r="F61" s="322">
        <f>IF(COUNT(E60:F60)&lt;&gt;2,0,IF(E60&lt;F60,1,0))</f>
        <v>0</v>
      </c>
      <c r="G61" s="322" t="s">
        <v>1017</v>
      </c>
      <c r="AB61" s="322" t="s">
        <v>975</v>
      </c>
      <c r="AC61" s="322" t="e">
        <f>MATCH(AC56,$AC$15:$AC$18,0)</f>
        <v>#N/A</v>
      </c>
      <c r="AD61" s="322" t="e">
        <f>MATCH(AD56,$AC$15:$AC$18,0)</f>
        <v>#N/A</v>
      </c>
      <c r="AE61" s="322">
        <f>IF(COUNT(AE60:AF60)&lt;&gt;2,0,IF(AE60&gt;AF60,1,0))</f>
        <v>0</v>
      </c>
      <c r="AF61" s="322">
        <f>IF(COUNT(AE60:AF60)&lt;&gt;2,0,IF(AE60&lt;AF60,1,0))</f>
        <v>0</v>
      </c>
      <c r="AG61" s="322" t="s">
        <v>1017</v>
      </c>
    </row>
    <row r="64" spans="2:36" x14ac:dyDescent="0.2">
      <c r="C64" s="322" t="s">
        <v>1018</v>
      </c>
      <c r="AC64" s="322" t="s">
        <v>1018</v>
      </c>
    </row>
    <row r="65" spans="1:39" x14ac:dyDescent="0.2">
      <c r="C65" s="322" t="s">
        <v>1019</v>
      </c>
      <c r="D65" s="322" t="s">
        <v>992</v>
      </c>
      <c r="E65" s="322" t="s">
        <v>994</v>
      </c>
      <c r="F65" s="322" t="s">
        <v>1020</v>
      </c>
      <c r="AC65" s="322" t="s">
        <v>1019</v>
      </c>
      <c r="AD65" s="322" t="s">
        <v>992</v>
      </c>
      <c r="AE65" s="322" t="s">
        <v>994</v>
      </c>
      <c r="AF65" s="322" t="s">
        <v>1020</v>
      </c>
    </row>
    <row r="66" spans="1:39" x14ac:dyDescent="0.2">
      <c r="B66" s="322" t="s">
        <v>1003</v>
      </c>
      <c r="C66" s="322">
        <v>1</v>
      </c>
      <c r="D66" s="322">
        <f>E41+IF($G$57=0,0,SUMIF($C$61:$D$61,"="&amp;C66,$E$61:$F$61)/100)+N15/10000</f>
        <v>1.0001</v>
      </c>
      <c r="E66" s="322">
        <f>RANK(D66,$D$66:$D$69)</f>
        <v>1</v>
      </c>
      <c r="F66" s="322">
        <f>E66+COUNTIF(E$65:E65,"="&amp;E66)</f>
        <v>1</v>
      </c>
      <c r="AB66" s="322" t="s">
        <v>1003</v>
      </c>
      <c r="AC66" s="322">
        <v>1</v>
      </c>
      <c r="AD66" s="322">
        <f>AE41+IF($AG$57=0,0,SUMIF($AC$61:$AD$61,"="&amp;AC66,$AE$61:$AF$61)/100)+AN15/10000</f>
        <v>1.0001</v>
      </c>
      <c r="AE66" s="322">
        <f>RANK(AD66,$AD$66:$AD$69)</f>
        <v>1</v>
      </c>
      <c r="AF66" s="322">
        <f>AE66+COUNTIF(AE$65:AE65,"="&amp;AE66)</f>
        <v>1</v>
      </c>
    </row>
    <row r="67" spans="1:39" x14ac:dyDescent="0.2">
      <c r="C67" s="322">
        <v>2</v>
      </c>
      <c r="D67" s="322">
        <f>E42+IF($G$57=0,0,SUMIF($C$61:$D$61,"="&amp;C67,$E$61:$F$61)/100)+N16/10000</f>
        <v>1.0001</v>
      </c>
      <c r="E67" s="322">
        <f>RANK(D67,$D$66:$D$69)</f>
        <v>1</v>
      </c>
      <c r="F67" s="322">
        <f>E67+COUNTIF(E$65:E66,"="&amp;E67)</f>
        <v>2</v>
      </c>
      <c r="AC67" s="322">
        <v>2</v>
      </c>
      <c r="AD67" s="322">
        <f>AE42+IF($AG$57=0,0,SUMIF($AC$61:$AD$61,"="&amp;AC67,$AE$61:$AF$61)/100)+AN16/10000</f>
        <v>1.0001</v>
      </c>
      <c r="AE67" s="322">
        <f>RANK(AD67,$AD$66:$AD$69)</f>
        <v>1</v>
      </c>
      <c r="AF67" s="322">
        <f>AE67+COUNTIF(AE$65:AE66,"="&amp;AE67)</f>
        <v>2</v>
      </c>
    </row>
    <row r="68" spans="1:39" x14ac:dyDescent="0.2">
      <c r="C68" s="322">
        <v>3</v>
      </c>
      <c r="D68" s="322">
        <f>E43+IF($G$57=0,0,SUMIF($C$61:$D$61,"="&amp;C68,$E$61:$F$61)/100)+N17/10000</f>
        <v>1.0001</v>
      </c>
      <c r="E68" s="322">
        <f>RANK(D68,$D$66:$D$69)</f>
        <v>1</v>
      </c>
      <c r="F68" s="322">
        <f>E68+COUNTIF(E$65:E67,"="&amp;E68)</f>
        <v>3</v>
      </c>
      <c r="AC68" s="322">
        <v>3</v>
      </c>
      <c r="AD68" s="322">
        <f>AE43+IF($AG$57=0,0,SUMIF($AC$61:$AD$61,"="&amp;AC68,$AE$61:$AF$61)/100)+AN17/10000</f>
        <v>1.0001</v>
      </c>
      <c r="AE68" s="322">
        <f>RANK(AD68,$AD$66:$AD$69)</f>
        <v>1</v>
      </c>
      <c r="AF68" s="322">
        <f>AE68+COUNTIF(AE$65:AE67,"="&amp;AE68)</f>
        <v>3</v>
      </c>
    </row>
    <row r="69" spans="1:39" x14ac:dyDescent="0.2">
      <c r="C69" s="322">
        <v>4</v>
      </c>
      <c r="D69" s="322">
        <f>E44+IF($G$57=0,0,SUMIF($C$61:$D$61,"="&amp;C69,$E$61:$F$61)/100)+N18/10000</f>
        <v>1.0001</v>
      </c>
      <c r="E69" s="322">
        <f>RANK(D69,$D$66:$D$69)</f>
        <v>1</v>
      </c>
      <c r="F69" s="322">
        <f>E69+COUNTIF(E$65:E68,"="&amp;E69)</f>
        <v>4</v>
      </c>
      <c r="AC69" s="322">
        <v>4</v>
      </c>
      <c r="AD69" s="322">
        <f>AE44+IF($AG$57=0,0,SUMIF($AC$61:$AD$61,"="&amp;AC69,$AE$61:$AF$61)/100)+AN18/10000</f>
        <v>1.0001</v>
      </c>
      <c r="AE69" s="322">
        <f>RANK(AD69,$AD$66:$AD$69)</f>
        <v>1</v>
      </c>
      <c r="AF69" s="322">
        <f>AE69+COUNTIF(AE$65:AE68,"="&amp;AE69)</f>
        <v>4</v>
      </c>
    </row>
    <row r="70" spans="1:39" x14ac:dyDescent="0.2">
      <c r="J70" s="322" t="s">
        <v>1021</v>
      </c>
      <c r="AJ70" s="322" t="s">
        <v>1021</v>
      </c>
    </row>
    <row r="71" spans="1:39" x14ac:dyDescent="0.2">
      <c r="B71" s="322" t="s">
        <v>1022</v>
      </c>
      <c r="C71" s="322" t="s">
        <v>994</v>
      </c>
      <c r="D71" s="322" t="s">
        <v>975</v>
      </c>
      <c r="E71" s="322" t="s">
        <v>1023</v>
      </c>
      <c r="F71" s="324" t="s">
        <v>1024</v>
      </c>
      <c r="G71" s="324" t="b">
        <f>VLOOKUP(A4,Tippabgabe!$DM$122:$DN$127,2,FALSE)</f>
        <v>0</v>
      </c>
      <c r="H71" s="324" t="s">
        <v>975</v>
      </c>
      <c r="J71" s="322" t="s">
        <v>1025</v>
      </c>
      <c r="AB71" s="322" t="s">
        <v>1022</v>
      </c>
      <c r="AC71" s="322" t="s">
        <v>994</v>
      </c>
      <c r="AD71" s="322" t="s">
        <v>975</v>
      </c>
      <c r="AE71" s="322" t="s">
        <v>1023</v>
      </c>
      <c r="AF71" s="324" t="s">
        <v>1024</v>
      </c>
      <c r="AG71" s="324" t="b">
        <f>VLOOKUP(AA4,Tippabgabe!$DM$122:$DN$127,2,FALSE)</f>
        <v>0</v>
      </c>
      <c r="AH71" s="324" t="s">
        <v>975</v>
      </c>
      <c r="AJ71" s="322" t="s">
        <v>1025</v>
      </c>
    </row>
    <row r="72" spans="1:39" ht="11.4" x14ac:dyDescent="0.2">
      <c r="B72" s="322" t="str">
        <f>INDEX(teams,INDEX(C15:C18,D72))</f>
        <v>Deutschland</v>
      </c>
      <c r="C72" s="322">
        <v>1</v>
      </c>
      <c r="D72" s="321">
        <f>SUMIF(F66:F69,"="&amp;C72,C66:C69)</f>
        <v>1</v>
      </c>
      <c r="E72" s="322">
        <f>IF(G71,C72,INDEX(E66:E69,D72))</f>
        <v>1</v>
      </c>
      <c r="F72" s="324"/>
      <c r="G72" s="324">
        <v>1</v>
      </c>
      <c r="H72" s="323">
        <f>IF(G71,VLOOKUP(A79,Tippabgabe!$DM$93:$DO$116,3,FALSE),D72)</f>
        <v>1</v>
      </c>
      <c r="J72" s="321">
        <f>IF(G71,H72,D72)</f>
        <v>1</v>
      </c>
      <c r="AB72" s="322" t="str">
        <f>INDEX(teams,INDEX(AC15:AC18,AD72))</f>
        <v>Spanien</v>
      </c>
      <c r="AC72" s="322">
        <v>1</v>
      </c>
      <c r="AD72" s="321">
        <f>SUMIF(AF66:AF69,"="&amp;AC72,AC66:AC69)</f>
        <v>1</v>
      </c>
      <c r="AE72" s="322">
        <f>IF(AG71,AC72,INDEX(AE66:AE69,AD72))</f>
        <v>1</v>
      </c>
      <c r="AF72" s="324">
        <v>1</v>
      </c>
      <c r="AG72" s="324">
        <v>1</v>
      </c>
      <c r="AH72" s="323">
        <f>IF(AG71,VLOOKUP(AA79,Tippabgabe!$DM$93:$DO$116,3,FALSE),AD72)</f>
        <v>1</v>
      </c>
      <c r="AJ72" s="321">
        <f>IF(AG71,AH72,AD72)</f>
        <v>1</v>
      </c>
    </row>
    <row r="73" spans="1:39" ht="11.4" x14ac:dyDescent="0.2">
      <c r="B73" s="322" t="str">
        <f>INDEX(teams,INDEX(C15:C18,D73))</f>
        <v>Schottland</v>
      </c>
      <c r="C73" s="322">
        <v>2</v>
      </c>
      <c r="D73" s="321">
        <f>SUMIF(F66:F69,"="&amp;C73,C66:C69)</f>
        <v>2</v>
      </c>
      <c r="E73" s="322">
        <f>IF(G71,C73,INDEX(E66:E69,D73))</f>
        <v>1</v>
      </c>
      <c r="F73" s="324"/>
      <c r="G73" s="324">
        <v>2</v>
      </c>
      <c r="H73" s="323">
        <f>IF(G71,VLOOKUP(A80,Tippabgabe!$DM$93:$DO$116,3,FALSE),D73)</f>
        <v>2</v>
      </c>
      <c r="J73" s="321">
        <f>IF(G72,H73,D73)</f>
        <v>2</v>
      </c>
      <c r="AB73" s="322" t="str">
        <f>INDEX(teams,INDEX(AC15:AC18,AD73))</f>
        <v>Kroatien</v>
      </c>
      <c r="AC73" s="322">
        <v>2</v>
      </c>
      <c r="AD73" s="321">
        <f>SUMIF(AF66:AF69,"="&amp;AC73,AC66:AC69)</f>
        <v>2</v>
      </c>
      <c r="AE73" s="322">
        <f>IF(AG71,AC73,INDEX(AE66:AE69,AD73))</f>
        <v>1</v>
      </c>
      <c r="AF73" s="324"/>
      <c r="AG73" s="324">
        <v>2</v>
      </c>
      <c r="AH73" s="323">
        <f>IF(AG71,VLOOKUP(AA80,Tippabgabe!$DM$93:$DO$116,3,FALSE),AD73)</f>
        <v>2</v>
      </c>
      <c r="AJ73" s="321">
        <f>IF(AG72,AH73,AD73)</f>
        <v>2</v>
      </c>
    </row>
    <row r="74" spans="1:39" ht="11.4" x14ac:dyDescent="0.2">
      <c r="B74" s="322" t="str">
        <f>INDEX(teams,INDEX(C15:C18,D74))</f>
        <v>Ungarn</v>
      </c>
      <c r="C74" s="322">
        <v>3</v>
      </c>
      <c r="D74" s="321">
        <f>SUMIF(F66:F69,"="&amp;C74,C66:C69)</f>
        <v>3</v>
      </c>
      <c r="E74" s="322">
        <f>IF(G71,C74,INDEX(E66:E69,D74))</f>
        <v>1</v>
      </c>
      <c r="F74" s="324"/>
      <c r="G74" s="324">
        <v>3</v>
      </c>
      <c r="H74" s="323">
        <f>IF(G71,VLOOKUP(A81,Tippabgabe!$DM$93:$DO$116,3,FALSE),D74)</f>
        <v>3</v>
      </c>
      <c r="J74" s="321">
        <f>IF(G73,H74,D74)</f>
        <v>3</v>
      </c>
      <c r="AB74" s="322" t="str">
        <f>INDEX(teams,INDEX(AC15:AC18,AD74))</f>
        <v>Italien</v>
      </c>
      <c r="AC74" s="322">
        <v>3</v>
      </c>
      <c r="AD74" s="321">
        <f>SUMIF(AF66:AF69,"="&amp;AC74,AC66:AC69)</f>
        <v>3</v>
      </c>
      <c r="AE74" s="322">
        <f>IF(AG71,AC74,INDEX(AE66:AE69,AD74))</f>
        <v>1</v>
      </c>
      <c r="AF74" s="324"/>
      <c r="AG74" s="324">
        <v>3</v>
      </c>
      <c r="AH74" s="323">
        <f>IF(AG71,VLOOKUP(AA81,Tippabgabe!$DM$93:$DO$116,3,FALSE),AD74)</f>
        <v>3</v>
      </c>
      <c r="AJ74" s="321">
        <f>IF(AG73,AH74,AD74)</f>
        <v>3</v>
      </c>
    </row>
    <row r="75" spans="1:39" ht="11.4" x14ac:dyDescent="0.2">
      <c r="B75" s="322" t="str">
        <f>INDEX(teams,INDEX(C15:C18,D75))</f>
        <v>Schweiz</v>
      </c>
      <c r="C75" s="322">
        <v>4</v>
      </c>
      <c r="D75" s="321">
        <f>SUMIF(F66:F69,"="&amp;C75,C66:C69)</f>
        <v>4</v>
      </c>
      <c r="E75" s="322">
        <f>IF(G71,C75,INDEX(E66:E69,D75))</f>
        <v>1</v>
      </c>
      <c r="F75" s="324"/>
      <c r="G75" s="324">
        <v>4</v>
      </c>
      <c r="H75" s="323">
        <f>IF(G71,VLOOKUP(A82,Tippabgabe!$DM$93:$DO$116,3,FALSE),D75)</f>
        <v>4</v>
      </c>
      <c r="J75" s="321">
        <f>IF(G74,H75,D75)</f>
        <v>4</v>
      </c>
      <c r="AB75" s="322" t="str">
        <f>INDEX(teams,INDEX(AC15:AC18,AD75))</f>
        <v>Albanien</v>
      </c>
      <c r="AC75" s="322">
        <v>4</v>
      </c>
      <c r="AD75" s="321">
        <f>SUMIF(AF66:AF69,"="&amp;AC75,AC66:AC69)</f>
        <v>4</v>
      </c>
      <c r="AE75" s="322">
        <f>IF(AG71,AC75,INDEX(AE66:AE69,AD75))</f>
        <v>1</v>
      </c>
      <c r="AF75" s="324"/>
      <c r="AG75" s="324">
        <v>4</v>
      </c>
      <c r="AH75" s="323">
        <f>IF(AG71,VLOOKUP(AA82,Tippabgabe!$DM$93:$DO$116,3,FALSE),AD75)</f>
        <v>4</v>
      </c>
      <c r="AJ75" s="321">
        <f>IF(AG74,AH75,AD75)</f>
        <v>4</v>
      </c>
    </row>
    <row r="78" spans="1:39" x14ac:dyDescent="0.2">
      <c r="B78" s="322" t="s">
        <v>1022</v>
      </c>
      <c r="C78" s="322" t="s">
        <v>996</v>
      </c>
      <c r="D78" s="322" t="s">
        <v>975</v>
      </c>
      <c r="E78" s="322" t="s">
        <v>108</v>
      </c>
      <c r="F78" s="322" t="s">
        <v>1026</v>
      </c>
      <c r="G78" s="322" t="s">
        <v>587</v>
      </c>
      <c r="H78" s="322" t="s">
        <v>1027</v>
      </c>
      <c r="I78" s="322" t="s">
        <v>1028</v>
      </c>
      <c r="J78" s="322" t="s">
        <v>999</v>
      </c>
      <c r="K78" s="322" t="s">
        <v>498</v>
      </c>
      <c r="L78" s="322" t="s">
        <v>848</v>
      </c>
      <c r="M78" s="322" t="s">
        <v>1029</v>
      </c>
      <c r="AB78" s="322" t="s">
        <v>1022</v>
      </c>
      <c r="AC78" s="322" t="s">
        <v>996</v>
      </c>
      <c r="AD78" s="322" t="s">
        <v>975</v>
      </c>
      <c r="AE78" s="322" t="s">
        <v>108</v>
      </c>
      <c r="AF78" s="322" t="s">
        <v>1026</v>
      </c>
      <c r="AG78" s="322" t="s">
        <v>587</v>
      </c>
      <c r="AH78" s="322" t="s">
        <v>1027</v>
      </c>
      <c r="AI78" s="322" t="s">
        <v>1028</v>
      </c>
      <c r="AJ78" s="322" t="s">
        <v>999</v>
      </c>
      <c r="AK78" s="322" t="s">
        <v>498</v>
      </c>
      <c r="AL78" s="322" t="s">
        <v>848</v>
      </c>
      <c r="AM78" s="322" t="s">
        <v>1029</v>
      </c>
    </row>
    <row r="79" spans="1:39" x14ac:dyDescent="0.2">
      <c r="A79" s="322" t="str">
        <f>"S"&amp;A4</f>
        <v>SA</v>
      </c>
      <c r="B79" s="322">
        <v>1</v>
      </c>
      <c r="C79" s="322">
        <f>INDEX($C$15:$C$18,J72)</f>
        <v>1</v>
      </c>
      <c r="D79" s="322">
        <f>J72</f>
        <v>1</v>
      </c>
      <c r="E79" s="322" t="str">
        <f>INDEX($H$15:$H$18,J72)</f>
        <v>GER</v>
      </c>
      <c r="F79" s="322">
        <f>SUMIF($D$6:$E$11,"="&amp;$C79,$Q$6:$R$11)</f>
        <v>0</v>
      </c>
      <c r="G79" s="322">
        <f>INDEX($D$15:$D$18,$J72)</f>
        <v>0</v>
      </c>
      <c r="H79" s="322">
        <f>INDEX($E$15:$E$18,$J72)</f>
        <v>0</v>
      </c>
      <c r="I79" s="322">
        <f>INDEX($F$15:$F$18,$J72)</f>
        <v>0</v>
      </c>
      <c r="J79" s="322">
        <f>INDEX($G$15:$G$18,$J72)</f>
        <v>0</v>
      </c>
      <c r="K79" s="322">
        <f t="shared" ref="K79:M82" si="28">COUNTIF($S$6:$T$11,"="&amp;K$78&amp;$C79)</f>
        <v>0</v>
      </c>
      <c r="L79" s="322">
        <f t="shared" si="28"/>
        <v>0</v>
      </c>
      <c r="M79" s="322">
        <f t="shared" si="28"/>
        <v>0</v>
      </c>
      <c r="AA79" s="322" t="str">
        <f>"S"&amp;AA4</f>
        <v>SB</v>
      </c>
      <c r="AB79" s="322">
        <v>1</v>
      </c>
      <c r="AC79" s="322">
        <f>INDEX($AC$15:$AC$18,AJ72)</f>
        <v>5</v>
      </c>
      <c r="AD79" s="322">
        <f>AJ72</f>
        <v>1</v>
      </c>
      <c r="AE79" s="322" t="str">
        <f>INDEX($AH$15:$AH$18,AJ72)</f>
        <v>ESP</v>
      </c>
      <c r="AF79" s="322">
        <f>SUMIF($AD$6:$AE$11,"="&amp;$AC79,$AQ$6:$AR$11)</f>
        <v>0</v>
      </c>
      <c r="AG79" s="322">
        <f>INDEX($AD$15:$AD$18,$AJ72)</f>
        <v>0</v>
      </c>
      <c r="AH79" s="322">
        <f>INDEX($AE$15:$AE$18,$AJ72)</f>
        <v>0</v>
      </c>
      <c r="AI79" s="322">
        <f>INDEX($AF$15:$AF$18,$AJ72)</f>
        <v>0</v>
      </c>
      <c r="AJ79" s="322">
        <f>INDEX($AG$15:$AG$18,$AJ72)</f>
        <v>0</v>
      </c>
      <c r="AK79" s="322">
        <f t="shared" ref="AK79:AM82" si="29">COUNTIF($AS$6:$AT$11,"="&amp;AK$78&amp;$AC79)</f>
        <v>0</v>
      </c>
      <c r="AL79" s="322">
        <f t="shared" si="29"/>
        <v>0</v>
      </c>
      <c r="AM79" s="322">
        <f t="shared" si="29"/>
        <v>0</v>
      </c>
    </row>
    <row r="80" spans="1:39" x14ac:dyDescent="0.2">
      <c r="A80" s="322" t="str">
        <f>"Z"&amp;A4</f>
        <v>ZA</v>
      </c>
      <c r="B80" s="322">
        <v>2</v>
      </c>
      <c r="C80" s="322">
        <f>INDEX($C$15:$C$18,J73)</f>
        <v>2</v>
      </c>
      <c r="D80" s="322">
        <f>J73</f>
        <v>2</v>
      </c>
      <c r="E80" s="322" t="str">
        <f>INDEX($H$15:$H$18,J73)</f>
        <v>SCO</v>
      </c>
      <c r="F80" s="322">
        <f>SUMIF($D$6:$E$11,"="&amp;$C80,$Q$6:$R$11)</f>
        <v>0</v>
      </c>
      <c r="G80" s="322">
        <f>INDEX($D$15:$D$18,$J73)</f>
        <v>0</v>
      </c>
      <c r="H80" s="322">
        <f>INDEX($E$15:$E$18,$J73)</f>
        <v>0</v>
      </c>
      <c r="I80" s="322">
        <f>INDEX($F$15:$F$18,$J73)</f>
        <v>0</v>
      </c>
      <c r="J80" s="322">
        <f>INDEX($G$15:$G$18,$J73)</f>
        <v>0</v>
      </c>
      <c r="K80" s="322">
        <f t="shared" si="28"/>
        <v>0</v>
      </c>
      <c r="L80" s="322">
        <f t="shared" si="28"/>
        <v>0</v>
      </c>
      <c r="M80" s="322">
        <f t="shared" si="28"/>
        <v>0</v>
      </c>
      <c r="AA80" s="322" t="str">
        <f>"Z"&amp;AA4</f>
        <v>ZB</v>
      </c>
      <c r="AB80" s="322">
        <v>2</v>
      </c>
      <c r="AC80" s="322">
        <f>INDEX($AC$15:$AC$18,AJ73)</f>
        <v>6</v>
      </c>
      <c r="AD80" s="322">
        <f>AJ73</f>
        <v>2</v>
      </c>
      <c r="AE80" s="322" t="str">
        <f>INDEX($AH$15:$AH$18,AJ73)</f>
        <v>CRO</v>
      </c>
      <c r="AF80" s="322">
        <f>SUMIF($AD$6:$AE$11,"="&amp;$AC80,$AQ$6:$AR$11)</f>
        <v>0</v>
      </c>
      <c r="AG80" s="322">
        <f>INDEX($AD$15:$AD$18,$AJ73)</f>
        <v>0</v>
      </c>
      <c r="AH80" s="322">
        <f>INDEX($AE$15:$AE$18,$AJ73)</f>
        <v>0</v>
      </c>
      <c r="AI80" s="322">
        <f>INDEX($AF$15:$AF$18,$AJ73)</f>
        <v>0</v>
      </c>
      <c r="AJ80" s="322">
        <f>INDEX($AG$15:$AG$18,$AJ73)</f>
        <v>0</v>
      </c>
      <c r="AK80" s="322">
        <f t="shared" si="29"/>
        <v>0</v>
      </c>
      <c r="AL80" s="322">
        <f t="shared" si="29"/>
        <v>0</v>
      </c>
      <c r="AM80" s="322">
        <f t="shared" si="29"/>
        <v>0</v>
      </c>
    </row>
    <row r="81" spans="1:46" x14ac:dyDescent="0.2">
      <c r="A81" s="322" t="str">
        <f>"D"&amp;A4</f>
        <v>DA</v>
      </c>
      <c r="B81" s="322">
        <v>3</v>
      </c>
      <c r="C81" s="322">
        <f>INDEX($C$15:$C$18,J74)</f>
        <v>3</v>
      </c>
      <c r="D81" s="322">
        <f>J74</f>
        <v>3</v>
      </c>
      <c r="E81" s="322" t="str">
        <f>INDEX($H$15:$H$18,J74)</f>
        <v>HUN</v>
      </c>
      <c r="F81" s="322">
        <f>SUMIF($D$6:$E$11,"="&amp;$C81,$Q$6:$R$11)</f>
        <v>0</v>
      </c>
      <c r="G81" s="322">
        <f>INDEX($D$15:$D$18,$J74)</f>
        <v>0</v>
      </c>
      <c r="H81" s="322">
        <f>INDEX($E$15:$E$18,$J74)</f>
        <v>0</v>
      </c>
      <c r="I81" s="322">
        <f>INDEX($F$15:$F$18,$J74)</f>
        <v>0</v>
      </c>
      <c r="J81" s="322">
        <f>INDEX($G$15:$G$18,$J74)</f>
        <v>0</v>
      </c>
      <c r="K81" s="322">
        <f t="shared" si="28"/>
        <v>0</v>
      </c>
      <c r="L81" s="322">
        <f t="shared" si="28"/>
        <v>0</v>
      </c>
      <c r="M81" s="322">
        <f t="shared" si="28"/>
        <v>0</v>
      </c>
      <c r="AA81" s="322" t="str">
        <f>"D"&amp;AA4</f>
        <v>DB</v>
      </c>
      <c r="AB81" s="322">
        <v>3</v>
      </c>
      <c r="AC81" s="322">
        <f>INDEX($AC$15:$AC$18,AJ74)</f>
        <v>7</v>
      </c>
      <c r="AD81" s="322">
        <f>AJ74</f>
        <v>3</v>
      </c>
      <c r="AE81" s="322" t="str">
        <f>INDEX($AH$15:$AH$18,AJ74)</f>
        <v>ITA</v>
      </c>
      <c r="AF81" s="322">
        <f>SUMIF($AD$6:$AE$11,"="&amp;$AC81,$AQ$6:$AR$11)</f>
        <v>0</v>
      </c>
      <c r="AG81" s="322">
        <f>INDEX($AD$15:$AD$18,$AJ74)</f>
        <v>0</v>
      </c>
      <c r="AH81" s="322">
        <f>INDEX($AE$15:$AE$18,$AJ74)</f>
        <v>0</v>
      </c>
      <c r="AI81" s="322">
        <f>INDEX($AF$15:$AF$18,$AJ74)</f>
        <v>0</v>
      </c>
      <c r="AJ81" s="322">
        <f>INDEX($AG$15:$AG$18,$AJ74)</f>
        <v>0</v>
      </c>
      <c r="AK81" s="322">
        <f t="shared" si="29"/>
        <v>0</v>
      </c>
      <c r="AL81" s="322">
        <f t="shared" si="29"/>
        <v>0</v>
      </c>
      <c r="AM81" s="322">
        <f t="shared" si="29"/>
        <v>0</v>
      </c>
    </row>
    <row r="82" spans="1:46" x14ac:dyDescent="0.2">
      <c r="A82" s="322" t="str">
        <f>"V"&amp;A4</f>
        <v>VA</v>
      </c>
      <c r="B82" s="322">
        <v>4</v>
      </c>
      <c r="C82" s="322">
        <f>INDEX($C$15:$C$18,J75)</f>
        <v>4</v>
      </c>
      <c r="D82" s="322">
        <f>J75</f>
        <v>4</v>
      </c>
      <c r="E82" s="322" t="str">
        <f>INDEX($H$15:$H$18,J75)</f>
        <v>SUI</v>
      </c>
      <c r="F82" s="322">
        <f>SUMIF($D$6:$E$11,"="&amp;$C82,$Q$6:$R$11)</f>
        <v>0</v>
      </c>
      <c r="G82" s="322">
        <f>INDEX($D$15:$D$18,$J75)</f>
        <v>0</v>
      </c>
      <c r="H82" s="322">
        <f>INDEX($E$15:$E$18,$J75)</f>
        <v>0</v>
      </c>
      <c r="I82" s="322">
        <f>INDEX($F$15:$F$18,$J75)</f>
        <v>0</v>
      </c>
      <c r="J82" s="322">
        <f>INDEX($G$15:$G$18,$J75)</f>
        <v>0</v>
      </c>
      <c r="K82" s="322">
        <f t="shared" si="28"/>
        <v>0</v>
      </c>
      <c r="L82" s="322">
        <f t="shared" si="28"/>
        <v>0</v>
      </c>
      <c r="M82" s="322">
        <f t="shared" si="28"/>
        <v>0</v>
      </c>
      <c r="AA82" s="322" t="str">
        <f>"V"&amp;AA4</f>
        <v>VB</v>
      </c>
      <c r="AB82" s="322">
        <v>4</v>
      </c>
      <c r="AC82" s="322">
        <f>INDEX($AC$15:$AC$18,AJ75)</f>
        <v>8</v>
      </c>
      <c r="AD82" s="322">
        <f>AJ75</f>
        <v>4</v>
      </c>
      <c r="AE82" s="322" t="str">
        <f>INDEX($AH$15:$AH$18,AJ75)</f>
        <v>ALB</v>
      </c>
      <c r="AF82" s="322">
        <f>SUMIF($AD$6:$AE$11,"="&amp;$AC82,$AQ$6:$AR$11)</f>
        <v>0</v>
      </c>
      <c r="AG82" s="322">
        <f>INDEX($AD$15:$AD$18,$AJ75)</f>
        <v>0</v>
      </c>
      <c r="AH82" s="322">
        <f>INDEX($AE$15:$AE$18,$AJ75)</f>
        <v>0</v>
      </c>
      <c r="AI82" s="322">
        <f>INDEX($AF$15:$AF$18,$AJ75)</f>
        <v>0</v>
      </c>
      <c r="AJ82" s="322">
        <f>INDEX($AG$15:$AG$18,$AJ75)</f>
        <v>0</v>
      </c>
      <c r="AK82" s="322">
        <f t="shared" si="29"/>
        <v>0</v>
      </c>
      <c r="AL82" s="322">
        <f t="shared" si="29"/>
        <v>0</v>
      </c>
      <c r="AM82" s="322">
        <f t="shared" si="29"/>
        <v>0</v>
      </c>
    </row>
    <row r="86" spans="1:46" x14ac:dyDescent="0.2">
      <c r="A86" s="322" t="s">
        <v>613</v>
      </c>
      <c r="B86" s="322" t="s">
        <v>394</v>
      </c>
      <c r="G86" s="322" t="s">
        <v>473</v>
      </c>
      <c r="K86" s="322" t="s">
        <v>974</v>
      </c>
      <c r="AA86" s="322" t="s">
        <v>608</v>
      </c>
      <c r="AB86" s="322" t="s">
        <v>394</v>
      </c>
      <c r="AG86" s="322" t="s">
        <v>473</v>
      </c>
      <c r="AK86" s="322" t="s">
        <v>974</v>
      </c>
    </row>
    <row r="87" spans="1:46" x14ac:dyDescent="0.2">
      <c r="A87" s="322" t="s">
        <v>975</v>
      </c>
      <c r="D87" s="322" t="s">
        <v>976</v>
      </c>
      <c r="E87" s="322" t="s">
        <v>977</v>
      </c>
      <c r="F87" s="322" t="s">
        <v>978</v>
      </c>
      <c r="G87" s="322" t="s">
        <v>979</v>
      </c>
      <c r="H87" s="322" t="s">
        <v>980</v>
      </c>
      <c r="I87" s="322" t="s">
        <v>981</v>
      </c>
      <c r="K87" s="322" t="s">
        <v>982</v>
      </c>
      <c r="L87" s="322" t="s">
        <v>983</v>
      </c>
      <c r="M87" s="322" t="s">
        <v>984</v>
      </c>
      <c r="N87" s="322" t="s">
        <v>985</v>
      </c>
      <c r="O87" s="322" t="s">
        <v>986</v>
      </c>
      <c r="P87" s="322" t="s">
        <v>987</v>
      </c>
      <c r="Q87" s="322" t="s">
        <v>879</v>
      </c>
      <c r="S87" s="322" t="s">
        <v>473</v>
      </c>
      <c r="AA87" s="322" t="s">
        <v>975</v>
      </c>
      <c r="AD87" s="322" t="s">
        <v>976</v>
      </c>
      <c r="AE87" s="322" t="s">
        <v>977</v>
      </c>
      <c r="AF87" s="322" t="s">
        <v>978</v>
      </c>
      <c r="AG87" s="322" t="s">
        <v>979</v>
      </c>
      <c r="AH87" s="322" t="s">
        <v>980</v>
      </c>
      <c r="AI87" s="322" t="s">
        <v>981</v>
      </c>
      <c r="AK87" s="322" t="s">
        <v>982</v>
      </c>
      <c r="AL87" s="322" t="s">
        <v>983</v>
      </c>
      <c r="AM87" s="322" t="s">
        <v>984</v>
      </c>
      <c r="AN87" s="322" t="s">
        <v>985</v>
      </c>
      <c r="AO87" s="322" t="s">
        <v>986</v>
      </c>
      <c r="AP87" s="322" t="s">
        <v>987</v>
      </c>
      <c r="AQ87" s="322" t="s">
        <v>879</v>
      </c>
      <c r="AS87" s="322" t="s">
        <v>473</v>
      </c>
    </row>
    <row r="88" spans="1:46" ht="11.4" x14ac:dyDescent="0.2">
      <c r="A88" s="316">
        <v>1</v>
      </c>
      <c r="B88" s="316" t="str">
        <f t="shared" ref="B88:B93" si="30">D88&amp;"#"&amp;E88</f>
        <v>9#10</v>
      </c>
      <c r="C88" s="316" t="str">
        <f t="shared" ref="C88:C93" si="31">E88&amp;"#"&amp;D88</f>
        <v>10#9</v>
      </c>
      <c r="D88" s="316">
        <f>VLOOKUP(J88,daten!$G$59:$L$94,5,FALSE)</f>
        <v>9</v>
      </c>
      <c r="E88" s="316">
        <f>VLOOKUP(J88,daten!$G$59:$L$94,6,FALSE)</f>
        <v>10</v>
      </c>
      <c r="F88" s="316">
        <f t="shared" ref="F88:F93" si="32">D88</f>
        <v>9</v>
      </c>
      <c r="G88" s="316" t="str">
        <f>VLOOKUP(J88,Tippabgabe!$DQ$40:$DW$75,4,FALSE)</f>
        <v/>
      </c>
      <c r="H88" s="316" t="str">
        <f>VLOOKUP(J88,Tippabgabe!$DQ$40:$DW$75,5,FALSE)</f>
        <v/>
      </c>
      <c r="I88" s="316" t="str">
        <f t="shared" ref="I88:I93" si="33">IF(LEN(G88)&gt;0,G88,"")</f>
        <v/>
      </c>
      <c r="J88" s="316" t="str">
        <f>A86&amp;"-"&amp;A88</f>
        <v>C-1</v>
      </c>
      <c r="K88" s="322">
        <f t="shared" ref="K88:K93" si="34">IF(COUNT(G88:H88)&lt;&gt;2,0,IF(G88&gt;H88,3,IF(H88&gt;G88,0,1)))</f>
        <v>0</v>
      </c>
      <c r="L88" s="322">
        <f t="shared" ref="L88:L93" si="35">IF(COUNT(G88:H88)&lt;&gt;2,0,IF(G88&gt;H88,0,IF(H88&gt;G88,3,1)))</f>
        <v>0</v>
      </c>
      <c r="M88" s="322">
        <f t="shared" ref="M88:M93" si="36">IF(COUNT(G88:H88)&lt;&gt;2,0,G88-H88)</f>
        <v>0</v>
      </c>
      <c r="N88" s="322">
        <f t="shared" ref="N88:N93" si="37">IF(COUNT(G88:H88)&lt;&gt;2,0,H88-I88)</f>
        <v>0</v>
      </c>
      <c r="O88" s="322">
        <f t="shared" ref="O88:P93" si="38">K88*1000+M88+IF(LEN(G88)=0,0,G88/1000)</f>
        <v>0</v>
      </c>
      <c r="P88" s="322">
        <f t="shared" si="38"/>
        <v>0</v>
      </c>
      <c r="Q88" s="322">
        <f t="shared" ref="Q88:Q93" si="39">IF(COUNT(G88:H88)=2,1,0)</f>
        <v>0</v>
      </c>
      <c r="R88" s="322">
        <f t="shared" ref="R88:R93" si="40">Q88</f>
        <v>0</v>
      </c>
      <c r="S88" s="322" t="str">
        <f t="shared" ref="S88:T93" si="41">IF(Q88=0,"X",IF(K88=3,"S",IF(K88=0,"N","U")))&amp;D88</f>
        <v>X9</v>
      </c>
      <c r="T88" s="322" t="str">
        <f t="shared" si="41"/>
        <v>X10</v>
      </c>
      <c r="AA88" s="316">
        <v>1</v>
      </c>
      <c r="AB88" s="316" t="str">
        <f t="shared" ref="AB88:AB93" si="42">AD88&amp;"#"&amp;AE88</f>
        <v>13#14</v>
      </c>
      <c r="AC88" s="316" t="str">
        <f t="shared" ref="AC88:AC93" si="43">AE88&amp;"#"&amp;AD88</f>
        <v>14#13</v>
      </c>
      <c r="AD88" s="316">
        <f>VLOOKUP(AJ88,daten!$G$59:$L$94,5,FALSE)</f>
        <v>13</v>
      </c>
      <c r="AE88" s="316">
        <f>VLOOKUP(AJ88,daten!$G$59:$L$94,6,FALSE)</f>
        <v>14</v>
      </c>
      <c r="AF88" s="316">
        <f t="shared" ref="AF88:AF93" si="44">AD88</f>
        <v>13</v>
      </c>
      <c r="AG88" s="316" t="str">
        <f>VLOOKUP(AJ88,Tippabgabe!$DQ$40:$DW$75,4,FALSE)</f>
        <v/>
      </c>
      <c r="AH88" s="316" t="str">
        <f>VLOOKUP(AJ88,Tippabgabe!$DQ$40:$DW$75,5,FALSE)</f>
        <v/>
      </c>
      <c r="AI88" s="316" t="str">
        <f t="shared" ref="AI88:AI93" si="45">IF(LEN(AG88)&gt;0,AG88,"")</f>
        <v/>
      </c>
      <c r="AJ88" s="316" t="str">
        <f>AA86&amp;"-"&amp;AA88</f>
        <v>D-1</v>
      </c>
      <c r="AK88" s="322">
        <f t="shared" ref="AK88:AK93" si="46">IF(COUNT(AG88:AH88)&lt;&gt;2,0,IF(AG88&gt;AH88,3,IF(AH88&gt;AG88,0,1)))</f>
        <v>0</v>
      </c>
      <c r="AL88" s="322">
        <f t="shared" ref="AL88:AL93" si="47">IF(COUNT(AG88:AH88)&lt;&gt;2,0,IF(AG88&gt;AH88,0,IF(AH88&gt;AG88,3,1)))</f>
        <v>0</v>
      </c>
      <c r="AM88" s="322">
        <f t="shared" ref="AM88:AM93" si="48">IF(COUNT(AG88:AH88)&lt;&gt;2,0,AG88-AH88)</f>
        <v>0</v>
      </c>
      <c r="AN88" s="322">
        <f t="shared" ref="AN88:AN93" si="49">IF(COUNT(AG88:AH88)&lt;&gt;2,0,AH88-AI88)</f>
        <v>0</v>
      </c>
      <c r="AO88" s="322">
        <f t="shared" ref="AO88:AP93" si="50">AK88*1000+AM88+IF(LEN(AG88)=0,0,AG88/1000)</f>
        <v>0</v>
      </c>
      <c r="AP88" s="322">
        <f t="shared" si="50"/>
        <v>0</v>
      </c>
      <c r="AQ88" s="322">
        <f t="shared" ref="AQ88:AQ93" si="51">IF(COUNT(AG88:AH88)=2,1,0)</f>
        <v>0</v>
      </c>
      <c r="AR88" s="322">
        <f t="shared" ref="AR88:AR93" si="52">AQ88</f>
        <v>0</v>
      </c>
      <c r="AS88" s="322" t="str">
        <f t="shared" ref="AS88:AT93" si="53">IF(AQ88=0,"X",IF(AK88=3,"S",IF(AK88=0,"N","U")))&amp;AD88</f>
        <v>X13</v>
      </c>
      <c r="AT88" s="322" t="str">
        <f t="shared" si="53"/>
        <v>X14</v>
      </c>
    </row>
    <row r="89" spans="1:46" ht="11.4" x14ac:dyDescent="0.2">
      <c r="A89" s="316">
        <v>2</v>
      </c>
      <c r="B89" s="316" t="str">
        <f t="shared" si="30"/>
        <v>11#12</v>
      </c>
      <c r="C89" s="316" t="str">
        <f t="shared" si="31"/>
        <v>12#11</v>
      </c>
      <c r="D89" s="316">
        <f>VLOOKUP(J89,daten!$G$59:$L$94,5,FALSE)</f>
        <v>11</v>
      </c>
      <c r="E89" s="316">
        <f>VLOOKUP(J89,daten!$G$59:$L$94,6,FALSE)</f>
        <v>12</v>
      </c>
      <c r="F89" s="316">
        <f t="shared" si="32"/>
        <v>11</v>
      </c>
      <c r="G89" s="316" t="str">
        <f>VLOOKUP(J89,Tippabgabe!$DQ$40:$DW$75,4,FALSE)</f>
        <v/>
      </c>
      <c r="H89" s="316" t="str">
        <f>VLOOKUP(J89,Tippabgabe!$DQ$40:$DW$75,5,FALSE)</f>
        <v/>
      </c>
      <c r="I89" s="316" t="str">
        <f t="shared" si="33"/>
        <v/>
      </c>
      <c r="J89" s="316" t="str">
        <f>A86&amp;"-"&amp;A89</f>
        <v>C-2</v>
      </c>
      <c r="K89" s="322">
        <f t="shared" si="34"/>
        <v>0</v>
      </c>
      <c r="L89" s="322">
        <f t="shared" si="35"/>
        <v>0</v>
      </c>
      <c r="M89" s="322">
        <f t="shared" si="36"/>
        <v>0</v>
      </c>
      <c r="N89" s="322">
        <f t="shared" si="37"/>
        <v>0</v>
      </c>
      <c r="O89" s="322">
        <f t="shared" si="38"/>
        <v>0</v>
      </c>
      <c r="P89" s="322">
        <f t="shared" si="38"/>
        <v>0</v>
      </c>
      <c r="Q89" s="322">
        <f t="shared" si="39"/>
        <v>0</v>
      </c>
      <c r="R89" s="322">
        <f t="shared" si="40"/>
        <v>0</v>
      </c>
      <c r="S89" s="322" t="str">
        <f t="shared" si="41"/>
        <v>X11</v>
      </c>
      <c r="T89" s="322" t="str">
        <f t="shared" si="41"/>
        <v>X12</v>
      </c>
      <c r="AA89" s="316">
        <v>2</v>
      </c>
      <c r="AB89" s="316" t="str">
        <f t="shared" si="42"/>
        <v>15#16</v>
      </c>
      <c r="AC89" s="316" t="str">
        <f t="shared" si="43"/>
        <v>16#15</v>
      </c>
      <c r="AD89" s="316">
        <f>VLOOKUP(AJ89,daten!$G$59:$L$94,5,FALSE)</f>
        <v>15</v>
      </c>
      <c r="AE89" s="316">
        <f>VLOOKUP(AJ89,daten!$G$59:$L$94,6,FALSE)</f>
        <v>16</v>
      </c>
      <c r="AF89" s="316">
        <f t="shared" si="44"/>
        <v>15</v>
      </c>
      <c r="AG89" s="316" t="str">
        <f>VLOOKUP(AJ89,Tippabgabe!$DQ$40:$DW$75,4,FALSE)</f>
        <v/>
      </c>
      <c r="AH89" s="316" t="str">
        <f>VLOOKUP(AJ89,Tippabgabe!$DQ$40:$DW$75,5,FALSE)</f>
        <v/>
      </c>
      <c r="AI89" s="316" t="str">
        <f t="shared" si="45"/>
        <v/>
      </c>
      <c r="AJ89" s="316" t="str">
        <f>AA86&amp;"-"&amp;AA89</f>
        <v>D-2</v>
      </c>
      <c r="AK89" s="322">
        <f t="shared" si="46"/>
        <v>0</v>
      </c>
      <c r="AL89" s="322">
        <f t="shared" si="47"/>
        <v>0</v>
      </c>
      <c r="AM89" s="322">
        <f t="shared" si="48"/>
        <v>0</v>
      </c>
      <c r="AN89" s="322">
        <f t="shared" si="49"/>
        <v>0</v>
      </c>
      <c r="AO89" s="322">
        <f t="shared" si="50"/>
        <v>0</v>
      </c>
      <c r="AP89" s="322">
        <f t="shared" si="50"/>
        <v>0</v>
      </c>
      <c r="AQ89" s="322">
        <f t="shared" si="51"/>
        <v>0</v>
      </c>
      <c r="AR89" s="322">
        <f t="shared" si="52"/>
        <v>0</v>
      </c>
      <c r="AS89" s="322" t="str">
        <f t="shared" si="53"/>
        <v>X15</v>
      </c>
      <c r="AT89" s="322" t="str">
        <f t="shared" si="53"/>
        <v>X16</v>
      </c>
    </row>
    <row r="90" spans="1:46" ht="11.4" x14ac:dyDescent="0.2">
      <c r="A90" s="316">
        <v>3</v>
      </c>
      <c r="B90" s="316" t="str">
        <f t="shared" si="30"/>
        <v>9#11</v>
      </c>
      <c r="C90" s="316" t="str">
        <f t="shared" si="31"/>
        <v>11#9</v>
      </c>
      <c r="D90" s="316">
        <f>VLOOKUP(J90,daten!$G$59:$L$94,5,FALSE)</f>
        <v>9</v>
      </c>
      <c r="E90" s="316">
        <f>VLOOKUP(J90,daten!$G$59:$L$94,6,FALSE)</f>
        <v>11</v>
      </c>
      <c r="F90" s="316">
        <f t="shared" si="32"/>
        <v>9</v>
      </c>
      <c r="G90" s="316" t="str">
        <f>VLOOKUP(J90,Tippabgabe!$DQ$40:$DW$75,4,FALSE)</f>
        <v/>
      </c>
      <c r="H90" s="316" t="str">
        <f>VLOOKUP(J90,Tippabgabe!$DQ$40:$DW$75,5,FALSE)</f>
        <v/>
      </c>
      <c r="I90" s="316" t="str">
        <f t="shared" si="33"/>
        <v/>
      </c>
      <c r="J90" s="316" t="str">
        <f>A86&amp;"-"&amp;A90</f>
        <v>C-3</v>
      </c>
      <c r="K90" s="322">
        <f t="shared" si="34"/>
        <v>0</v>
      </c>
      <c r="L90" s="322">
        <f t="shared" si="35"/>
        <v>0</v>
      </c>
      <c r="M90" s="322">
        <f t="shared" si="36"/>
        <v>0</v>
      </c>
      <c r="N90" s="322">
        <f t="shared" si="37"/>
        <v>0</v>
      </c>
      <c r="O90" s="322">
        <f t="shared" si="38"/>
        <v>0</v>
      </c>
      <c r="P90" s="322">
        <f t="shared" si="38"/>
        <v>0</v>
      </c>
      <c r="Q90" s="322">
        <f t="shared" si="39"/>
        <v>0</v>
      </c>
      <c r="R90" s="322">
        <f t="shared" si="40"/>
        <v>0</v>
      </c>
      <c r="S90" s="322" t="str">
        <f t="shared" si="41"/>
        <v>X9</v>
      </c>
      <c r="T90" s="322" t="str">
        <f t="shared" si="41"/>
        <v>X11</v>
      </c>
      <c r="AA90" s="316">
        <v>3</v>
      </c>
      <c r="AB90" s="316" t="str">
        <f t="shared" si="42"/>
        <v>13#15</v>
      </c>
      <c r="AC90" s="316" t="str">
        <f t="shared" si="43"/>
        <v>15#13</v>
      </c>
      <c r="AD90" s="316">
        <f>VLOOKUP(AJ90,daten!$G$59:$L$94,5,FALSE)</f>
        <v>13</v>
      </c>
      <c r="AE90" s="316">
        <f>VLOOKUP(AJ90,daten!$G$59:$L$94,6,FALSE)</f>
        <v>15</v>
      </c>
      <c r="AF90" s="316">
        <f t="shared" si="44"/>
        <v>13</v>
      </c>
      <c r="AG90" s="316" t="str">
        <f>VLOOKUP(AJ90,Tippabgabe!$DQ$40:$DW$75,4,FALSE)</f>
        <v/>
      </c>
      <c r="AH90" s="316" t="str">
        <f>VLOOKUP(AJ90,Tippabgabe!$DQ$40:$DW$75,5,FALSE)</f>
        <v/>
      </c>
      <c r="AI90" s="316" t="str">
        <f t="shared" si="45"/>
        <v/>
      </c>
      <c r="AJ90" s="316" t="str">
        <f>AA86&amp;"-"&amp;AA90</f>
        <v>D-3</v>
      </c>
      <c r="AK90" s="322">
        <f t="shared" si="46"/>
        <v>0</v>
      </c>
      <c r="AL90" s="322">
        <f t="shared" si="47"/>
        <v>0</v>
      </c>
      <c r="AM90" s="322">
        <f t="shared" si="48"/>
        <v>0</v>
      </c>
      <c r="AN90" s="322">
        <f t="shared" si="49"/>
        <v>0</v>
      </c>
      <c r="AO90" s="322">
        <f t="shared" si="50"/>
        <v>0</v>
      </c>
      <c r="AP90" s="322">
        <f t="shared" si="50"/>
        <v>0</v>
      </c>
      <c r="AQ90" s="322">
        <f t="shared" si="51"/>
        <v>0</v>
      </c>
      <c r="AR90" s="322">
        <f t="shared" si="52"/>
        <v>0</v>
      </c>
      <c r="AS90" s="322" t="str">
        <f t="shared" si="53"/>
        <v>X13</v>
      </c>
      <c r="AT90" s="322" t="str">
        <f t="shared" si="53"/>
        <v>X15</v>
      </c>
    </row>
    <row r="91" spans="1:46" ht="11.4" x14ac:dyDescent="0.2">
      <c r="A91" s="316">
        <v>4</v>
      </c>
      <c r="B91" s="316" t="str">
        <f t="shared" si="30"/>
        <v>10#12</v>
      </c>
      <c r="C91" s="316" t="str">
        <f t="shared" si="31"/>
        <v>12#10</v>
      </c>
      <c r="D91" s="316">
        <f>VLOOKUP(J91,daten!$G$59:$L$94,5,FALSE)</f>
        <v>10</v>
      </c>
      <c r="E91" s="316">
        <f>VLOOKUP(J91,daten!$G$59:$L$94,6,FALSE)</f>
        <v>12</v>
      </c>
      <c r="F91" s="316">
        <f t="shared" si="32"/>
        <v>10</v>
      </c>
      <c r="G91" s="316" t="str">
        <f>VLOOKUP(J91,Tippabgabe!$DQ$40:$DW$75,4,FALSE)</f>
        <v/>
      </c>
      <c r="H91" s="316" t="str">
        <f>VLOOKUP(J91,Tippabgabe!$DQ$40:$DW$75,5,FALSE)</f>
        <v/>
      </c>
      <c r="I91" s="316" t="str">
        <f t="shared" si="33"/>
        <v/>
      </c>
      <c r="J91" s="316" t="str">
        <f>A86&amp;"-"&amp;A91</f>
        <v>C-4</v>
      </c>
      <c r="K91" s="322">
        <f t="shared" si="34"/>
        <v>0</v>
      </c>
      <c r="L91" s="322">
        <f t="shared" si="35"/>
        <v>0</v>
      </c>
      <c r="M91" s="322">
        <f t="shared" si="36"/>
        <v>0</v>
      </c>
      <c r="N91" s="322">
        <f t="shared" si="37"/>
        <v>0</v>
      </c>
      <c r="O91" s="322">
        <f t="shared" si="38"/>
        <v>0</v>
      </c>
      <c r="P91" s="322">
        <f t="shared" si="38"/>
        <v>0</v>
      </c>
      <c r="Q91" s="322">
        <f t="shared" si="39"/>
        <v>0</v>
      </c>
      <c r="R91" s="322">
        <f t="shared" si="40"/>
        <v>0</v>
      </c>
      <c r="S91" s="322" t="str">
        <f t="shared" si="41"/>
        <v>X10</v>
      </c>
      <c r="T91" s="322" t="str">
        <f t="shared" si="41"/>
        <v>X12</v>
      </c>
      <c r="AA91" s="316">
        <v>4</v>
      </c>
      <c r="AB91" s="316" t="str">
        <f t="shared" si="42"/>
        <v>14#16</v>
      </c>
      <c r="AC91" s="316" t="str">
        <f t="shared" si="43"/>
        <v>16#14</v>
      </c>
      <c r="AD91" s="316">
        <f>VLOOKUP(AJ91,daten!$G$59:$L$94,5,FALSE)</f>
        <v>14</v>
      </c>
      <c r="AE91" s="316">
        <f>VLOOKUP(AJ91,daten!$G$59:$L$94,6,FALSE)</f>
        <v>16</v>
      </c>
      <c r="AF91" s="316">
        <f t="shared" si="44"/>
        <v>14</v>
      </c>
      <c r="AG91" s="316" t="str">
        <f>VLOOKUP(AJ91,Tippabgabe!$DQ$40:$DW$75,4,FALSE)</f>
        <v/>
      </c>
      <c r="AH91" s="316" t="str">
        <f>VLOOKUP(AJ91,Tippabgabe!$DQ$40:$DW$75,5,FALSE)</f>
        <v/>
      </c>
      <c r="AI91" s="316" t="str">
        <f t="shared" si="45"/>
        <v/>
      </c>
      <c r="AJ91" s="316" t="str">
        <f>AA86&amp;"-"&amp;AA91</f>
        <v>D-4</v>
      </c>
      <c r="AK91" s="322">
        <f t="shared" si="46"/>
        <v>0</v>
      </c>
      <c r="AL91" s="322">
        <f t="shared" si="47"/>
        <v>0</v>
      </c>
      <c r="AM91" s="322">
        <f t="shared" si="48"/>
        <v>0</v>
      </c>
      <c r="AN91" s="322">
        <f t="shared" si="49"/>
        <v>0</v>
      </c>
      <c r="AO91" s="322">
        <f t="shared" si="50"/>
        <v>0</v>
      </c>
      <c r="AP91" s="322">
        <f t="shared" si="50"/>
        <v>0</v>
      </c>
      <c r="AQ91" s="322">
        <f t="shared" si="51"/>
        <v>0</v>
      </c>
      <c r="AR91" s="322">
        <f t="shared" si="52"/>
        <v>0</v>
      </c>
      <c r="AS91" s="322" t="str">
        <f t="shared" si="53"/>
        <v>X14</v>
      </c>
      <c r="AT91" s="322" t="str">
        <f t="shared" si="53"/>
        <v>X16</v>
      </c>
    </row>
    <row r="92" spans="1:46" ht="11.4" x14ac:dyDescent="0.2">
      <c r="A92" s="316">
        <v>5</v>
      </c>
      <c r="B92" s="316" t="str">
        <f t="shared" si="30"/>
        <v>12#9</v>
      </c>
      <c r="C92" s="316" t="str">
        <f t="shared" si="31"/>
        <v>9#12</v>
      </c>
      <c r="D92" s="316">
        <f>VLOOKUP(J92,daten!$G$59:$L$94,5,FALSE)</f>
        <v>12</v>
      </c>
      <c r="E92" s="316">
        <f>VLOOKUP(J92,daten!$G$59:$L$94,6,FALSE)</f>
        <v>9</v>
      </c>
      <c r="F92" s="316">
        <f t="shared" si="32"/>
        <v>12</v>
      </c>
      <c r="G92" s="316" t="str">
        <f>VLOOKUP(J92,Tippabgabe!$DQ$40:$DW$75,4,FALSE)</f>
        <v/>
      </c>
      <c r="H92" s="316" t="str">
        <f>VLOOKUP(J92,Tippabgabe!$DQ$40:$DW$75,5,FALSE)</f>
        <v/>
      </c>
      <c r="I92" s="316" t="str">
        <f t="shared" si="33"/>
        <v/>
      </c>
      <c r="J92" s="316" t="str">
        <f>A86&amp;"-"&amp;A92</f>
        <v>C-5</v>
      </c>
      <c r="K92" s="322">
        <f t="shared" si="34"/>
        <v>0</v>
      </c>
      <c r="L92" s="322">
        <f t="shared" si="35"/>
        <v>0</v>
      </c>
      <c r="M92" s="322">
        <f t="shared" si="36"/>
        <v>0</v>
      </c>
      <c r="N92" s="322">
        <f t="shared" si="37"/>
        <v>0</v>
      </c>
      <c r="O92" s="322">
        <f t="shared" si="38"/>
        <v>0</v>
      </c>
      <c r="P92" s="322">
        <f t="shared" si="38"/>
        <v>0</v>
      </c>
      <c r="Q92" s="322">
        <f t="shared" si="39"/>
        <v>0</v>
      </c>
      <c r="R92" s="322">
        <f t="shared" si="40"/>
        <v>0</v>
      </c>
      <c r="S92" s="322" t="str">
        <f t="shared" si="41"/>
        <v>X12</v>
      </c>
      <c r="T92" s="322" t="str">
        <f t="shared" si="41"/>
        <v>X9</v>
      </c>
      <c r="AA92" s="316">
        <v>5</v>
      </c>
      <c r="AB92" s="316" t="str">
        <f t="shared" si="42"/>
        <v>14#15</v>
      </c>
      <c r="AC92" s="316" t="str">
        <f t="shared" si="43"/>
        <v>15#14</v>
      </c>
      <c r="AD92" s="316">
        <f>VLOOKUP(AJ92,daten!$G$59:$L$94,5,FALSE)</f>
        <v>14</v>
      </c>
      <c r="AE92" s="316">
        <f>VLOOKUP(AJ92,daten!$G$59:$L$94,6,FALSE)</f>
        <v>15</v>
      </c>
      <c r="AF92" s="316">
        <f t="shared" si="44"/>
        <v>14</v>
      </c>
      <c r="AG92" s="316" t="str">
        <f>VLOOKUP(AJ92,Tippabgabe!$DQ$40:$DW$75,4,FALSE)</f>
        <v/>
      </c>
      <c r="AH92" s="316" t="str">
        <f>VLOOKUP(AJ92,Tippabgabe!$DQ$40:$DW$75,5,FALSE)</f>
        <v/>
      </c>
      <c r="AI92" s="316" t="str">
        <f t="shared" si="45"/>
        <v/>
      </c>
      <c r="AJ92" s="316" t="str">
        <f>AA86&amp;"-"&amp;AA92</f>
        <v>D-5</v>
      </c>
      <c r="AK92" s="322">
        <f t="shared" si="46"/>
        <v>0</v>
      </c>
      <c r="AL92" s="322">
        <f t="shared" si="47"/>
        <v>0</v>
      </c>
      <c r="AM92" s="322">
        <f t="shared" si="48"/>
        <v>0</v>
      </c>
      <c r="AN92" s="322">
        <f t="shared" si="49"/>
        <v>0</v>
      </c>
      <c r="AO92" s="322">
        <f t="shared" si="50"/>
        <v>0</v>
      </c>
      <c r="AP92" s="322">
        <f t="shared" si="50"/>
        <v>0</v>
      </c>
      <c r="AQ92" s="322">
        <f t="shared" si="51"/>
        <v>0</v>
      </c>
      <c r="AR92" s="322">
        <f t="shared" si="52"/>
        <v>0</v>
      </c>
      <c r="AS92" s="322" t="str">
        <f t="shared" si="53"/>
        <v>X14</v>
      </c>
      <c r="AT92" s="322" t="str">
        <f t="shared" si="53"/>
        <v>X15</v>
      </c>
    </row>
    <row r="93" spans="1:46" ht="11.4" x14ac:dyDescent="0.2">
      <c r="A93" s="316">
        <v>6</v>
      </c>
      <c r="B93" s="316" t="str">
        <f t="shared" si="30"/>
        <v>10#11</v>
      </c>
      <c r="C93" s="316" t="str">
        <f t="shared" si="31"/>
        <v>11#10</v>
      </c>
      <c r="D93" s="316">
        <f>VLOOKUP(J93,daten!$G$59:$L$94,5,FALSE)</f>
        <v>10</v>
      </c>
      <c r="E93" s="316">
        <f>VLOOKUP(J93,daten!$G$59:$L$94,6,FALSE)</f>
        <v>11</v>
      </c>
      <c r="F93" s="316">
        <f t="shared" si="32"/>
        <v>10</v>
      </c>
      <c r="G93" s="316" t="str">
        <f>VLOOKUP(J93,Tippabgabe!$DQ$40:$DW$75,4,FALSE)</f>
        <v/>
      </c>
      <c r="H93" s="316" t="str">
        <f>VLOOKUP(J93,Tippabgabe!$DQ$40:$DW$75,5,FALSE)</f>
        <v/>
      </c>
      <c r="I93" s="316" t="str">
        <f t="shared" si="33"/>
        <v/>
      </c>
      <c r="J93" s="316" t="str">
        <f>A86&amp;"-"&amp;A93</f>
        <v>C-6</v>
      </c>
      <c r="K93" s="322">
        <f t="shared" si="34"/>
        <v>0</v>
      </c>
      <c r="L93" s="322">
        <f t="shared" si="35"/>
        <v>0</v>
      </c>
      <c r="M93" s="322">
        <f t="shared" si="36"/>
        <v>0</v>
      </c>
      <c r="N93" s="322">
        <f t="shared" si="37"/>
        <v>0</v>
      </c>
      <c r="O93" s="322">
        <f t="shared" si="38"/>
        <v>0</v>
      </c>
      <c r="P93" s="322">
        <f t="shared" si="38"/>
        <v>0</v>
      </c>
      <c r="Q93" s="322">
        <f t="shared" si="39"/>
        <v>0</v>
      </c>
      <c r="R93" s="322">
        <f t="shared" si="40"/>
        <v>0</v>
      </c>
      <c r="S93" s="322" t="str">
        <f t="shared" si="41"/>
        <v>X10</v>
      </c>
      <c r="T93" s="322" t="str">
        <f t="shared" si="41"/>
        <v>X11</v>
      </c>
      <c r="AA93" s="316">
        <v>6</v>
      </c>
      <c r="AB93" s="316" t="str">
        <f t="shared" si="42"/>
        <v>16#13</v>
      </c>
      <c r="AC93" s="316" t="str">
        <f t="shared" si="43"/>
        <v>13#16</v>
      </c>
      <c r="AD93" s="316">
        <f>VLOOKUP(AJ93,daten!$G$59:$L$94,5,FALSE)</f>
        <v>16</v>
      </c>
      <c r="AE93" s="316">
        <f>VLOOKUP(AJ93,daten!$G$59:$L$94,6,FALSE)</f>
        <v>13</v>
      </c>
      <c r="AF93" s="316">
        <f t="shared" si="44"/>
        <v>16</v>
      </c>
      <c r="AG93" s="316" t="str">
        <f>VLOOKUP(AJ93,Tippabgabe!$DQ$40:$DW$75,4,FALSE)</f>
        <v/>
      </c>
      <c r="AH93" s="316" t="str">
        <f>VLOOKUP(AJ93,Tippabgabe!$DQ$40:$DW$75,5,FALSE)</f>
        <v/>
      </c>
      <c r="AI93" s="316" t="str">
        <f t="shared" si="45"/>
        <v/>
      </c>
      <c r="AJ93" s="316" t="str">
        <f>AA86&amp;"-"&amp;AA93</f>
        <v>D-6</v>
      </c>
      <c r="AK93" s="322">
        <f t="shared" si="46"/>
        <v>0</v>
      </c>
      <c r="AL93" s="322">
        <f t="shared" si="47"/>
        <v>0</v>
      </c>
      <c r="AM93" s="322">
        <f t="shared" si="48"/>
        <v>0</v>
      </c>
      <c r="AN93" s="322">
        <f t="shared" si="49"/>
        <v>0</v>
      </c>
      <c r="AO93" s="322">
        <f t="shared" si="50"/>
        <v>0</v>
      </c>
      <c r="AP93" s="322">
        <f t="shared" si="50"/>
        <v>0</v>
      </c>
      <c r="AQ93" s="322">
        <f t="shared" si="51"/>
        <v>0</v>
      </c>
      <c r="AR93" s="322">
        <f t="shared" si="52"/>
        <v>0</v>
      </c>
      <c r="AS93" s="322" t="str">
        <f t="shared" si="53"/>
        <v>X16</v>
      </c>
      <c r="AT93" s="322" t="str">
        <f t="shared" si="53"/>
        <v>X13</v>
      </c>
    </row>
    <row r="96" spans="1:46" x14ac:dyDescent="0.2">
      <c r="A96" s="322" t="s">
        <v>374</v>
      </c>
      <c r="C96" s="322" t="s">
        <v>988</v>
      </c>
      <c r="D96" s="322" t="s">
        <v>587</v>
      </c>
      <c r="E96" s="322" t="s">
        <v>989</v>
      </c>
      <c r="F96" s="322" t="s">
        <v>990</v>
      </c>
      <c r="G96" s="322" t="s">
        <v>991</v>
      </c>
      <c r="H96" s="322" t="s">
        <v>108</v>
      </c>
      <c r="I96" s="322" t="s">
        <v>992</v>
      </c>
      <c r="K96" s="322" t="s">
        <v>993</v>
      </c>
      <c r="M96" s="322" t="s">
        <v>994</v>
      </c>
      <c r="N96" s="322" t="s">
        <v>992</v>
      </c>
      <c r="AA96" s="322" t="s">
        <v>374</v>
      </c>
      <c r="AC96" s="322" t="s">
        <v>988</v>
      </c>
      <c r="AD96" s="322" t="s">
        <v>587</v>
      </c>
      <c r="AE96" s="322" t="s">
        <v>989</v>
      </c>
      <c r="AF96" s="322" t="s">
        <v>990</v>
      </c>
      <c r="AG96" s="322" t="s">
        <v>991</v>
      </c>
      <c r="AH96" s="322" t="s">
        <v>108</v>
      </c>
      <c r="AI96" s="322" t="s">
        <v>992</v>
      </c>
      <c r="AK96" s="322" t="s">
        <v>993</v>
      </c>
      <c r="AM96" s="322" t="s">
        <v>994</v>
      </c>
      <c r="AN96" s="322" t="s">
        <v>992</v>
      </c>
    </row>
    <row r="97" spans="1:40" x14ac:dyDescent="0.2">
      <c r="A97" s="322">
        <v>1</v>
      </c>
      <c r="C97" s="322">
        <v>9</v>
      </c>
      <c r="D97" s="322">
        <f>SUMIF($D$88:$E$93,"="&amp;C97,$K$88:$L$93)</f>
        <v>0</v>
      </c>
      <c r="E97" s="322">
        <f>SUMIF($D$88:$E$93,"="&amp;$C97,$G$88:$H$93)</f>
        <v>0</v>
      </c>
      <c r="F97" s="322">
        <f>E97-G97</f>
        <v>0</v>
      </c>
      <c r="G97" s="322">
        <f>SUMIF($D$88:$E$93,"="&amp;$C97,$G$88:$H$93)-SUMIF($D$88:$E$93,"="&amp;$C97,$H$88:$I$93)</f>
        <v>0</v>
      </c>
      <c r="H97" s="322" t="str">
        <f>INDEX(teams_k,C97)</f>
        <v>SLO</v>
      </c>
      <c r="I97" s="322">
        <f>RANK(D97,$D$97:$D$100,1)</f>
        <v>1</v>
      </c>
      <c r="L97" s="322">
        <v>1</v>
      </c>
      <c r="M97" s="322">
        <v>1</v>
      </c>
      <c r="N97" s="322">
        <f>RANK(M97,$M$97:$M$100)</f>
        <v>1</v>
      </c>
      <c r="AA97" s="322">
        <v>1</v>
      </c>
      <c r="AC97" s="322">
        <v>13</v>
      </c>
      <c r="AD97" s="322">
        <f>SUMIF($AD$88:$AE$93,"="&amp;AC97,$AK$88:$AL$93)</f>
        <v>0</v>
      </c>
      <c r="AE97" s="322">
        <f>SUMIF($AD$88:$AE$93,"="&amp;$AC97,$AG$88:$AH$93)</f>
        <v>0</v>
      </c>
      <c r="AF97" s="322">
        <f>AE97-AG97</f>
        <v>0</v>
      </c>
      <c r="AG97" s="322">
        <f>SUMIF($AD$88:$AE$93,"="&amp;$AC97,$AG$88:$AH$93)-SUMIF($AD$88:$AE$93,"="&amp;$AC97,$AH$88:$AI$93)</f>
        <v>0</v>
      </c>
      <c r="AH97" s="322" t="str">
        <f>INDEX(teams_k,AC97)</f>
        <v>POL</v>
      </c>
      <c r="AI97" s="322">
        <f>RANK(AD97,$AD$97:$AD$100,1)</f>
        <v>1</v>
      </c>
      <c r="AL97" s="322">
        <v>1</v>
      </c>
      <c r="AM97" s="322">
        <v>1</v>
      </c>
      <c r="AN97" s="322">
        <f>RANK(AM97,$AM$97:$AM$100)</f>
        <v>1</v>
      </c>
    </row>
    <row r="98" spans="1:40" x14ac:dyDescent="0.2">
      <c r="C98" s="322">
        <v>10</v>
      </c>
      <c r="D98" s="322">
        <f>SUMIF($D$88:$E$93,"="&amp;C98,$K$88:$L$93)</f>
        <v>0</v>
      </c>
      <c r="E98" s="322">
        <f>SUMIF($D$88:$E$93,"="&amp;$C98,$G$88:$H$93)</f>
        <v>0</v>
      </c>
      <c r="F98" s="322">
        <f>E98-G98</f>
        <v>0</v>
      </c>
      <c r="G98" s="322">
        <f>SUMIF($D$88:$E$93,"="&amp;$C98,$G$88:$H$93)-SUMIF($D$88:$E$93,"="&amp;$C98,$H$88:$I$93)</f>
        <v>0</v>
      </c>
      <c r="H98" s="322" t="str">
        <f>INDEX(teams_k,C98)</f>
        <v>DEN</v>
      </c>
      <c r="I98" s="322">
        <f>RANK(D98,$D$97:$D$100,1)</f>
        <v>1</v>
      </c>
      <c r="L98" s="322">
        <v>2</v>
      </c>
      <c r="M98" s="322">
        <v>1</v>
      </c>
      <c r="N98" s="322">
        <f>RANK(M98,$M$97:$M$100)</f>
        <v>1</v>
      </c>
      <c r="AC98" s="322">
        <v>14</v>
      </c>
      <c r="AD98" s="322">
        <f>SUMIF($AD$88:$AE$93,"="&amp;AC98,$AK$88:$AL$93)</f>
        <v>0</v>
      </c>
      <c r="AE98" s="322">
        <f>SUMIF($AD$88:$AE$93,"="&amp;$AC98,$AG$88:$AH$93)</f>
        <v>0</v>
      </c>
      <c r="AF98" s="322">
        <f>AE98-AG98</f>
        <v>0</v>
      </c>
      <c r="AG98" s="322">
        <f>SUMIF($AD$88:$AE$93,"="&amp;$AC98,$AG$88:$AH$93)-SUMIF($AD$88:$AE$93,"="&amp;$AC98,$AH$88:$AI$93)</f>
        <v>0</v>
      </c>
      <c r="AH98" s="322" t="str">
        <f>INDEX(teams_k,AC98)</f>
        <v>NED</v>
      </c>
      <c r="AI98" s="322">
        <f>RANK(AD98,$AD$97:$AD$100,1)</f>
        <v>1</v>
      </c>
      <c r="AL98" s="322">
        <v>2</v>
      </c>
      <c r="AM98" s="322">
        <v>1</v>
      </c>
      <c r="AN98" s="322">
        <f>RANK(AM98,$AM$97:$AM$100)</f>
        <v>1</v>
      </c>
    </row>
    <row r="99" spans="1:40" x14ac:dyDescent="0.2">
      <c r="C99" s="322">
        <v>11</v>
      </c>
      <c r="D99" s="322">
        <f>SUMIF($D$88:$E$93,"="&amp;C99,$K$88:$L$93)</f>
        <v>0</v>
      </c>
      <c r="E99" s="322">
        <f>SUMIF($D$88:$E$93,"="&amp;$C99,$G$88:$H$93)</f>
        <v>0</v>
      </c>
      <c r="F99" s="322">
        <f>E99-G99</f>
        <v>0</v>
      </c>
      <c r="G99" s="322">
        <f>SUMIF($D$88:$E$93,"="&amp;$C99,$G$88:$H$93)-SUMIF($D$88:$E$93,"="&amp;$C99,$H$88:$I$93)</f>
        <v>0</v>
      </c>
      <c r="H99" s="322" t="str">
        <f>INDEX(teams_k,C99)</f>
        <v>SRB</v>
      </c>
      <c r="I99" s="322">
        <f>RANK(D99,$D$97:$D$100,1)</f>
        <v>1</v>
      </c>
      <c r="L99" s="322">
        <v>3</v>
      </c>
      <c r="M99" s="322">
        <v>1</v>
      </c>
      <c r="N99" s="322">
        <f>RANK(M99,$M$97:$M$100)</f>
        <v>1</v>
      </c>
      <c r="AC99" s="322">
        <v>15</v>
      </c>
      <c r="AD99" s="322">
        <f>SUMIF($AD$88:$AE$93,"="&amp;AC99,$AK$88:$AL$93)</f>
        <v>0</v>
      </c>
      <c r="AE99" s="322">
        <f>SUMIF($AD$88:$AE$93,"="&amp;$AC99,$AG$88:$AH$93)</f>
        <v>0</v>
      </c>
      <c r="AF99" s="322">
        <f>AE99-AG99</f>
        <v>0</v>
      </c>
      <c r="AG99" s="322">
        <f>SUMIF($AD$88:$AE$93,"="&amp;$AC99,$AG$88:$AH$93)-SUMIF($AD$88:$AE$93,"="&amp;$AC99,$AH$88:$AI$93)</f>
        <v>0</v>
      </c>
      <c r="AH99" s="322" t="str">
        <f>INDEX(teams_k,AC99)</f>
        <v>AUT</v>
      </c>
      <c r="AI99" s="322">
        <f>RANK(AD99,$AD$97:$AD$100,1)</f>
        <v>1</v>
      </c>
      <c r="AL99" s="322">
        <v>3</v>
      </c>
      <c r="AM99" s="322">
        <v>1</v>
      </c>
      <c r="AN99" s="322">
        <f>RANK(AM99,$AM$97:$AM$100)</f>
        <v>1</v>
      </c>
    </row>
    <row r="100" spans="1:40" x14ac:dyDescent="0.2">
      <c r="C100" s="322">
        <v>12</v>
      </c>
      <c r="D100" s="322">
        <f>SUMIF($D$88:$E$93,"="&amp;C100,$K$88:$L$93)</f>
        <v>0</v>
      </c>
      <c r="E100" s="322">
        <f>SUMIF($D$88:$E$93,"="&amp;$C100,$G$88:$H$93)</f>
        <v>0</v>
      </c>
      <c r="F100" s="322">
        <f>E100-G100</f>
        <v>0</v>
      </c>
      <c r="G100" s="322">
        <f>SUMIF($D$88:$E$93,"="&amp;$C100,$G$88:$H$93)-SUMIF($D$88:$E$93,"="&amp;$C100,$H$88:$I$93)</f>
        <v>0</v>
      </c>
      <c r="H100" s="322" t="str">
        <f>INDEX(teams_k,C100)</f>
        <v>ENG</v>
      </c>
      <c r="I100" s="322">
        <f>RANK(D100,$D$97:$D$100,1)</f>
        <v>1</v>
      </c>
      <c r="L100" s="322">
        <v>4</v>
      </c>
      <c r="M100" s="322">
        <v>1</v>
      </c>
      <c r="N100" s="322">
        <f>RANK(M100,$M$97:$M$100)</f>
        <v>1</v>
      </c>
      <c r="AC100" s="322">
        <v>16</v>
      </c>
      <c r="AD100" s="322">
        <f>SUMIF($AD$88:$AE$93,"="&amp;AC100,$AK$88:$AL$93)</f>
        <v>0</v>
      </c>
      <c r="AE100" s="322">
        <f>SUMIF($AD$88:$AE$93,"="&amp;$AC100,$AG$88:$AH$93)</f>
        <v>0</v>
      </c>
      <c r="AF100" s="322">
        <f>AE100-AG100</f>
        <v>0</v>
      </c>
      <c r="AG100" s="322">
        <f>SUMIF($AD$88:$AE$93,"="&amp;$AC100,$AG$88:$AH$93)-SUMIF($AD$88:$AE$93,"="&amp;$AC100,$AH$88:$AI$93)</f>
        <v>0</v>
      </c>
      <c r="AH100" s="322" t="str">
        <f>INDEX(teams_k,AC100)</f>
        <v>FRA</v>
      </c>
      <c r="AI100" s="322">
        <f>RANK(AD100,$AD$97:$AD$100,1)</f>
        <v>1</v>
      </c>
      <c r="AL100" s="322">
        <v>4</v>
      </c>
      <c r="AM100" s="322">
        <v>1</v>
      </c>
      <c r="AN100" s="322">
        <f>RANK(AM100,$AM$97:$AM$100)</f>
        <v>1</v>
      </c>
    </row>
    <row r="102" spans="1:40" x14ac:dyDescent="0.2">
      <c r="B102" s="322" t="s">
        <v>995</v>
      </c>
      <c r="D102" s="322">
        <f>B104</f>
        <v>9</v>
      </c>
      <c r="E102" s="322">
        <f>B105</f>
        <v>10</v>
      </c>
      <c r="F102" s="322">
        <f>B106</f>
        <v>11</v>
      </c>
      <c r="G102" s="322">
        <f>B107</f>
        <v>12</v>
      </c>
      <c r="AB102" s="322" t="s">
        <v>995</v>
      </c>
      <c r="AD102" s="322">
        <f>AB104</f>
        <v>13</v>
      </c>
      <c r="AE102" s="322">
        <f>AB105</f>
        <v>14</v>
      </c>
      <c r="AF102" s="322">
        <f>AB106</f>
        <v>15</v>
      </c>
      <c r="AG102" s="322">
        <f>AB107</f>
        <v>16</v>
      </c>
    </row>
    <row r="103" spans="1:40" x14ac:dyDescent="0.2">
      <c r="B103" s="322" t="s">
        <v>996</v>
      </c>
      <c r="C103" s="322" t="s">
        <v>975</v>
      </c>
      <c r="D103" s="322">
        <f>C104</f>
        <v>1</v>
      </c>
      <c r="E103" s="322">
        <f>C105</f>
        <v>2</v>
      </c>
      <c r="F103" s="322">
        <f>C106</f>
        <v>3</v>
      </c>
      <c r="G103" s="322">
        <f>C107</f>
        <v>4</v>
      </c>
      <c r="I103" s="322" t="s">
        <v>997</v>
      </c>
      <c r="AB103" s="322" t="s">
        <v>996</v>
      </c>
      <c r="AC103" s="322" t="s">
        <v>975</v>
      </c>
      <c r="AD103" s="322">
        <f>AC104</f>
        <v>1</v>
      </c>
      <c r="AE103" s="322">
        <f>AC105</f>
        <v>2</v>
      </c>
      <c r="AF103" s="322">
        <f>AC106</f>
        <v>3</v>
      </c>
      <c r="AG103" s="322">
        <f>AC107</f>
        <v>4</v>
      </c>
      <c r="AI103" s="322" t="s">
        <v>997</v>
      </c>
    </row>
    <row r="104" spans="1:40" x14ac:dyDescent="0.2">
      <c r="B104" s="322">
        <f>INDEX($C$97:$C$100,C104)</f>
        <v>9</v>
      </c>
      <c r="C104" s="322">
        <v>1</v>
      </c>
      <c r="D104" s="322">
        <f t="shared" ref="D104:G107" si="54">IF(INDEX($I$97:$I$100,$C104)&lt;&gt;INDEX($I$97:$I$100,D$103),0,SUMIF($B$88:$C$93,"="&amp;$B104&amp;"#"&amp;D$102,$O$88:$P$93))</f>
        <v>0</v>
      </c>
      <c r="E104" s="322">
        <f t="shared" si="54"/>
        <v>0</v>
      </c>
      <c r="F104" s="322">
        <f t="shared" si="54"/>
        <v>0</v>
      </c>
      <c r="G104" s="322">
        <f t="shared" si="54"/>
        <v>0</v>
      </c>
      <c r="H104" s="322">
        <f>SUM(D104:G104)</f>
        <v>0</v>
      </c>
      <c r="I104" s="322">
        <f>RANK(H104,$H$104:$H$107,1)</f>
        <v>1</v>
      </c>
      <c r="AB104" s="322">
        <f>INDEX($AC$97:$AC$100,AC104)</f>
        <v>13</v>
      </c>
      <c r="AC104" s="322">
        <v>1</v>
      </c>
      <c r="AD104" s="322">
        <f t="shared" ref="AD104:AG107" si="55">IF(INDEX($AI$97:$AI$100,$AC104)&lt;&gt;INDEX($AI$97:$AI$100,AD$103),0,SUMIF($AB$88:$AC$93,"="&amp;$AB104&amp;"#"&amp;AD$102,$AO$88:$AP$93))</f>
        <v>0</v>
      </c>
      <c r="AE104" s="322">
        <f t="shared" si="55"/>
        <v>0</v>
      </c>
      <c r="AF104" s="322">
        <f t="shared" si="55"/>
        <v>0</v>
      </c>
      <c r="AG104" s="322">
        <f t="shared" si="55"/>
        <v>0</v>
      </c>
      <c r="AH104" s="322">
        <f>SUM(AD104:AG104)</f>
        <v>0</v>
      </c>
      <c r="AI104" s="322">
        <f>RANK(AH104,$AH$104:$AH$107,1)</f>
        <v>1</v>
      </c>
    </row>
    <row r="105" spans="1:40" x14ac:dyDescent="0.2">
      <c r="B105" s="322">
        <f>INDEX($C$97:$C$100,C105)</f>
        <v>10</v>
      </c>
      <c r="C105" s="322">
        <v>2</v>
      </c>
      <c r="D105" s="322">
        <f t="shared" si="54"/>
        <v>0</v>
      </c>
      <c r="E105" s="322">
        <f t="shared" si="54"/>
        <v>0</v>
      </c>
      <c r="F105" s="322">
        <f t="shared" si="54"/>
        <v>0</v>
      </c>
      <c r="G105" s="322">
        <f t="shared" si="54"/>
        <v>0</v>
      </c>
      <c r="H105" s="322">
        <f>SUM(D105:G105)</f>
        <v>0</v>
      </c>
      <c r="I105" s="322">
        <f>RANK(H105,$H$104:$H$107,1)</f>
        <v>1</v>
      </c>
      <c r="AB105" s="322">
        <f>INDEX($AC$97:$AC$100,AC105)</f>
        <v>14</v>
      </c>
      <c r="AC105" s="322">
        <v>2</v>
      </c>
      <c r="AD105" s="322">
        <f t="shared" si="55"/>
        <v>0</v>
      </c>
      <c r="AE105" s="322">
        <f t="shared" si="55"/>
        <v>0</v>
      </c>
      <c r="AF105" s="322">
        <f t="shared" si="55"/>
        <v>0</v>
      </c>
      <c r="AG105" s="322">
        <f t="shared" si="55"/>
        <v>0</v>
      </c>
      <c r="AH105" s="322">
        <f>SUM(AD105:AG105)</f>
        <v>0</v>
      </c>
      <c r="AI105" s="322">
        <f>RANK(AH105,$AH$104:$AH$107,1)</f>
        <v>1</v>
      </c>
    </row>
    <row r="106" spans="1:40" x14ac:dyDescent="0.2">
      <c r="B106" s="322">
        <f>INDEX($C$97:$C$100,C106)</f>
        <v>11</v>
      </c>
      <c r="C106" s="322">
        <v>3</v>
      </c>
      <c r="D106" s="322">
        <f t="shared" si="54"/>
        <v>0</v>
      </c>
      <c r="E106" s="322">
        <f t="shared" si="54"/>
        <v>0</v>
      </c>
      <c r="F106" s="322">
        <f t="shared" si="54"/>
        <v>0</v>
      </c>
      <c r="G106" s="322">
        <f t="shared" si="54"/>
        <v>0</v>
      </c>
      <c r="H106" s="322">
        <f>SUM(D106:G106)</f>
        <v>0</v>
      </c>
      <c r="I106" s="322">
        <f>RANK(H106,$H$104:$H$107,1)</f>
        <v>1</v>
      </c>
      <c r="AB106" s="322">
        <f>INDEX($AC$97:$AC$100,AC106)</f>
        <v>15</v>
      </c>
      <c r="AC106" s="322">
        <v>3</v>
      </c>
      <c r="AD106" s="322">
        <f t="shared" si="55"/>
        <v>0</v>
      </c>
      <c r="AE106" s="322">
        <f t="shared" si="55"/>
        <v>0</v>
      </c>
      <c r="AF106" s="322">
        <f t="shared" si="55"/>
        <v>0</v>
      </c>
      <c r="AG106" s="322">
        <f t="shared" si="55"/>
        <v>0</v>
      </c>
      <c r="AH106" s="322">
        <f>SUM(AD106:AG106)</f>
        <v>0</v>
      </c>
      <c r="AI106" s="322">
        <f>RANK(AH106,$AH$104:$AH$107,1)</f>
        <v>1</v>
      </c>
    </row>
    <row r="107" spans="1:40" x14ac:dyDescent="0.2">
      <c r="B107" s="322">
        <f>INDEX($C$97:$C$100,C107)</f>
        <v>12</v>
      </c>
      <c r="C107" s="322">
        <v>4</v>
      </c>
      <c r="D107" s="322">
        <f t="shared" si="54"/>
        <v>0</v>
      </c>
      <c r="E107" s="322">
        <f t="shared" si="54"/>
        <v>0</v>
      </c>
      <c r="F107" s="322">
        <f t="shared" si="54"/>
        <v>0</v>
      </c>
      <c r="G107" s="322">
        <f t="shared" si="54"/>
        <v>0</v>
      </c>
      <c r="H107" s="322">
        <f>SUM(D107:G107)</f>
        <v>0</v>
      </c>
      <c r="I107" s="322">
        <f>RANK(H107,$H$104:$H$107,1)</f>
        <v>1</v>
      </c>
      <c r="AB107" s="322">
        <f>INDEX($AC$97:$AC$100,AC107)</f>
        <v>16</v>
      </c>
      <c r="AC107" s="322">
        <v>4</v>
      </c>
      <c r="AD107" s="322">
        <f t="shared" si="55"/>
        <v>0</v>
      </c>
      <c r="AE107" s="322">
        <f t="shared" si="55"/>
        <v>0</v>
      </c>
      <c r="AF107" s="322">
        <f t="shared" si="55"/>
        <v>0</v>
      </c>
      <c r="AG107" s="322">
        <f t="shared" si="55"/>
        <v>0</v>
      </c>
      <c r="AH107" s="322">
        <f>SUM(AD107:AG107)</f>
        <v>0</v>
      </c>
      <c r="AI107" s="322">
        <f>RANK(AH107,$AH$104:$AH$107,1)</f>
        <v>1</v>
      </c>
    </row>
    <row r="109" spans="1:40" x14ac:dyDescent="0.2">
      <c r="B109" s="322" t="s">
        <v>998</v>
      </c>
      <c r="C109" s="322" t="s">
        <v>975</v>
      </c>
      <c r="D109" s="322">
        <f>C110</f>
        <v>1</v>
      </c>
      <c r="E109" s="322">
        <f>C111</f>
        <v>2</v>
      </c>
      <c r="F109" s="322">
        <f>C112</f>
        <v>3</v>
      </c>
      <c r="G109" s="322">
        <f>C113</f>
        <v>4</v>
      </c>
      <c r="I109" s="322" t="s">
        <v>997</v>
      </c>
      <c r="AB109" s="322" t="s">
        <v>998</v>
      </c>
      <c r="AC109" s="322" t="s">
        <v>975</v>
      </c>
      <c r="AD109" s="322">
        <f>AC110</f>
        <v>1</v>
      </c>
      <c r="AE109" s="322">
        <f>AC111</f>
        <v>2</v>
      </c>
      <c r="AF109" s="322">
        <f>AC112</f>
        <v>3</v>
      </c>
      <c r="AG109" s="322">
        <f>AC113</f>
        <v>4</v>
      </c>
      <c r="AI109" s="322" t="s">
        <v>997</v>
      </c>
    </row>
    <row r="110" spans="1:40" x14ac:dyDescent="0.2">
      <c r="B110" s="322">
        <f>B104</f>
        <v>9</v>
      </c>
      <c r="C110" s="322">
        <v>1</v>
      </c>
      <c r="D110" s="322">
        <f t="shared" ref="D110:G113" si="56">IF(D104=0,0,IF(INDEX($I$104:$I$107,$C104)&lt;&gt;INDEX($I$104:$I$107,D$103),0,SUMIF($B$88:$C$93,"="&amp;$B104&amp;"#"&amp;D$102,$K$88:$L$93)*1000+SUMIF($B$88:$C$93,"="&amp;$B104&amp;"#"&amp;D$102,$M$88:$N$93)+SUMIF($B$88:$C$93,"="&amp;$B104&amp;"#"&amp;D$102,$G$88:$H$93)/1000))</f>
        <v>0</v>
      </c>
      <c r="E110" s="322">
        <f t="shared" si="56"/>
        <v>0</v>
      </c>
      <c r="F110" s="322">
        <f t="shared" si="56"/>
        <v>0</v>
      </c>
      <c r="G110" s="322">
        <f t="shared" si="56"/>
        <v>0</v>
      </c>
      <c r="H110" s="322">
        <f>SUM(D110:G110)</f>
        <v>0</v>
      </c>
      <c r="I110" s="322">
        <f>RANK(H110,$H$110:$H$113,1)</f>
        <v>1</v>
      </c>
      <c r="AB110" s="322">
        <f>AB104</f>
        <v>13</v>
      </c>
      <c r="AC110" s="322">
        <v>1</v>
      </c>
      <c r="AD110" s="322">
        <f t="shared" ref="AD110:AG113" si="57">IF(AD104=0,0,IF(INDEX($AI$104:$AI$107,$AC104)&lt;&gt;INDEX($AI$104:$AI$107,AD$103),0,SUMIF($AB$88:$AC$93,"="&amp;$AB104&amp;"#"&amp;AD$102,$AK$88:$AL$93)*1000+SUMIF($AB$88:$AC$93,"="&amp;$AB104&amp;"#"&amp;AD$102,$AM$88:$AN$93)+SUMIF($AB$88:$AC$93,"="&amp;$AB104&amp;"#"&amp;AD$102,$AG$88:$AH$93)/1000))</f>
        <v>0</v>
      </c>
      <c r="AE110" s="322">
        <f t="shared" si="57"/>
        <v>0</v>
      </c>
      <c r="AF110" s="322">
        <f t="shared" si="57"/>
        <v>0</v>
      </c>
      <c r="AG110" s="322">
        <f t="shared" si="57"/>
        <v>0</v>
      </c>
      <c r="AH110" s="322">
        <f>SUM(AD110:AG110)</f>
        <v>0</v>
      </c>
      <c r="AI110" s="322">
        <f>RANK(AH110,$AH$110:$AH$113,1)</f>
        <v>1</v>
      </c>
    </row>
    <row r="111" spans="1:40" x14ac:dyDescent="0.2">
      <c r="B111" s="322">
        <f>B105</f>
        <v>10</v>
      </c>
      <c r="C111" s="322">
        <v>2</v>
      </c>
      <c r="D111" s="322">
        <f t="shared" si="56"/>
        <v>0</v>
      </c>
      <c r="E111" s="322">
        <f t="shared" si="56"/>
        <v>0</v>
      </c>
      <c r="F111" s="322">
        <f t="shared" si="56"/>
        <v>0</v>
      </c>
      <c r="G111" s="322">
        <f t="shared" si="56"/>
        <v>0</v>
      </c>
      <c r="H111" s="322">
        <f>SUM(D111:G111)</f>
        <v>0</v>
      </c>
      <c r="I111" s="322">
        <f>RANK(H111,$H$110:$H$113,1)</f>
        <v>1</v>
      </c>
      <c r="AB111" s="322">
        <f>AB105</f>
        <v>14</v>
      </c>
      <c r="AC111" s="322">
        <v>2</v>
      </c>
      <c r="AD111" s="322">
        <f t="shared" si="57"/>
        <v>0</v>
      </c>
      <c r="AE111" s="322">
        <f t="shared" si="57"/>
        <v>0</v>
      </c>
      <c r="AF111" s="322">
        <f t="shared" si="57"/>
        <v>0</v>
      </c>
      <c r="AG111" s="322">
        <f t="shared" si="57"/>
        <v>0</v>
      </c>
      <c r="AH111" s="322">
        <f>SUM(AD111:AG111)</f>
        <v>0</v>
      </c>
      <c r="AI111" s="322">
        <f>RANK(AH111,$AH$110:$AH$113,1)</f>
        <v>1</v>
      </c>
    </row>
    <row r="112" spans="1:40" x14ac:dyDescent="0.2">
      <c r="B112" s="322">
        <f>B106</f>
        <v>11</v>
      </c>
      <c r="C112" s="322">
        <v>3</v>
      </c>
      <c r="D112" s="322">
        <f t="shared" si="56"/>
        <v>0</v>
      </c>
      <c r="E112" s="322">
        <f t="shared" si="56"/>
        <v>0</v>
      </c>
      <c r="F112" s="322">
        <f t="shared" si="56"/>
        <v>0</v>
      </c>
      <c r="G112" s="322">
        <f t="shared" si="56"/>
        <v>0</v>
      </c>
      <c r="H112" s="322">
        <f>SUM(D112:G112)</f>
        <v>0</v>
      </c>
      <c r="I112" s="322">
        <f>RANK(H112,$H$110:$H$113,1)</f>
        <v>1</v>
      </c>
      <c r="AB112" s="322">
        <f>AB106</f>
        <v>15</v>
      </c>
      <c r="AC112" s="322">
        <v>3</v>
      </c>
      <c r="AD112" s="322">
        <f t="shared" si="57"/>
        <v>0</v>
      </c>
      <c r="AE112" s="322">
        <f t="shared" si="57"/>
        <v>0</v>
      </c>
      <c r="AF112" s="322">
        <f t="shared" si="57"/>
        <v>0</v>
      </c>
      <c r="AG112" s="322">
        <f t="shared" si="57"/>
        <v>0</v>
      </c>
      <c r="AH112" s="322">
        <f>SUM(AD112:AG112)</f>
        <v>0</v>
      </c>
      <c r="AI112" s="322">
        <f>RANK(AH112,$AH$110:$AH$113,1)</f>
        <v>1</v>
      </c>
    </row>
    <row r="113" spans="2:40" x14ac:dyDescent="0.2">
      <c r="B113" s="322">
        <f>B107</f>
        <v>12</v>
      </c>
      <c r="C113" s="322">
        <v>4</v>
      </c>
      <c r="D113" s="322">
        <f t="shared" si="56"/>
        <v>0</v>
      </c>
      <c r="E113" s="322">
        <f t="shared" si="56"/>
        <v>0</v>
      </c>
      <c r="F113" s="322">
        <f t="shared" si="56"/>
        <v>0</v>
      </c>
      <c r="G113" s="322">
        <f t="shared" si="56"/>
        <v>0</v>
      </c>
      <c r="H113" s="322">
        <f>SUM(D113:G113)</f>
        <v>0</v>
      </c>
      <c r="I113" s="322">
        <f>RANK(H113,$H$110:$H$113,1)</f>
        <v>1</v>
      </c>
      <c r="AB113" s="322">
        <f>AB107</f>
        <v>16</v>
      </c>
      <c r="AC113" s="322">
        <v>4</v>
      </c>
      <c r="AD113" s="322">
        <f t="shared" si="57"/>
        <v>0</v>
      </c>
      <c r="AE113" s="322">
        <f t="shared" si="57"/>
        <v>0</v>
      </c>
      <c r="AF113" s="322">
        <f t="shared" si="57"/>
        <v>0</v>
      </c>
      <c r="AG113" s="322">
        <f t="shared" si="57"/>
        <v>0</v>
      </c>
      <c r="AH113" s="322">
        <f>SUM(AD113:AG113)</f>
        <v>0</v>
      </c>
      <c r="AI113" s="322">
        <f>RANK(AH113,$AH$110:$AH$113,1)</f>
        <v>1</v>
      </c>
    </row>
    <row r="115" spans="2:40" x14ac:dyDescent="0.2">
      <c r="C115" s="322" t="s">
        <v>975</v>
      </c>
      <c r="D115" s="322" t="s">
        <v>992</v>
      </c>
      <c r="H115" s="322" t="s">
        <v>992</v>
      </c>
      <c r="AC115" s="322" t="s">
        <v>975</v>
      </c>
      <c r="AD115" s="322" t="s">
        <v>992</v>
      </c>
      <c r="AH115" s="322" t="s">
        <v>992</v>
      </c>
    </row>
    <row r="116" spans="2:40" x14ac:dyDescent="0.2">
      <c r="B116" s="322" t="s">
        <v>999</v>
      </c>
      <c r="C116" s="322">
        <v>1</v>
      </c>
      <c r="D116" s="322">
        <f>RANK(G97,$G$97:$G$100,1)</f>
        <v>1</v>
      </c>
      <c r="F116" s="322" t="s">
        <v>585</v>
      </c>
      <c r="G116" s="322">
        <v>1</v>
      </c>
      <c r="H116" s="322">
        <f>RANK(E97,$E$97:$E$100,1)</f>
        <v>1</v>
      </c>
      <c r="AB116" s="322" t="s">
        <v>999</v>
      </c>
      <c r="AC116" s="322">
        <v>1</v>
      </c>
      <c r="AD116" s="322">
        <f>RANK(AG97,$AG$97:$AG$100,1)</f>
        <v>1</v>
      </c>
      <c r="AF116" s="322" t="s">
        <v>585</v>
      </c>
      <c r="AG116" s="322">
        <v>1</v>
      </c>
      <c r="AH116" s="322">
        <f>RANK(AE97,$AE$97:$AE$100,1)</f>
        <v>1</v>
      </c>
    </row>
    <row r="117" spans="2:40" x14ac:dyDescent="0.2">
      <c r="C117" s="322">
        <v>2</v>
      </c>
      <c r="D117" s="322">
        <f>RANK(G98,$G$97:$G$100,1)</f>
        <v>1</v>
      </c>
      <c r="G117" s="322">
        <v>2</v>
      </c>
      <c r="H117" s="322">
        <f>RANK(E98,$E$97:$E$100,1)</f>
        <v>1</v>
      </c>
      <c r="AC117" s="322">
        <v>2</v>
      </c>
      <c r="AD117" s="322">
        <f>RANK(AG98,$AG$97:$AG$100,1)</f>
        <v>1</v>
      </c>
      <c r="AG117" s="322">
        <v>2</v>
      </c>
      <c r="AH117" s="322">
        <f>RANK(AE98,$AE$97:$AE$100,1)</f>
        <v>1</v>
      </c>
    </row>
    <row r="118" spans="2:40" x14ac:dyDescent="0.2">
      <c r="C118" s="322">
        <v>3</v>
      </c>
      <c r="D118" s="322">
        <f>RANK(G99,$G$97:$G$100,1)</f>
        <v>1</v>
      </c>
      <c r="G118" s="322">
        <v>3</v>
      </c>
      <c r="H118" s="322">
        <f>RANK(E99,$E$97:$E$100,1)</f>
        <v>1</v>
      </c>
      <c r="AC118" s="322">
        <v>3</v>
      </c>
      <c r="AD118" s="322">
        <f>RANK(AG99,$AG$97:$AG$100,1)</f>
        <v>1</v>
      </c>
      <c r="AG118" s="322">
        <v>3</v>
      </c>
      <c r="AH118" s="322">
        <f>RANK(AE99,$AE$97:$AE$100,1)</f>
        <v>1</v>
      </c>
    </row>
    <row r="119" spans="2:40" x14ac:dyDescent="0.2">
      <c r="C119" s="322">
        <v>4</v>
      </c>
      <c r="D119" s="322">
        <f>RANK(G100,$G$97:$G$100,1)</f>
        <v>1</v>
      </c>
      <c r="G119" s="322">
        <v>4</v>
      </c>
      <c r="H119" s="322">
        <f>RANK(E100,$E$97:$E$100,1)</f>
        <v>1</v>
      </c>
      <c r="AC119" s="322">
        <v>4</v>
      </c>
      <c r="AD119" s="322">
        <f>RANK(AG100,$AG$97:$AG$100,1)</f>
        <v>1</v>
      </c>
      <c r="AG119" s="322">
        <v>4</v>
      </c>
      <c r="AH119" s="322">
        <f>RANK(AE100,$AE$97:$AE$100,1)</f>
        <v>1</v>
      </c>
    </row>
    <row r="121" spans="2:40" x14ac:dyDescent="0.2">
      <c r="I121" s="322" t="s">
        <v>374</v>
      </c>
      <c r="AI121" s="322" t="s">
        <v>374</v>
      </c>
    </row>
    <row r="122" spans="2:40" x14ac:dyDescent="0.2">
      <c r="C122" s="322" t="s">
        <v>975</v>
      </c>
      <c r="E122" s="322" t="s">
        <v>992</v>
      </c>
      <c r="F122" s="322" t="s">
        <v>994</v>
      </c>
      <c r="H122" s="322" t="s">
        <v>1000</v>
      </c>
      <c r="I122" s="322">
        <v>1</v>
      </c>
      <c r="J122" s="322">
        <v>2</v>
      </c>
      <c r="K122" s="322" t="s">
        <v>1001</v>
      </c>
      <c r="M122" s="322" t="s">
        <v>1002</v>
      </c>
      <c r="AC122" s="322" t="s">
        <v>975</v>
      </c>
      <c r="AE122" s="322" t="s">
        <v>992</v>
      </c>
      <c r="AF122" s="322" t="s">
        <v>994</v>
      </c>
      <c r="AH122" s="322" t="s">
        <v>1000</v>
      </c>
      <c r="AI122" s="322">
        <v>1</v>
      </c>
      <c r="AJ122" s="322">
        <v>2</v>
      </c>
      <c r="AK122" s="322" t="s">
        <v>1001</v>
      </c>
      <c r="AM122" s="322" t="s">
        <v>1002</v>
      </c>
    </row>
    <row r="123" spans="2:40" x14ac:dyDescent="0.2">
      <c r="B123" s="322" t="s">
        <v>1003</v>
      </c>
      <c r="C123" s="322">
        <v>1</v>
      </c>
      <c r="D123" s="322">
        <f>I97*$K$123+I104*$K$124+I110*$K$125+D116*$K$126+H116*$K$127</f>
        <v>1010101.01</v>
      </c>
      <c r="E123" s="322">
        <f>RANK(D123,$D$123:$D$126,1)</f>
        <v>1</v>
      </c>
      <c r="F123" s="322">
        <f>RANK(D123,$D$123:$D$126)</f>
        <v>1</v>
      </c>
      <c r="H123" s="322" t="s">
        <v>974</v>
      </c>
      <c r="I123" s="322">
        <v>1</v>
      </c>
      <c r="J123" s="322">
        <v>1</v>
      </c>
      <c r="K123" s="322">
        <f>INDEX($N$123:$N$127,INDEX(I123:J123,$A$97))</f>
        <v>1000000</v>
      </c>
      <c r="M123" s="322">
        <v>1</v>
      </c>
      <c r="N123" s="322">
        <v>1000000</v>
      </c>
      <c r="AB123" s="322" t="s">
        <v>1003</v>
      </c>
      <c r="AC123" s="322">
        <v>1</v>
      </c>
      <c r="AD123" s="322">
        <f>AI97*$AK$123+AI104*$AK$124+AI110*$AK$125+AD116*$AK$126+AH116*$AK$127</f>
        <v>1010101.01</v>
      </c>
      <c r="AE123" s="322">
        <f>RANK(AD123,$AD$123:$AD$126,1)</f>
        <v>1</v>
      </c>
      <c r="AF123" s="322">
        <f>RANK(AD123,$AD$123:$AD$126)</f>
        <v>1</v>
      </c>
      <c r="AH123" s="322" t="s">
        <v>974</v>
      </c>
      <c r="AI123" s="322">
        <v>1</v>
      </c>
      <c r="AJ123" s="322">
        <v>1</v>
      </c>
      <c r="AK123" s="322">
        <f>INDEX($AN$123:$AN$127,INDEX(AI123:AJ123,$AA$97))</f>
        <v>1000000</v>
      </c>
      <c r="AM123" s="322">
        <v>1</v>
      </c>
      <c r="AN123" s="322">
        <v>1000000</v>
      </c>
    </row>
    <row r="124" spans="2:40" x14ac:dyDescent="0.2">
      <c r="C124" s="322">
        <v>2</v>
      </c>
      <c r="D124" s="322">
        <f>I98*$K$123+I105*$K$124+I111*$K$125+D117*$K$126+H117*$K$127</f>
        <v>1010101.01</v>
      </c>
      <c r="E124" s="322">
        <f>RANK(D124,$D$123:$D$126,1)</f>
        <v>1</v>
      </c>
      <c r="F124" s="322">
        <f>RANK(D124,$D$123:$D$126)</f>
        <v>1</v>
      </c>
      <c r="H124" s="322" t="s">
        <v>995</v>
      </c>
      <c r="I124" s="322">
        <v>2</v>
      </c>
      <c r="J124" s="322">
        <v>4</v>
      </c>
      <c r="K124" s="322">
        <f>INDEX($N$123:$N$127,INDEX(I124:J124,$A$97))</f>
        <v>10000</v>
      </c>
      <c r="M124" s="322">
        <v>2</v>
      </c>
      <c r="N124" s="322">
        <v>10000</v>
      </c>
      <c r="AC124" s="322">
        <v>2</v>
      </c>
      <c r="AD124" s="322">
        <f>AI98*$AK$123+AI105*$AK$124+AI111*$AK$125+AD117*$AK$126+AH117*$AK$127</f>
        <v>1010101.01</v>
      </c>
      <c r="AE124" s="322">
        <f>RANK(AD124,$AD$123:$AD$126,1)</f>
        <v>1</v>
      </c>
      <c r="AF124" s="322">
        <f>RANK(AD124,$AD$123:$AD$126)</f>
        <v>1</v>
      </c>
      <c r="AH124" s="322" t="s">
        <v>995</v>
      </c>
      <c r="AI124" s="322">
        <v>2</v>
      </c>
      <c r="AJ124" s="322">
        <v>4</v>
      </c>
      <c r="AK124" s="322">
        <f>INDEX($AN$123:$AN$127,INDEX(AI124:AJ124,$AA$97))</f>
        <v>10000</v>
      </c>
      <c r="AM124" s="322">
        <v>2</v>
      </c>
      <c r="AN124" s="322">
        <v>10000</v>
      </c>
    </row>
    <row r="125" spans="2:40" x14ac:dyDescent="0.2">
      <c r="C125" s="322">
        <v>3</v>
      </c>
      <c r="D125" s="322">
        <f>I99*$K$123+I106*$K$124+I112*$K$125+D118*$K$126+H118*$K$127</f>
        <v>1010101.01</v>
      </c>
      <c r="E125" s="322">
        <f>RANK(D125,$D$123:$D$126,1)</f>
        <v>1</v>
      </c>
      <c r="F125" s="322">
        <f>RANK(D125,$D$123:$D$126)</f>
        <v>1</v>
      </c>
      <c r="H125" s="322" t="s">
        <v>998</v>
      </c>
      <c r="I125" s="322">
        <v>3</v>
      </c>
      <c r="J125" s="322">
        <v>5</v>
      </c>
      <c r="K125" s="322">
        <f>INDEX($N$123:$N$127,INDEX(I125:J125,$A$97))</f>
        <v>100</v>
      </c>
      <c r="M125" s="322">
        <v>3</v>
      </c>
      <c r="N125" s="322">
        <v>100</v>
      </c>
      <c r="AC125" s="322">
        <v>3</v>
      </c>
      <c r="AD125" s="322">
        <f>AI99*$AK$123+AI106*$AK$124+AI112*$AK$125+AD118*$AK$126+AH118*$AK$127</f>
        <v>1010101.01</v>
      </c>
      <c r="AE125" s="322">
        <f>RANK(AD125,$AD$123:$AD$126,1)</f>
        <v>1</v>
      </c>
      <c r="AF125" s="322">
        <f>RANK(AD125,$AD$123:$AD$126)</f>
        <v>1</v>
      </c>
      <c r="AH125" s="322" t="s">
        <v>998</v>
      </c>
      <c r="AI125" s="322">
        <v>3</v>
      </c>
      <c r="AJ125" s="322">
        <v>5</v>
      </c>
      <c r="AK125" s="322">
        <f>INDEX($AN$123:$AN$127,INDEX(AI125:AJ125,$AA$97))</f>
        <v>100</v>
      </c>
      <c r="AM125" s="322">
        <v>3</v>
      </c>
      <c r="AN125" s="322">
        <v>100</v>
      </c>
    </row>
    <row r="126" spans="2:40" x14ac:dyDescent="0.2">
      <c r="C126" s="322">
        <v>4</v>
      </c>
      <c r="D126" s="322">
        <f>I100*$K$123+I107*$K$124+I113*$K$125+D119*$K$126+H119*$K$127</f>
        <v>1010101.01</v>
      </c>
      <c r="E126" s="322">
        <f>RANK(D126,$D$123:$D$126,1)</f>
        <v>1</v>
      </c>
      <c r="F126" s="322">
        <f>RANK(D126,$D$123:$D$126)</f>
        <v>1</v>
      </c>
      <c r="H126" s="322" t="s">
        <v>1004</v>
      </c>
      <c r="I126" s="322">
        <v>4</v>
      </c>
      <c r="J126" s="322">
        <v>2</v>
      </c>
      <c r="K126" s="322">
        <f>INDEX($N$123:$N$127,INDEX(I126:J126,$A$97))</f>
        <v>1</v>
      </c>
      <c r="M126" s="322">
        <v>4</v>
      </c>
      <c r="N126" s="322">
        <v>1</v>
      </c>
      <c r="AC126" s="322">
        <v>4</v>
      </c>
      <c r="AD126" s="322">
        <f>AI100*$AK$123+AI107*$AK$124+AI113*$AK$125+AD119*$AK$126+AH119*$AK$127</f>
        <v>1010101.01</v>
      </c>
      <c r="AE126" s="322">
        <f>RANK(AD126,$AD$123:$AD$126,1)</f>
        <v>1</v>
      </c>
      <c r="AF126" s="322">
        <f>RANK(AD126,$AD$123:$AD$126)</f>
        <v>1</v>
      </c>
      <c r="AH126" s="322" t="s">
        <v>1004</v>
      </c>
      <c r="AI126" s="322">
        <v>4</v>
      </c>
      <c r="AJ126" s="322">
        <v>2</v>
      </c>
      <c r="AK126" s="322">
        <f>INDEX($AN$123:$AN$127,INDEX(AI126:AJ126,$AA$97))</f>
        <v>1</v>
      </c>
      <c r="AM126" s="322">
        <v>4</v>
      </c>
      <c r="AN126" s="322">
        <v>1</v>
      </c>
    </row>
    <row r="127" spans="2:40" x14ac:dyDescent="0.2">
      <c r="H127" s="322" t="s">
        <v>1005</v>
      </c>
      <c r="I127" s="322">
        <v>5</v>
      </c>
      <c r="J127" s="322">
        <v>3</v>
      </c>
      <c r="K127" s="322">
        <f>INDEX($N$123:$N$127,INDEX(I127:J127,$A$97))</f>
        <v>0.01</v>
      </c>
      <c r="M127" s="322">
        <v>5</v>
      </c>
      <c r="N127" s="322">
        <f>1/100</f>
        <v>0.01</v>
      </c>
      <c r="AH127" s="322" t="s">
        <v>1005</v>
      </c>
      <c r="AI127" s="322">
        <v>5</v>
      </c>
      <c r="AJ127" s="322">
        <v>3</v>
      </c>
      <c r="AK127" s="322">
        <f>INDEX($AN$123:$AN$127,INDEX(AI127:AJ127,$AA$97))</f>
        <v>0.01</v>
      </c>
      <c r="AM127" s="322">
        <v>5</v>
      </c>
      <c r="AN127" s="322">
        <f>1/100</f>
        <v>0.01</v>
      </c>
    </row>
    <row r="128" spans="2:40" x14ac:dyDescent="0.2">
      <c r="H128" s="322" t="s">
        <v>1006</v>
      </c>
      <c r="I128" s="322">
        <v>6</v>
      </c>
      <c r="J128" s="322">
        <v>6</v>
      </c>
      <c r="AH128" s="322" t="s">
        <v>1006</v>
      </c>
      <c r="AI128" s="322">
        <v>6</v>
      </c>
      <c r="AJ128" s="322">
        <v>6</v>
      </c>
    </row>
    <row r="129" spans="2:36" x14ac:dyDescent="0.2">
      <c r="B129" s="322" t="s">
        <v>1006</v>
      </c>
      <c r="C129" s="322" t="b">
        <f>A97=1</f>
        <v>1</v>
      </c>
      <c r="D129" s="322" t="s">
        <v>1007</v>
      </c>
      <c r="H129" s="322" t="s">
        <v>993</v>
      </c>
      <c r="I129" s="322">
        <v>7</v>
      </c>
      <c r="J129" s="322">
        <v>7</v>
      </c>
      <c r="AB129" s="322" t="s">
        <v>1006</v>
      </c>
      <c r="AC129" s="322" t="b">
        <f>AA97=1</f>
        <v>1</v>
      </c>
      <c r="AD129" s="322" t="s">
        <v>1007</v>
      </c>
      <c r="AH129" s="322" t="s">
        <v>993</v>
      </c>
      <c r="AI129" s="322">
        <v>7</v>
      </c>
      <c r="AJ129" s="322">
        <v>7</v>
      </c>
    </row>
    <row r="130" spans="2:36" x14ac:dyDescent="0.2">
      <c r="C130" s="322" t="s">
        <v>1008</v>
      </c>
      <c r="D130" s="322" t="s">
        <v>1009</v>
      </c>
      <c r="E130" s="322" t="s">
        <v>1010</v>
      </c>
      <c r="AC130" s="322" t="s">
        <v>1008</v>
      </c>
      <c r="AD130" s="322" t="s">
        <v>1009</v>
      </c>
      <c r="AE130" s="322" t="s">
        <v>1010</v>
      </c>
    </row>
    <row r="131" spans="2:36" x14ac:dyDescent="0.2">
      <c r="B131" s="322" t="s">
        <v>1011</v>
      </c>
      <c r="C131" s="322">
        <f>COUNTIF($F$123:$F$126,"=1")</f>
        <v>4</v>
      </c>
      <c r="D131" s="322">
        <f>COUNTIF($F$123:$F$126,"=2")</f>
        <v>0</v>
      </c>
      <c r="E131" s="322">
        <f>COUNTIF($F$123:$F$126,"=3")</f>
        <v>0</v>
      </c>
      <c r="AB131" s="322" t="s">
        <v>1011</v>
      </c>
      <c r="AC131" s="322">
        <f>COUNTIF($AF$123:$AF$126,"=1")</f>
        <v>4</v>
      </c>
      <c r="AD131" s="322">
        <f>COUNTIF($AF$123:$AF$126,"=2")</f>
        <v>0</v>
      </c>
      <c r="AE131" s="322">
        <f>COUNTIF($AF$123:$AF$126,"=3")</f>
        <v>0</v>
      </c>
    </row>
    <row r="133" spans="2:36" x14ac:dyDescent="0.2">
      <c r="B133" s="322" t="s">
        <v>994</v>
      </c>
      <c r="C133" s="322">
        <f>IF(NOT(C129),0,IF(C131=2,1,IF(D131=2,2,IF(E131=2,3,0))))</f>
        <v>0</v>
      </c>
      <c r="E133" s="322" t="s">
        <v>106</v>
      </c>
      <c r="F133" s="322">
        <f t="array" ref="F133">MIN(IF($F$123:$F$126=$C$133,$C$97:$C$100))</f>
        <v>0</v>
      </c>
      <c r="G133" s="322">
        <f t="array" ref="G133">MAX(IF($F$123:$F$126=C133,$C$97:$C$100))</f>
        <v>0</v>
      </c>
      <c r="I133" s="322" t="s">
        <v>1012</v>
      </c>
      <c r="J133" s="322" t="e">
        <f>IF(ISERROR(F135),G135,F135)</f>
        <v>#N/A</v>
      </c>
      <c r="AB133" s="322" t="s">
        <v>994</v>
      </c>
      <c r="AC133" s="322">
        <f>IF(NOT(AC129),0,IF(AC131=2,1,IF(AD131=2,2,IF(AE131=2,3,0))))</f>
        <v>0</v>
      </c>
      <c r="AE133" s="322" t="s">
        <v>106</v>
      </c>
      <c r="AF133" s="322">
        <f t="array" ref="AF133">MIN(IF($AF$123:$AF$126=$AC$133,$AC$97:$AC$100))</f>
        <v>0</v>
      </c>
      <c r="AG133" s="322">
        <f t="array" ref="AG133">MAX(IF($AF$123:$AF$126=AC133,$AC$97:$AC$100))</f>
        <v>0</v>
      </c>
      <c r="AI133" s="322" t="s">
        <v>1012</v>
      </c>
      <c r="AJ133" s="322" t="e">
        <f>IF(ISERROR(AF135),AG135,AF135)</f>
        <v>#N/A</v>
      </c>
    </row>
    <row r="134" spans="2:36" x14ac:dyDescent="0.2">
      <c r="F134" s="322" t="str">
        <f>F133&amp;"#"&amp;G133</f>
        <v>0#0</v>
      </c>
      <c r="G134" s="322" t="str">
        <f>G133&amp;"#"&amp;F133</f>
        <v>0#0</v>
      </c>
      <c r="AF134" s="322" t="str">
        <f>AF133&amp;"#"&amp;AG133</f>
        <v>0#0</v>
      </c>
      <c r="AG134" s="322" t="str">
        <f>AG133&amp;"#"&amp;AF133</f>
        <v>0#0</v>
      </c>
    </row>
    <row r="135" spans="2:36" x14ac:dyDescent="0.2">
      <c r="F135" s="322" t="e">
        <f>MATCH(F134,$B$88:$B$93,0)</f>
        <v>#N/A</v>
      </c>
      <c r="G135" s="322" t="e">
        <f>MATCH(G134,$B$88:$B$93,0)</f>
        <v>#N/A</v>
      </c>
      <c r="AF135" s="322" t="e">
        <f>MATCH(AF134,$AB$88:$AB$93,0)</f>
        <v>#N/A</v>
      </c>
      <c r="AG135" s="322" t="e">
        <f>MATCH(AG134,$AB$88:$AB$93,0)</f>
        <v>#N/A</v>
      </c>
    </row>
    <row r="138" spans="2:36" x14ac:dyDescent="0.2">
      <c r="B138" s="322" t="s">
        <v>988</v>
      </c>
      <c r="C138" s="322" t="e">
        <f>INDEX(D88:D93,J133)</f>
        <v>#N/A</v>
      </c>
      <c r="D138" s="322" t="e">
        <f>INDEX(E88:E93,J133)</f>
        <v>#N/A</v>
      </c>
      <c r="E138" s="322" t="s">
        <v>1013</v>
      </c>
      <c r="F138" s="322" t="s">
        <v>833</v>
      </c>
      <c r="G138" s="322" t="s">
        <v>1014</v>
      </c>
      <c r="I138" s="322" t="s">
        <v>1015</v>
      </c>
      <c r="J138" s="322" t="str">
        <f>IF(G139=0,"","EMS um Rang " &amp;C133)</f>
        <v/>
      </c>
      <c r="AB138" s="322" t="s">
        <v>988</v>
      </c>
      <c r="AC138" s="322" t="e">
        <f>INDEX(AD88:AD93,AJ133)</f>
        <v>#N/A</v>
      </c>
      <c r="AD138" s="322" t="e">
        <f>INDEX(AE88:AE93,AJ133)</f>
        <v>#N/A</v>
      </c>
      <c r="AE138" s="322" t="s">
        <v>1013</v>
      </c>
      <c r="AF138" s="322" t="s">
        <v>833</v>
      </c>
      <c r="AG138" s="322" t="s">
        <v>1014</v>
      </c>
      <c r="AI138" s="322" t="s">
        <v>1015</v>
      </c>
      <c r="AJ138" s="322" t="str">
        <f>IF(AG139=0,"","EMS um Rang " &amp;AC133)</f>
        <v/>
      </c>
    </row>
    <row r="139" spans="2:36" x14ac:dyDescent="0.2">
      <c r="B139" s="322" t="s">
        <v>974</v>
      </c>
      <c r="C139" s="322" t="e">
        <f>VLOOKUP(C138,$C$97:$D$100,2,FALSE)</f>
        <v>#N/A</v>
      </c>
      <c r="D139" s="322" t="e">
        <f>VLOOKUP(D138,$C$97:$D$100,2,FALSE)</f>
        <v>#N/A</v>
      </c>
      <c r="E139" s="322">
        <f>COUNTIF($D$97:$D$100,"="&amp;D139)</f>
        <v>0</v>
      </c>
      <c r="F139" s="322" t="e">
        <f>INDEX(K88:K93,J133)=1</f>
        <v>#N/A</v>
      </c>
      <c r="G139" s="322">
        <f>IF(C133=0,0,IF(J133&lt;5,0,IF(E139&lt;&gt;2,0,IF(C139&lt;&gt;D139,0,IF(NOT(F139),0,1)))))</f>
        <v>0</v>
      </c>
      <c r="AB139" s="322" t="s">
        <v>974</v>
      </c>
      <c r="AC139" s="322" t="e">
        <f>VLOOKUP(AC138,$AC$97:$AD$100,2,FALSE)</f>
        <v>#N/A</v>
      </c>
      <c r="AD139" s="322" t="e">
        <f>VLOOKUP(AD138,$AC$97:$AD$100,2,FALSE)</f>
        <v>#N/A</v>
      </c>
      <c r="AE139" s="322">
        <f>COUNTIF($AD$97:$AD$100,"="&amp;AD139)</f>
        <v>0</v>
      </c>
      <c r="AF139" s="322" t="e">
        <f>INDEX(AK88:AK93,AJ133)=1</f>
        <v>#N/A</v>
      </c>
      <c r="AG139" s="322">
        <f>IF(AC133=0,0,IF(AJ133&lt;5,0,IF(AE139&lt;&gt;2,0,IF(AC139&lt;&gt;AD139,0,IF(NOT(AF139),0,1)))))</f>
        <v>0</v>
      </c>
    </row>
    <row r="141" spans="2:36" x14ac:dyDescent="0.2">
      <c r="E141" s="523" t="s">
        <v>1016</v>
      </c>
      <c r="F141" s="523"/>
      <c r="AE141" s="523" t="s">
        <v>1016</v>
      </c>
      <c r="AF141" s="523"/>
    </row>
    <row r="142" spans="2:36" x14ac:dyDescent="0.2">
      <c r="B142" s="322" t="s">
        <v>106</v>
      </c>
      <c r="C142" s="322" t="e">
        <f>VLOOKUP(C138,$C$97:$H$100,6,FALSE)</f>
        <v>#N/A</v>
      </c>
      <c r="D142" s="322" t="e">
        <f>VLOOKUP(D138,$C$97:$H$100,6,FALSE)</f>
        <v>#N/A</v>
      </c>
      <c r="AB142" s="322" t="s">
        <v>106</v>
      </c>
      <c r="AC142" s="322" t="e">
        <f>VLOOKUP(AC138,$AC$97:$AH$100,6,FALSE)</f>
        <v>#N/A</v>
      </c>
      <c r="AD142" s="322" t="e">
        <f>VLOOKUP(AD138,$AC$97:$AH$100,6,FALSE)</f>
        <v>#N/A</v>
      </c>
    </row>
    <row r="143" spans="2:36" x14ac:dyDescent="0.2">
      <c r="B143" s="322" t="s">
        <v>975</v>
      </c>
      <c r="C143" s="322" t="e">
        <f>MATCH(C138,$C$97:$C$100,0)</f>
        <v>#N/A</v>
      </c>
      <c r="D143" s="322" t="e">
        <f>MATCH(D138,$C$97:$C$100,0)</f>
        <v>#N/A</v>
      </c>
      <c r="E143" s="322">
        <f>IF(COUNT(E142:F142)&lt;&gt;2,0,IF(E142&gt;F142,1,0))</f>
        <v>0</v>
      </c>
      <c r="F143" s="322">
        <f>IF(COUNT(E142:F142)&lt;&gt;2,0,IF(E142&lt;F142,1,0))</f>
        <v>0</v>
      </c>
      <c r="G143" s="322" t="s">
        <v>1017</v>
      </c>
      <c r="AB143" s="322" t="s">
        <v>975</v>
      </c>
      <c r="AC143" s="322" t="e">
        <f>MATCH(AC138,$AC$97:$AC$100,0)</f>
        <v>#N/A</v>
      </c>
      <c r="AD143" s="322" t="e">
        <f>MATCH(AD138,$AC$97:$AC$100,0)</f>
        <v>#N/A</v>
      </c>
      <c r="AE143" s="322">
        <f>IF(COUNT(AE142:AF142)&lt;&gt;2,0,IF(AE142&gt;AF142,1,0))</f>
        <v>0</v>
      </c>
      <c r="AF143" s="322">
        <f>IF(COUNT(AE142:AF142)&lt;&gt;2,0,IF(AE142&lt;AF142,1,0))</f>
        <v>0</v>
      </c>
      <c r="AG143" s="322" t="s">
        <v>1017</v>
      </c>
    </row>
    <row r="146" spans="2:39" x14ac:dyDescent="0.2">
      <c r="C146" s="322" t="s">
        <v>1018</v>
      </c>
      <c r="AC146" s="322" t="s">
        <v>1018</v>
      </c>
    </row>
    <row r="147" spans="2:39" x14ac:dyDescent="0.2">
      <c r="C147" s="322" t="s">
        <v>1019</v>
      </c>
      <c r="D147" s="322" t="s">
        <v>992</v>
      </c>
      <c r="E147" s="322" t="s">
        <v>994</v>
      </c>
      <c r="F147" s="322" t="s">
        <v>1020</v>
      </c>
      <c r="AC147" s="322" t="s">
        <v>1019</v>
      </c>
      <c r="AD147" s="322" t="s">
        <v>992</v>
      </c>
      <c r="AE147" s="322" t="s">
        <v>994</v>
      </c>
      <c r="AF147" s="322" t="s">
        <v>1020</v>
      </c>
    </row>
    <row r="148" spans="2:39" x14ac:dyDescent="0.2">
      <c r="B148" s="322" t="s">
        <v>1003</v>
      </c>
      <c r="C148" s="322">
        <v>1</v>
      </c>
      <c r="D148" s="322">
        <f>E123+IF($G$139=0,0,SUMIF($C$143:$D$143,"="&amp;C148,$E$143:$F$143)/100)+N97/10000</f>
        <v>1.0001</v>
      </c>
      <c r="E148" s="322">
        <f>RANK(D148,$D$148:$D$151)</f>
        <v>1</v>
      </c>
      <c r="F148" s="322">
        <f>E148+COUNTIF(E$147:E147,"="&amp;E148)</f>
        <v>1</v>
      </c>
      <c r="AB148" s="322" t="s">
        <v>1003</v>
      </c>
      <c r="AC148" s="322">
        <v>1</v>
      </c>
      <c r="AD148" s="322">
        <f>AE123+IF($AG$139=0,0,SUMIF($AC$143:$AD$143,"="&amp;AC148,$AE$143:$AF$143)/100)+AN97/10000</f>
        <v>1.0001</v>
      </c>
      <c r="AE148" s="322">
        <f>RANK(AD148,$AD$148:$AD$151)</f>
        <v>1</v>
      </c>
      <c r="AF148" s="322">
        <f>AE148+COUNTIF(AE$147:AE147,"="&amp;AE148)</f>
        <v>1</v>
      </c>
    </row>
    <row r="149" spans="2:39" x14ac:dyDescent="0.2">
      <c r="C149" s="322">
        <v>2</v>
      </c>
      <c r="D149" s="322">
        <f>E124+IF($G$139=0,0,SUMIF($C$143:$D$143,"="&amp;C149,$E$143:$F$143)/100)+N98/10000</f>
        <v>1.0001</v>
      </c>
      <c r="E149" s="322">
        <f>RANK(D149,$D$148:$D$151)</f>
        <v>1</v>
      </c>
      <c r="F149" s="322">
        <f>E149+COUNTIF(E$147:E148,"="&amp;E149)</f>
        <v>2</v>
      </c>
      <c r="AC149" s="322">
        <v>2</v>
      </c>
      <c r="AD149" s="322">
        <f>AE124+IF($AG$139=0,0,SUMIF($AC$143:$AD$143,"="&amp;AC149,$AE$143:$AF$143)/100)+AN98/10000</f>
        <v>1.0001</v>
      </c>
      <c r="AE149" s="322">
        <f>RANK(AD149,$AD$148:$AD$151)</f>
        <v>1</v>
      </c>
      <c r="AF149" s="322">
        <f>AE149+COUNTIF(AE$147:AE148,"="&amp;AE149)</f>
        <v>2</v>
      </c>
    </row>
    <row r="150" spans="2:39" x14ac:dyDescent="0.2">
      <c r="C150" s="322">
        <v>3</v>
      </c>
      <c r="D150" s="322">
        <f>E125+IF($G$139=0,0,SUMIF($C$143:$D$143,"="&amp;C150,$E$143:$F$143)/100)+N99/10000</f>
        <v>1.0001</v>
      </c>
      <c r="E150" s="322">
        <f>RANK(D150,$D$148:$D$151)</f>
        <v>1</v>
      </c>
      <c r="F150" s="322">
        <f>E150+COUNTIF(E$147:E149,"="&amp;E150)</f>
        <v>3</v>
      </c>
      <c r="AC150" s="322">
        <v>3</v>
      </c>
      <c r="AD150" s="322">
        <f>AE125+IF($AG$139=0,0,SUMIF($AC$143:$AD$143,"="&amp;AC150,$AE$143:$AF$143)/100)+AN99/10000</f>
        <v>1.0001</v>
      </c>
      <c r="AE150" s="322">
        <f>RANK(AD150,$AD$148:$AD$151)</f>
        <v>1</v>
      </c>
      <c r="AF150" s="322">
        <f>AE150+COUNTIF(AE$147:AE149,"="&amp;AE150)</f>
        <v>3</v>
      </c>
    </row>
    <row r="151" spans="2:39" x14ac:dyDescent="0.2">
      <c r="C151" s="322">
        <v>4</v>
      </c>
      <c r="D151" s="322">
        <f>E126+IF($G$139=0,0,SUMIF($C$143:$D$143,"="&amp;C151,$E$143:$F$143)/100)+N100/10000</f>
        <v>1.0001</v>
      </c>
      <c r="E151" s="322">
        <f>RANK(D151,$D$148:$D$151)</f>
        <v>1</v>
      </c>
      <c r="F151" s="322">
        <f>E151+COUNTIF(E$147:E150,"="&amp;E151)</f>
        <v>4</v>
      </c>
      <c r="AC151" s="322">
        <v>4</v>
      </c>
      <c r="AD151" s="322">
        <f>AE126+IF($AG$139=0,0,SUMIF($AC$143:$AD$143,"="&amp;AC151,$AE$143:$AF$143)/100)+AN100/10000</f>
        <v>1.0001</v>
      </c>
      <c r="AE151" s="322">
        <f>RANK(AD151,$AD$148:$AD$151)</f>
        <v>1</v>
      </c>
      <c r="AF151" s="322">
        <f>AE151+COUNTIF(AE$147:AE150,"="&amp;AE151)</f>
        <v>4</v>
      </c>
    </row>
    <row r="152" spans="2:39" x14ac:dyDescent="0.2">
      <c r="J152" s="322" t="s">
        <v>1021</v>
      </c>
      <c r="AJ152" s="322" t="s">
        <v>1021</v>
      </c>
    </row>
    <row r="153" spans="2:39" x14ac:dyDescent="0.2">
      <c r="B153" s="322" t="s">
        <v>1022</v>
      </c>
      <c r="C153" s="322" t="s">
        <v>994</v>
      </c>
      <c r="D153" s="322" t="s">
        <v>975</v>
      </c>
      <c r="E153" s="322" t="s">
        <v>1023</v>
      </c>
      <c r="F153" s="324" t="s">
        <v>1024</v>
      </c>
      <c r="G153" s="324" t="b">
        <f>VLOOKUP(A86,Tippabgabe!$DM$122:$DN$127,2,FALSE)</f>
        <v>0</v>
      </c>
      <c r="H153" s="324" t="s">
        <v>975</v>
      </c>
      <c r="J153" s="322" t="s">
        <v>1025</v>
      </c>
      <c r="AB153" s="322" t="s">
        <v>1022</v>
      </c>
      <c r="AC153" s="322" t="s">
        <v>994</v>
      </c>
      <c r="AD153" s="322" t="s">
        <v>975</v>
      </c>
      <c r="AE153" s="322" t="s">
        <v>1023</v>
      </c>
      <c r="AF153" s="324" t="s">
        <v>1024</v>
      </c>
      <c r="AG153" s="324" t="b">
        <f>VLOOKUP(AA86,Tippabgabe!$DM$122:$DN$127,2,FALSE)</f>
        <v>0</v>
      </c>
      <c r="AH153" s="324" t="s">
        <v>975</v>
      </c>
      <c r="AJ153" s="322" t="s">
        <v>1025</v>
      </c>
    </row>
    <row r="154" spans="2:39" ht="11.4" x14ac:dyDescent="0.2">
      <c r="B154" s="322" t="str">
        <f>INDEX(teams,INDEX(C97:C100,D154))</f>
        <v>Slowenien</v>
      </c>
      <c r="C154" s="322">
        <v>1</v>
      </c>
      <c r="D154" s="321">
        <f>SUMIF(F148:F151,"="&amp;C154,C148:C151)</f>
        <v>1</v>
      </c>
      <c r="E154" s="322">
        <f>IF(G153,C154,INDEX(E148:E151,D154))</f>
        <v>1</v>
      </c>
      <c r="F154" s="324">
        <v>1</v>
      </c>
      <c r="G154" s="324">
        <v>1</v>
      </c>
      <c r="H154" s="323">
        <f>IF(G153,VLOOKUP(A161,Tippabgabe!$DM$93:$DO$116,3,FALSE),D154)</f>
        <v>1</v>
      </c>
      <c r="J154" s="321">
        <f>IF(G153,H154,D154)</f>
        <v>1</v>
      </c>
      <c r="AB154" s="322" t="str">
        <f>INDEX(teams,INDEX(AC97:AC100,AD154))</f>
        <v>Polen</v>
      </c>
      <c r="AC154" s="322">
        <v>1</v>
      </c>
      <c r="AD154" s="321">
        <f>SUMIF(AF148:AF151,"="&amp;AC154,AC148:AC151)</f>
        <v>1</v>
      </c>
      <c r="AE154" s="322">
        <f>IF(AG153,AC154,INDEX(AE148:AE151,AD154))</f>
        <v>1</v>
      </c>
      <c r="AF154" s="324">
        <v>1</v>
      </c>
      <c r="AG154" s="324">
        <v>1</v>
      </c>
      <c r="AH154" s="323">
        <f>IF(AG153,VLOOKUP(AA161,Tippabgabe!$DM$93:$DO$116,3,FALSE),AD154)</f>
        <v>1</v>
      </c>
      <c r="AJ154" s="321">
        <f>IF(AG153,AH154,AD154)</f>
        <v>1</v>
      </c>
    </row>
    <row r="155" spans="2:39" ht="11.4" x14ac:dyDescent="0.2">
      <c r="B155" s="322" t="str">
        <f>INDEX(teams,INDEX(C97:C100,D155))</f>
        <v>Dänemark</v>
      </c>
      <c r="C155" s="322">
        <v>2</v>
      </c>
      <c r="D155" s="321">
        <f>SUMIF(F148:F151,"="&amp;C155,C148:C151)</f>
        <v>2</v>
      </c>
      <c r="E155" s="322">
        <f>IF(G153,C155,INDEX(E148:E151,D155))</f>
        <v>1</v>
      </c>
      <c r="F155" s="324"/>
      <c r="G155" s="324">
        <v>2</v>
      </c>
      <c r="H155" s="323">
        <f>IF(G153,VLOOKUP(A162,Tippabgabe!$DM$93:$DO$116,3,FALSE),D155)</f>
        <v>2</v>
      </c>
      <c r="J155" s="321">
        <f>IF(G154,H155,D155)</f>
        <v>2</v>
      </c>
      <c r="AB155" s="322" t="str">
        <f>INDEX(teams,INDEX(AC97:AC100,AD155))</f>
        <v>Niederlande</v>
      </c>
      <c r="AC155" s="322">
        <v>2</v>
      </c>
      <c r="AD155" s="321">
        <f>SUMIF(AF148:AF151,"="&amp;AC155,AC148:AC151)</f>
        <v>2</v>
      </c>
      <c r="AE155" s="322">
        <f>IF(AG153,AC155,INDEX(AE148:AE151,AD155))</f>
        <v>1</v>
      </c>
      <c r="AF155" s="324"/>
      <c r="AG155" s="324">
        <v>2</v>
      </c>
      <c r="AH155" s="323">
        <f>IF(AG153,VLOOKUP(AA162,Tippabgabe!$DM$93:$DO$116,3,FALSE),AD155)</f>
        <v>2</v>
      </c>
      <c r="AJ155" s="321">
        <f>IF(AG154,AH155,AD155)</f>
        <v>2</v>
      </c>
    </row>
    <row r="156" spans="2:39" ht="11.4" x14ac:dyDescent="0.2">
      <c r="B156" s="322" t="str">
        <f>INDEX(teams,INDEX(C97:C100,D156))</f>
        <v>Serbien</v>
      </c>
      <c r="C156" s="322">
        <v>3</v>
      </c>
      <c r="D156" s="321">
        <f>SUMIF(F148:F151,"="&amp;C156,C148:C151)</f>
        <v>3</v>
      </c>
      <c r="E156" s="322">
        <f>IF(G153,C156,INDEX(E148:E151,D156))</f>
        <v>1</v>
      </c>
      <c r="F156" s="324"/>
      <c r="G156" s="324">
        <v>3</v>
      </c>
      <c r="H156" s="323">
        <f>IF(G153,VLOOKUP(A163,Tippabgabe!$DM$93:$DO$116,3,FALSE),D156)</f>
        <v>3</v>
      </c>
      <c r="J156" s="321">
        <f>IF(G155,H156,D156)</f>
        <v>3</v>
      </c>
      <c r="AB156" s="322" t="str">
        <f>INDEX(teams,INDEX(AC97:AC100,AD156))</f>
        <v>Österreich</v>
      </c>
      <c r="AC156" s="322">
        <v>3</v>
      </c>
      <c r="AD156" s="321">
        <f>SUMIF(AF148:AF151,"="&amp;AC156,AC148:AC151)</f>
        <v>3</v>
      </c>
      <c r="AE156" s="322">
        <f>IF(AG153,AC156,INDEX(AE148:AE151,AD156))</f>
        <v>1</v>
      </c>
      <c r="AF156" s="324"/>
      <c r="AG156" s="324">
        <v>3</v>
      </c>
      <c r="AH156" s="323">
        <f>IF(AG153,VLOOKUP(AA163,Tippabgabe!$DM$93:$DO$116,3,FALSE),AD156)</f>
        <v>3</v>
      </c>
      <c r="AJ156" s="321">
        <f>IF(AG155,AH156,AD156)</f>
        <v>3</v>
      </c>
    </row>
    <row r="157" spans="2:39" ht="11.4" x14ac:dyDescent="0.2">
      <c r="B157" s="322" t="str">
        <f>INDEX(teams,INDEX(C97:C100,D157))</f>
        <v>England</v>
      </c>
      <c r="C157" s="322">
        <v>4</v>
      </c>
      <c r="D157" s="321">
        <f>SUMIF(F148:F151,"="&amp;C157,C148:C151)</f>
        <v>4</v>
      </c>
      <c r="E157" s="322">
        <f>IF(G153,C157,INDEX(E148:E151,D157))</f>
        <v>1</v>
      </c>
      <c r="F157" s="324"/>
      <c r="G157" s="324">
        <v>4</v>
      </c>
      <c r="H157" s="323">
        <f>IF(G153,VLOOKUP(A164,Tippabgabe!$DM$93:$DO$116,3,FALSE),D157)</f>
        <v>4</v>
      </c>
      <c r="J157" s="321">
        <f>IF(G156,H157,D157)</f>
        <v>4</v>
      </c>
      <c r="AB157" s="322" t="str">
        <f>INDEX(teams,INDEX(AC97:AC100,AD157))</f>
        <v>Frankreich</v>
      </c>
      <c r="AC157" s="322">
        <v>4</v>
      </c>
      <c r="AD157" s="321">
        <f>SUMIF(AF148:AF151,"="&amp;AC157,AC148:AC151)</f>
        <v>4</v>
      </c>
      <c r="AE157" s="322">
        <f>IF(AG153,AC157,INDEX(AE148:AE151,AD157))</f>
        <v>1</v>
      </c>
      <c r="AF157" s="324"/>
      <c r="AG157" s="324">
        <v>4</v>
      </c>
      <c r="AH157" s="323">
        <f>IF(AG153,VLOOKUP(AA164,Tippabgabe!$DM$93:$DO$116,3,FALSE),AD157)</f>
        <v>4</v>
      </c>
      <c r="AJ157" s="321">
        <f>IF(AG156,AH157,AD157)</f>
        <v>4</v>
      </c>
    </row>
    <row r="160" spans="2:39" x14ac:dyDescent="0.2">
      <c r="B160" s="322" t="s">
        <v>1022</v>
      </c>
      <c r="C160" s="322" t="s">
        <v>996</v>
      </c>
      <c r="D160" s="322" t="s">
        <v>975</v>
      </c>
      <c r="E160" s="322" t="s">
        <v>108</v>
      </c>
      <c r="F160" s="322" t="s">
        <v>1026</v>
      </c>
      <c r="G160" s="322" t="s">
        <v>587</v>
      </c>
      <c r="H160" s="322" t="s">
        <v>1027</v>
      </c>
      <c r="I160" s="322" t="s">
        <v>1028</v>
      </c>
      <c r="J160" s="322" t="s">
        <v>999</v>
      </c>
      <c r="K160" s="322" t="s">
        <v>498</v>
      </c>
      <c r="L160" s="322" t="s">
        <v>848</v>
      </c>
      <c r="M160" s="322" t="s">
        <v>1029</v>
      </c>
      <c r="AB160" s="322" t="s">
        <v>1022</v>
      </c>
      <c r="AC160" s="322" t="s">
        <v>996</v>
      </c>
      <c r="AD160" s="322" t="s">
        <v>975</v>
      </c>
      <c r="AE160" s="322" t="s">
        <v>108</v>
      </c>
      <c r="AF160" s="322" t="s">
        <v>1026</v>
      </c>
      <c r="AG160" s="322" t="s">
        <v>587</v>
      </c>
      <c r="AH160" s="322" t="s">
        <v>1027</v>
      </c>
      <c r="AI160" s="322" t="s">
        <v>1028</v>
      </c>
      <c r="AJ160" s="322" t="s">
        <v>999</v>
      </c>
      <c r="AK160" s="322" t="s">
        <v>498</v>
      </c>
      <c r="AL160" s="322" t="s">
        <v>848</v>
      </c>
      <c r="AM160" s="322" t="s">
        <v>1029</v>
      </c>
    </row>
    <row r="161" spans="1:46" x14ac:dyDescent="0.2">
      <c r="A161" s="322" t="str">
        <f>"S"&amp;A86</f>
        <v>SC</v>
      </c>
      <c r="B161" s="322">
        <v>1</v>
      </c>
      <c r="C161" s="322">
        <f>INDEX($C$97:$C$100,J154)</f>
        <v>9</v>
      </c>
      <c r="D161" s="322">
        <f>J154</f>
        <v>1</v>
      </c>
      <c r="E161" s="322" t="str">
        <f>INDEX($H$97:$H$100,J154)</f>
        <v>SLO</v>
      </c>
      <c r="F161" s="322">
        <f>SUMIF($D$88:$E$93,"="&amp;$C161,$Q$88:$R$93)</f>
        <v>0</v>
      </c>
      <c r="G161" s="322">
        <f>INDEX($D$97:$D$100,$J154)</f>
        <v>0</v>
      </c>
      <c r="H161" s="322">
        <f>INDEX($E$97:$E$100,$J154)</f>
        <v>0</v>
      </c>
      <c r="I161" s="322">
        <f>INDEX($F$97:$F$100,$J154)</f>
        <v>0</v>
      </c>
      <c r="J161" s="322">
        <f>INDEX($G$97:$G$100,$J154)</f>
        <v>0</v>
      </c>
      <c r="K161" s="322">
        <f t="shared" ref="K161:M164" si="58">COUNTIF($S$88:$T$93,"="&amp;K$160&amp;$C161)</f>
        <v>0</v>
      </c>
      <c r="L161" s="322">
        <f t="shared" si="58"/>
        <v>0</v>
      </c>
      <c r="M161" s="322">
        <f t="shared" si="58"/>
        <v>0</v>
      </c>
      <c r="AA161" s="322" t="str">
        <f>"S"&amp;AA86</f>
        <v>SD</v>
      </c>
      <c r="AB161" s="322">
        <v>1</v>
      </c>
      <c r="AC161" s="322">
        <f>INDEX($AC$97:$AC$100,AJ154)</f>
        <v>13</v>
      </c>
      <c r="AD161" s="322">
        <f>AJ154</f>
        <v>1</v>
      </c>
      <c r="AE161" s="322" t="str">
        <f>INDEX($AH$97:$AH$100,AJ154)</f>
        <v>POL</v>
      </c>
      <c r="AF161" s="322">
        <f>SUMIF($AD$88:$AE$93,"="&amp;$AC161,$AQ$88:$AR$93)</f>
        <v>0</v>
      </c>
      <c r="AG161" s="322">
        <f>INDEX($AD$97:$AD$100,$AJ154)</f>
        <v>0</v>
      </c>
      <c r="AH161" s="322">
        <f>INDEX($AE$97:$AE$100,$AJ154)</f>
        <v>0</v>
      </c>
      <c r="AI161" s="322">
        <f>INDEX($AF$97:$AF$100,$AJ154)</f>
        <v>0</v>
      </c>
      <c r="AJ161" s="322">
        <f>INDEX($AG$97:$AG$100,$AJ154)</f>
        <v>0</v>
      </c>
      <c r="AK161" s="322">
        <f t="shared" ref="AK161:AM164" si="59">COUNTIF($AS$88:$AT$93,"="&amp;AK$160&amp;$AC161)</f>
        <v>0</v>
      </c>
      <c r="AL161" s="322">
        <f t="shared" si="59"/>
        <v>0</v>
      </c>
      <c r="AM161" s="322">
        <f t="shared" si="59"/>
        <v>0</v>
      </c>
    </row>
    <row r="162" spans="1:46" x14ac:dyDescent="0.2">
      <c r="A162" s="322" t="str">
        <f>"Z"&amp;A86</f>
        <v>ZC</v>
      </c>
      <c r="B162" s="322">
        <v>2</v>
      </c>
      <c r="C162" s="322">
        <f>INDEX($C$97:$C$100,J155)</f>
        <v>10</v>
      </c>
      <c r="D162" s="322">
        <f>J155</f>
        <v>2</v>
      </c>
      <c r="E162" s="322" t="str">
        <f>INDEX($H$97:$H$100,J155)</f>
        <v>DEN</v>
      </c>
      <c r="F162" s="322">
        <f>SUMIF($D$88:$E$93,"="&amp;$C162,$Q$88:$R$93)</f>
        <v>0</v>
      </c>
      <c r="G162" s="322">
        <f>INDEX($D$97:$D$100,$J155)</f>
        <v>0</v>
      </c>
      <c r="H162" s="322">
        <f>INDEX($E$97:$E$100,$J155)</f>
        <v>0</v>
      </c>
      <c r="I162" s="322">
        <f>INDEX($F$97:$F$100,$J155)</f>
        <v>0</v>
      </c>
      <c r="J162" s="322">
        <f>INDEX($G$97:$G$100,$J155)</f>
        <v>0</v>
      </c>
      <c r="K162" s="322">
        <f t="shared" si="58"/>
        <v>0</v>
      </c>
      <c r="L162" s="322">
        <f t="shared" si="58"/>
        <v>0</v>
      </c>
      <c r="M162" s="322">
        <f t="shared" si="58"/>
        <v>0</v>
      </c>
      <c r="AA162" s="322" t="str">
        <f>"Z"&amp;AA86</f>
        <v>ZD</v>
      </c>
      <c r="AB162" s="322">
        <v>2</v>
      </c>
      <c r="AC162" s="322">
        <f>INDEX($AC$97:$AC$100,AJ155)</f>
        <v>14</v>
      </c>
      <c r="AD162" s="322">
        <f>AJ155</f>
        <v>2</v>
      </c>
      <c r="AE162" s="322" t="str">
        <f>INDEX($AH$97:$AH$100,AJ155)</f>
        <v>NED</v>
      </c>
      <c r="AF162" s="322">
        <f>SUMIF($AD$88:$AE$93,"="&amp;$AC162,$AQ$88:$AR$93)</f>
        <v>0</v>
      </c>
      <c r="AG162" s="322">
        <f>INDEX($AD$97:$AD$100,$AJ155)</f>
        <v>0</v>
      </c>
      <c r="AH162" s="322">
        <f>INDEX($AE$97:$AE$100,$AJ155)</f>
        <v>0</v>
      </c>
      <c r="AI162" s="322">
        <f>INDEX($AF$97:$AF$100,$AJ155)</f>
        <v>0</v>
      </c>
      <c r="AJ162" s="322">
        <f>INDEX($AG$97:$AG$100,$AJ155)</f>
        <v>0</v>
      </c>
      <c r="AK162" s="322">
        <f t="shared" si="59"/>
        <v>0</v>
      </c>
      <c r="AL162" s="322">
        <f t="shared" si="59"/>
        <v>0</v>
      </c>
      <c r="AM162" s="322">
        <f t="shared" si="59"/>
        <v>0</v>
      </c>
    </row>
    <row r="163" spans="1:46" x14ac:dyDescent="0.2">
      <c r="A163" s="322" t="str">
        <f>"D"&amp;A86</f>
        <v>DC</v>
      </c>
      <c r="B163" s="322">
        <v>3</v>
      </c>
      <c r="C163" s="322">
        <f>INDEX($C$97:$C$100,J156)</f>
        <v>11</v>
      </c>
      <c r="D163" s="322">
        <f>J156</f>
        <v>3</v>
      </c>
      <c r="E163" s="322" t="str">
        <f>INDEX($H$97:$H$100,J156)</f>
        <v>SRB</v>
      </c>
      <c r="F163" s="322">
        <f>SUMIF($D$88:$E$93,"="&amp;$C163,$Q$88:$R$93)</f>
        <v>0</v>
      </c>
      <c r="G163" s="322">
        <f>INDEX($D$97:$D$100,$J156)</f>
        <v>0</v>
      </c>
      <c r="H163" s="322">
        <f>INDEX($E$97:$E$100,$J156)</f>
        <v>0</v>
      </c>
      <c r="I163" s="322">
        <f>INDEX($F$97:$F$100,$J156)</f>
        <v>0</v>
      </c>
      <c r="J163" s="322">
        <f>INDEX($G$97:$G$100,$J156)</f>
        <v>0</v>
      </c>
      <c r="K163" s="322">
        <f t="shared" si="58"/>
        <v>0</v>
      </c>
      <c r="L163" s="322">
        <f t="shared" si="58"/>
        <v>0</v>
      </c>
      <c r="M163" s="322">
        <f t="shared" si="58"/>
        <v>0</v>
      </c>
      <c r="AA163" s="322" t="str">
        <f>"D"&amp;AA86</f>
        <v>DD</v>
      </c>
      <c r="AB163" s="322">
        <v>3</v>
      </c>
      <c r="AC163" s="322">
        <f>INDEX($AC$97:$AC$100,AJ156)</f>
        <v>15</v>
      </c>
      <c r="AD163" s="322">
        <f>AJ156</f>
        <v>3</v>
      </c>
      <c r="AE163" s="322" t="str">
        <f>INDEX($AH$97:$AH$100,AJ156)</f>
        <v>AUT</v>
      </c>
      <c r="AF163" s="322">
        <f>SUMIF($AD$88:$AE$93,"="&amp;$AC163,$AQ$88:$AR$93)</f>
        <v>0</v>
      </c>
      <c r="AG163" s="322">
        <f>INDEX($AD$97:$AD$100,$AJ156)</f>
        <v>0</v>
      </c>
      <c r="AH163" s="322">
        <f>INDEX($AE$97:$AE$100,$AJ156)</f>
        <v>0</v>
      </c>
      <c r="AI163" s="322">
        <f>INDEX($AF$97:$AF$100,$AJ156)</f>
        <v>0</v>
      </c>
      <c r="AJ163" s="322">
        <f>INDEX($AG$97:$AG$100,$AJ156)</f>
        <v>0</v>
      </c>
      <c r="AK163" s="322">
        <f t="shared" si="59"/>
        <v>0</v>
      </c>
      <c r="AL163" s="322">
        <f t="shared" si="59"/>
        <v>0</v>
      </c>
      <c r="AM163" s="322">
        <f t="shared" si="59"/>
        <v>0</v>
      </c>
    </row>
    <row r="164" spans="1:46" x14ac:dyDescent="0.2">
      <c r="A164" s="322" t="str">
        <f>"V"&amp;A86</f>
        <v>VC</v>
      </c>
      <c r="B164" s="322">
        <v>4</v>
      </c>
      <c r="C164" s="322">
        <f>INDEX($C$97:$C$100,J157)</f>
        <v>12</v>
      </c>
      <c r="D164" s="322">
        <f>J157</f>
        <v>4</v>
      </c>
      <c r="E164" s="322" t="str">
        <f>INDEX($H$97:$H$100,J157)</f>
        <v>ENG</v>
      </c>
      <c r="F164" s="322">
        <f>SUMIF($D$88:$E$93,"="&amp;$C164,$Q$88:$R$93)</f>
        <v>0</v>
      </c>
      <c r="G164" s="322">
        <f>INDEX($D$97:$D$100,$J157)</f>
        <v>0</v>
      </c>
      <c r="H164" s="322">
        <f>INDEX($E$97:$E$100,$J157)</f>
        <v>0</v>
      </c>
      <c r="I164" s="322">
        <f>INDEX($F$97:$F$100,$J157)</f>
        <v>0</v>
      </c>
      <c r="J164" s="322">
        <f>INDEX($G$97:$G$100,$J157)</f>
        <v>0</v>
      </c>
      <c r="K164" s="322">
        <f t="shared" si="58"/>
        <v>0</v>
      </c>
      <c r="L164" s="322">
        <f t="shared" si="58"/>
        <v>0</v>
      </c>
      <c r="M164" s="322">
        <f t="shared" si="58"/>
        <v>0</v>
      </c>
      <c r="AA164" s="322" t="str">
        <f>"V"&amp;AA86</f>
        <v>VD</v>
      </c>
      <c r="AB164" s="322">
        <v>4</v>
      </c>
      <c r="AC164" s="322">
        <f>INDEX($AC$97:$AC$100,AJ157)</f>
        <v>16</v>
      </c>
      <c r="AD164" s="322">
        <f>AJ157</f>
        <v>4</v>
      </c>
      <c r="AE164" s="322" t="str">
        <f>INDEX($AH$97:$AH$100,AJ157)</f>
        <v>FRA</v>
      </c>
      <c r="AF164" s="322">
        <f>SUMIF($AD$88:$AE$93,"="&amp;$AC164,$AQ$88:$AR$93)</f>
        <v>0</v>
      </c>
      <c r="AG164" s="322">
        <f>INDEX($AD$97:$AD$100,$AJ157)</f>
        <v>0</v>
      </c>
      <c r="AH164" s="322">
        <f>INDEX($AE$97:$AE$100,$AJ157)</f>
        <v>0</v>
      </c>
      <c r="AI164" s="322">
        <f>INDEX($AF$97:$AF$100,$AJ157)</f>
        <v>0</v>
      </c>
      <c r="AJ164" s="322">
        <f>INDEX($AG$97:$AG$100,$AJ157)</f>
        <v>0</v>
      </c>
      <c r="AK164" s="322">
        <f t="shared" si="59"/>
        <v>0</v>
      </c>
      <c r="AL164" s="322">
        <f t="shared" si="59"/>
        <v>0</v>
      </c>
      <c r="AM164" s="322">
        <f t="shared" si="59"/>
        <v>0</v>
      </c>
    </row>
    <row r="168" spans="1:46" x14ac:dyDescent="0.2">
      <c r="A168" s="322" t="s">
        <v>487</v>
      </c>
      <c r="B168" s="322" t="s">
        <v>394</v>
      </c>
      <c r="G168" s="322" t="s">
        <v>473</v>
      </c>
      <c r="K168" s="322" t="s">
        <v>974</v>
      </c>
      <c r="AA168" s="322" t="s">
        <v>632</v>
      </c>
      <c r="AB168" s="322" t="s">
        <v>394</v>
      </c>
      <c r="AG168" s="322" t="s">
        <v>473</v>
      </c>
      <c r="AK168" s="322" t="s">
        <v>974</v>
      </c>
    </row>
    <row r="169" spans="1:46" x14ac:dyDescent="0.2">
      <c r="A169" s="322" t="s">
        <v>975</v>
      </c>
      <c r="D169" s="322" t="s">
        <v>976</v>
      </c>
      <c r="E169" s="322" t="s">
        <v>977</v>
      </c>
      <c r="F169" s="322" t="s">
        <v>978</v>
      </c>
      <c r="G169" s="322" t="s">
        <v>979</v>
      </c>
      <c r="H169" s="322" t="s">
        <v>980</v>
      </c>
      <c r="I169" s="322" t="s">
        <v>981</v>
      </c>
      <c r="K169" s="322" t="s">
        <v>982</v>
      </c>
      <c r="L169" s="322" t="s">
        <v>983</v>
      </c>
      <c r="M169" s="322" t="s">
        <v>984</v>
      </c>
      <c r="N169" s="322" t="s">
        <v>985</v>
      </c>
      <c r="O169" s="322" t="s">
        <v>986</v>
      </c>
      <c r="P169" s="322" t="s">
        <v>987</v>
      </c>
      <c r="Q169" s="322" t="s">
        <v>879</v>
      </c>
      <c r="S169" s="322" t="s">
        <v>473</v>
      </c>
      <c r="AA169" s="322" t="s">
        <v>975</v>
      </c>
      <c r="AD169" s="322" t="s">
        <v>976</v>
      </c>
      <c r="AE169" s="322" t="s">
        <v>977</v>
      </c>
      <c r="AF169" s="322" t="s">
        <v>978</v>
      </c>
      <c r="AG169" s="322" t="s">
        <v>979</v>
      </c>
      <c r="AH169" s="322" t="s">
        <v>980</v>
      </c>
      <c r="AI169" s="322" t="s">
        <v>981</v>
      </c>
      <c r="AK169" s="322" t="s">
        <v>982</v>
      </c>
      <c r="AL169" s="322" t="s">
        <v>983</v>
      </c>
      <c r="AM169" s="322" t="s">
        <v>984</v>
      </c>
      <c r="AN169" s="322" t="s">
        <v>985</v>
      </c>
      <c r="AO169" s="322" t="s">
        <v>986</v>
      </c>
      <c r="AP169" s="322" t="s">
        <v>987</v>
      </c>
      <c r="AQ169" s="322" t="s">
        <v>879</v>
      </c>
      <c r="AS169" s="322" t="s">
        <v>473</v>
      </c>
    </row>
    <row r="170" spans="1:46" ht="11.4" x14ac:dyDescent="0.2">
      <c r="A170" s="316">
        <v>1</v>
      </c>
      <c r="B170" s="316" t="str">
        <f t="shared" ref="B170:B175" si="60">D170&amp;"#"&amp;E170</f>
        <v>19#20</v>
      </c>
      <c r="C170" s="316" t="str">
        <f t="shared" ref="C170:C175" si="61">E170&amp;"#"&amp;D170</f>
        <v>20#19</v>
      </c>
      <c r="D170" s="316">
        <f>VLOOKUP(J170,daten!$G$59:$L$94,5,FALSE)</f>
        <v>19</v>
      </c>
      <c r="E170" s="316">
        <f>VLOOKUP(J170,daten!$G$59:$L$94,6,FALSE)</f>
        <v>20</v>
      </c>
      <c r="F170" s="316">
        <f t="shared" ref="F170:F175" si="62">D170</f>
        <v>19</v>
      </c>
      <c r="G170" s="316" t="str">
        <f>VLOOKUP(J170,Tippabgabe!$DQ$40:$DW$75,4,FALSE)</f>
        <v/>
      </c>
      <c r="H170" s="316" t="str">
        <f>VLOOKUP(J170,Tippabgabe!$DQ$40:$DW$75,5,FALSE)</f>
        <v/>
      </c>
      <c r="I170" s="316" t="str">
        <f t="shared" ref="I170:I175" si="63">IF(LEN(G170)&gt;0,G170,"")</f>
        <v/>
      </c>
      <c r="J170" s="316" t="str">
        <f>A168&amp;"-"&amp;A170</f>
        <v>E-1</v>
      </c>
      <c r="K170" s="322">
        <f t="shared" ref="K170:K175" si="64">IF(COUNT(G170:H170)&lt;&gt;2,0,IF(G170&gt;H170,3,IF(H170&gt;G170,0,1)))</f>
        <v>0</v>
      </c>
      <c r="L170" s="322">
        <f t="shared" ref="L170:L175" si="65">IF(COUNT(G170:H170)&lt;&gt;2,0,IF(G170&gt;H170,0,IF(H170&gt;G170,3,1)))</f>
        <v>0</v>
      </c>
      <c r="M170" s="322">
        <f t="shared" ref="M170:M175" si="66">IF(COUNT(G170:H170)&lt;&gt;2,0,G170-H170)</f>
        <v>0</v>
      </c>
      <c r="N170" s="322">
        <f t="shared" ref="N170:N175" si="67">IF(COUNT(G170:H170)&lt;&gt;2,0,H170-I170)</f>
        <v>0</v>
      </c>
      <c r="O170" s="322">
        <f t="shared" ref="O170:P175" si="68">K170*1000+M170+IF(LEN(G170)=0,0,G170/1000)</f>
        <v>0</v>
      </c>
      <c r="P170" s="322">
        <f t="shared" si="68"/>
        <v>0</v>
      </c>
      <c r="Q170" s="322">
        <f t="shared" ref="Q170:Q175" si="69">IF(COUNT(G170:H170)=2,1,0)</f>
        <v>0</v>
      </c>
      <c r="R170" s="322">
        <f t="shared" ref="R170:R175" si="70">Q170</f>
        <v>0</v>
      </c>
      <c r="S170" s="322" t="str">
        <f t="shared" ref="S170:T175" si="71">IF(Q170=0,"X",IF(K170=3,"S",IF(K170=0,"N","U")))&amp;D170</f>
        <v>X19</v>
      </c>
      <c r="T170" s="322" t="str">
        <f t="shared" si="71"/>
        <v>X20</v>
      </c>
      <c r="AA170" s="316">
        <v>1</v>
      </c>
      <c r="AB170" s="316" t="str">
        <f t="shared" ref="AB170:AB175" si="72">AD170&amp;"#"&amp;AE170</f>
        <v>21#22</v>
      </c>
      <c r="AC170" s="316" t="str">
        <f t="shared" ref="AC170:AC175" si="73">AE170&amp;"#"&amp;AD170</f>
        <v>22#21</v>
      </c>
      <c r="AD170" s="316">
        <f>VLOOKUP(AJ170,daten!$G$59:$L$94,5,FALSE)</f>
        <v>21</v>
      </c>
      <c r="AE170" s="316">
        <f>VLOOKUP(AJ170,daten!$G$59:$L$94,6,FALSE)</f>
        <v>22</v>
      </c>
      <c r="AF170" s="316">
        <f t="shared" ref="AF170:AF175" si="74">AD170</f>
        <v>21</v>
      </c>
      <c r="AG170" s="316" t="str">
        <f>VLOOKUP(AJ170,Tippabgabe!$DQ$40:$DW$75,4,FALSE)</f>
        <v/>
      </c>
      <c r="AH170" s="316" t="str">
        <f>VLOOKUP(AJ170,Tippabgabe!$DQ$40:$DW$75,5,FALSE)</f>
        <v/>
      </c>
      <c r="AI170" s="316" t="str">
        <f t="shared" ref="AI170:AI175" si="75">IF(LEN(AG170)&gt;0,AG170,"")</f>
        <v/>
      </c>
      <c r="AJ170" s="316" t="str">
        <f>AA168&amp;"-"&amp;AA170</f>
        <v>F-1</v>
      </c>
      <c r="AK170" s="322">
        <f t="shared" ref="AK170:AK175" si="76">IF(COUNT(AG170:AH170)&lt;&gt;2,0,IF(AG170&gt;AH170,3,IF(AH170&gt;AG170,0,1)))</f>
        <v>0</v>
      </c>
      <c r="AL170" s="322">
        <f t="shared" ref="AL170:AL175" si="77">IF(COUNT(AG170:AH170)&lt;&gt;2,0,IF(AG170&gt;AH170,0,IF(AH170&gt;AG170,3,1)))</f>
        <v>0</v>
      </c>
      <c r="AM170" s="322">
        <f t="shared" ref="AM170:AM175" si="78">IF(COUNT(AG170:AH170)&lt;&gt;2,0,AG170-AH170)</f>
        <v>0</v>
      </c>
      <c r="AN170" s="322">
        <f t="shared" ref="AN170:AN175" si="79">IF(COUNT(AG170:AH170)&lt;&gt;2,0,AH170-AI170)</f>
        <v>0</v>
      </c>
      <c r="AO170" s="322">
        <f t="shared" ref="AO170:AP175" si="80">AK170*1000+AM170+IF(LEN(AG170)=0,0,AG170/1000)</f>
        <v>0</v>
      </c>
      <c r="AP170" s="322">
        <f t="shared" si="80"/>
        <v>0</v>
      </c>
      <c r="AQ170" s="322">
        <f t="shared" ref="AQ170:AQ175" si="81">IF(COUNT(AG170:AH170)=2,1,0)</f>
        <v>0</v>
      </c>
      <c r="AR170" s="322">
        <f t="shared" ref="AR170:AR175" si="82">AQ170</f>
        <v>0</v>
      </c>
      <c r="AS170" s="322" t="str">
        <f t="shared" ref="AS170:AT175" si="83">IF(AQ170=0,"X",IF(AK170=3,"S",IF(AK170=0,"N","U")))&amp;AD170</f>
        <v>X21</v>
      </c>
      <c r="AT170" s="322" t="str">
        <f t="shared" si="83"/>
        <v>X22</v>
      </c>
    </row>
    <row r="171" spans="1:46" ht="11.4" x14ac:dyDescent="0.2">
      <c r="A171" s="316">
        <v>2</v>
      </c>
      <c r="B171" s="316" t="str">
        <f t="shared" si="60"/>
        <v>17#18</v>
      </c>
      <c r="C171" s="316" t="str">
        <f t="shared" si="61"/>
        <v>18#17</v>
      </c>
      <c r="D171" s="316">
        <f>VLOOKUP(J171,daten!$G$59:$L$94,5,FALSE)</f>
        <v>17</v>
      </c>
      <c r="E171" s="316">
        <f>VLOOKUP(J171,daten!$G$59:$L$94,6,FALSE)</f>
        <v>18</v>
      </c>
      <c r="F171" s="316">
        <f t="shared" si="62"/>
        <v>17</v>
      </c>
      <c r="G171" s="316" t="str">
        <f>VLOOKUP(J171,Tippabgabe!$DQ$40:$DW$75,4,FALSE)</f>
        <v/>
      </c>
      <c r="H171" s="316" t="str">
        <f>VLOOKUP(J171,Tippabgabe!$DQ$40:$DW$75,5,FALSE)</f>
        <v/>
      </c>
      <c r="I171" s="316" t="str">
        <f t="shared" si="63"/>
        <v/>
      </c>
      <c r="J171" s="316" t="str">
        <f>A168&amp;"-"&amp;A171</f>
        <v>E-2</v>
      </c>
      <c r="K171" s="322">
        <f t="shared" si="64"/>
        <v>0</v>
      </c>
      <c r="L171" s="322">
        <f t="shared" si="65"/>
        <v>0</v>
      </c>
      <c r="M171" s="322">
        <f t="shared" si="66"/>
        <v>0</v>
      </c>
      <c r="N171" s="322">
        <f t="shared" si="67"/>
        <v>0</v>
      </c>
      <c r="O171" s="322">
        <f t="shared" si="68"/>
        <v>0</v>
      </c>
      <c r="P171" s="322">
        <f t="shared" si="68"/>
        <v>0</v>
      </c>
      <c r="Q171" s="322">
        <f t="shared" si="69"/>
        <v>0</v>
      </c>
      <c r="R171" s="322">
        <f t="shared" si="70"/>
        <v>0</v>
      </c>
      <c r="S171" s="322" t="str">
        <f t="shared" si="71"/>
        <v>X17</v>
      </c>
      <c r="T171" s="322" t="str">
        <f t="shared" si="71"/>
        <v>X18</v>
      </c>
      <c r="AA171" s="316">
        <v>2</v>
      </c>
      <c r="AB171" s="316" t="str">
        <f t="shared" si="72"/>
        <v>23#24</v>
      </c>
      <c r="AC171" s="316" t="str">
        <f t="shared" si="73"/>
        <v>24#23</v>
      </c>
      <c r="AD171" s="316">
        <f>VLOOKUP(AJ171,daten!$G$59:$L$94,5,FALSE)</f>
        <v>23</v>
      </c>
      <c r="AE171" s="316">
        <f>VLOOKUP(AJ171,daten!$G$59:$L$94,6,FALSE)</f>
        <v>24</v>
      </c>
      <c r="AF171" s="316">
        <f t="shared" si="74"/>
        <v>23</v>
      </c>
      <c r="AG171" s="316" t="str">
        <f>VLOOKUP(AJ171,Tippabgabe!$DQ$40:$DW$75,4,FALSE)</f>
        <v/>
      </c>
      <c r="AH171" s="316" t="str">
        <f>VLOOKUP(AJ171,Tippabgabe!$DQ$40:$DW$75,5,FALSE)</f>
        <v/>
      </c>
      <c r="AI171" s="316" t="str">
        <f t="shared" si="75"/>
        <v/>
      </c>
      <c r="AJ171" s="316" t="str">
        <f>AA168&amp;"-"&amp;AA171</f>
        <v>F-2</v>
      </c>
      <c r="AK171" s="322">
        <f t="shared" si="76"/>
        <v>0</v>
      </c>
      <c r="AL171" s="322">
        <f t="shared" si="77"/>
        <v>0</v>
      </c>
      <c r="AM171" s="322">
        <f t="shared" si="78"/>
        <v>0</v>
      </c>
      <c r="AN171" s="322">
        <f t="shared" si="79"/>
        <v>0</v>
      </c>
      <c r="AO171" s="322">
        <f t="shared" si="80"/>
        <v>0</v>
      </c>
      <c r="AP171" s="322">
        <f t="shared" si="80"/>
        <v>0</v>
      </c>
      <c r="AQ171" s="322">
        <f t="shared" si="81"/>
        <v>0</v>
      </c>
      <c r="AR171" s="322">
        <f t="shared" si="82"/>
        <v>0</v>
      </c>
      <c r="AS171" s="322" t="str">
        <f t="shared" si="83"/>
        <v>X23</v>
      </c>
      <c r="AT171" s="322" t="str">
        <f t="shared" si="83"/>
        <v>X24</v>
      </c>
    </row>
    <row r="172" spans="1:46" ht="11.4" x14ac:dyDescent="0.2">
      <c r="A172" s="316">
        <v>3</v>
      </c>
      <c r="B172" s="316" t="str">
        <f t="shared" si="60"/>
        <v>18#20</v>
      </c>
      <c r="C172" s="316" t="str">
        <f t="shared" si="61"/>
        <v>20#18</v>
      </c>
      <c r="D172" s="316">
        <f>VLOOKUP(J172,daten!$G$59:$L$94,5,FALSE)</f>
        <v>18</v>
      </c>
      <c r="E172" s="316">
        <f>VLOOKUP(J172,daten!$G$59:$L$94,6,FALSE)</f>
        <v>20</v>
      </c>
      <c r="F172" s="316">
        <f t="shared" si="62"/>
        <v>18</v>
      </c>
      <c r="G172" s="316" t="str">
        <f>VLOOKUP(J172,Tippabgabe!$DQ$40:$DW$75,4,FALSE)</f>
        <v/>
      </c>
      <c r="H172" s="316" t="str">
        <f>VLOOKUP(J172,Tippabgabe!$DQ$40:$DW$75,5,FALSE)</f>
        <v/>
      </c>
      <c r="I172" s="316" t="str">
        <f t="shared" si="63"/>
        <v/>
      </c>
      <c r="J172" s="316" t="str">
        <f>A168&amp;"-"&amp;A172</f>
        <v>E-3</v>
      </c>
      <c r="K172" s="322">
        <f t="shared" si="64"/>
        <v>0</v>
      </c>
      <c r="L172" s="322">
        <f t="shared" si="65"/>
        <v>0</v>
      </c>
      <c r="M172" s="322">
        <f t="shared" si="66"/>
        <v>0</v>
      </c>
      <c r="N172" s="322">
        <f t="shared" si="67"/>
        <v>0</v>
      </c>
      <c r="O172" s="322">
        <f t="shared" si="68"/>
        <v>0</v>
      </c>
      <c r="P172" s="322">
        <f t="shared" si="68"/>
        <v>0</v>
      </c>
      <c r="Q172" s="322">
        <f t="shared" si="69"/>
        <v>0</v>
      </c>
      <c r="R172" s="322">
        <f t="shared" si="70"/>
        <v>0</v>
      </c>
      <c r="S172" s="322" t="str">
        <f t="shared" si="71"/>
        <v>X18</v>
      </c>
      <c r="T172" s="322" t="str">
        <f t="shared" si="71"/>
        <v>X20</v>
      </c>
      <c r="AA172" s="316">
        <v>3</v>
      </c>
      <c r="AB172" s="316" t="str">
        <f t="shared" si="72"/>
        <v>22#24</v>
      </c>
      <c r="AC172" s="316" t="str">
        <f t="shared" si="73"/>
        <v>24#22</v>
      </c>
      <c r="AD172" s="316">
        <f>VLOOKUP(AJ172,daten!$G$59:$L$94,5,FALSE)</f>
        <v>22</v>
      </c>
      <c r="AE172" s="316">
        <f>VLOOKUP(AJ172,daten!$G$59:$L$94,6,FALSE)</f>
        <v>24</v>
      </c>
      <c r="AF172" s="316">
        <f t="shared" si="74"/>
        <v>22</v>
      </c>
      <c r="AG172" s="316" t="str">
        <f>VLOOKUP(AJ172,Tippabgabe!$DQ$40:$DW$75,4,FALSE)</f>
        <v/>
      </c>
      <c r="AH172" s="316" t="str">
        <f>VLOOKUP(AJ172,Tippabgabe!$DQ$40:$DW$75,5,FALSE)</f>
        <v/>
      </c>
      <c r="AI172" s="316" t="str">
        <f t="shared" si="75"/>
        <v/>
      </c>
      <c r="AJ172" s="316" t="str">
        <f>AA168&amp;"-"&amp;AA172</f>
        <v>F-3</v>
      </c>
      <c r="AK172" s="322">
        <f t="shared" si="76"/>
        <v>0</v>
      </c>
      <c r="AL172" s="322">
        <f t="shared" si="77"/>
        <v>0</v>
      </c>
      <c r="AM172" s="322">
        <f t="shared" si="78"/>
        <v>0</v>
      </c>
      <c r="AN172" s="322">
        <f t="shared" si="79"/>
        <v>0</v>
      </c>
      <c r="AO172" s="322">
        <f t="shared" si="80"/>
        <v>0</v>
      </c>
      <c r="AP172" s="322">
        <f t="shared" si="80"/>
        <v>0</v>
      </c>
      <c r="AQ172" s="322">
        <f t="shared" si="81"/>
        <v>0</v>
      </c>
      <c r="AR172" s="322">
        <f t="shared" si="82"/>
        <v>0</v>
      </c>
      <c r="AS172" s="322" t="str">
        <f t="shared" si="83"/>
        <v>X22</v>
      </c>
      <c r="AT172" s="322" t="str">
        <f t="shared" si="83"/>
        <v>X24</v>
      </c>
    </row>
    <row r="173" spans="1:46" ht="11.4" x14ac:dyDescent="0.2">
      <c r="A173" s="316">
        <v>4</v>
      </c>
      <c r="B173" s="316" t="str">
        <f t="shared" si="60"/>
        <v>17#19</v>
      </c>
      <c r="C173" s="316" t="str">
        <f t="shared" si="61"/>
        <v>19#17</v>
      </c>
      <c r="D173" s="316">
        <f>VLOOKUP(J173,daten!$G$59:$L$94,5,FALSE)</f>
        <v>17</v>
      </c>
      <c r="E173" s="316">
        <f>VLOOKUP(J173,daten!$G$59:$L$94,6,FALSE)</f>
        <v>19</v>
      </c>
      <c r="F173" s="316">
        <f t="shared" si="62"/>
        <v>17</v>
      </c>
      <c r="G173" s="316" t="str">
        <f>VLOOKUP(J173,Tippabgabe!$DQ$40:$DW$75,4,FALSE)</f>
        <v/>
      </c>
      <c r="H173" s="316" t="str">
        <f>VLOOKUP(J173,Tippabgabe!$DQ$40:$DW$75,5,FALSE)</f>
        <v/>
      </c>
      <c r="I173" s="316" t="str">
        <f t="shared" si="63"/>
        <v/>
      </c>
      <c r="J173" s="316" t="str">
        <f>A168&amp;"-"&amp;A173</f>
        <v>E-4</v>
      </c>
      <c r="K173" s="322">
        <f t="shared" si="64"/>
        <v>0</v>
      </c>
      <c r="L173" s="322">
        <f t="shared" si="65"/>
        <v>0</v>
      </c>
      <c r="M173" s="322">
        <f t="shared" si="66"/>
        <v>0</v>
      </c>
      <c r="N173" s="322">
        <f t="shared" si="67"/>
        <v>0</v>
      </c>
      <c r="O173" s="322">
        <f t="shared" si="68"/>
        <v>0</v>
      </c>
      <c r="P173" s="322">
        <f t="shared" si="68"/>
        <v>0</v>
      </c>
      <c r="Q173" s="322">
        <f t="shared" si="69"/>
        <v>0</v>
      </c>
      <c r="R173" s="322">
        <f t="shared" si="70"/>
        <v>0</v>
      </c>
      <c r="S173" s="322" t="str">
        <f t="shared" si="71"/>
        <v>X17</v>
      </c>
      <c r="T173" s="322" t="str">
        <f t="shared" si="71"/>
        <v>X19</v>
      </c>
      <c r="AA173" s="316">
        <v>4</v>
      </c>
      <c r="AB173" s="316" t="str">
        <f t="shared" si="72"/>
        <v>21#23</v>
      </c>
      <c r="AC173" s="316" t="str">
        <f t="shared" si="73"/>
        <v>23#21</v>
      </c>
      <c r="AD173" s="316">
        <f>VLOOKUP(AJ173,daten!$G$59:$L$94,5,FALSE)</f>
        <v>21</v>
      </c>
      <c r="AE173" s="316">
        <f>VLOOKUP(AJ173,daten!$G$59:$L$94,6,FALSE)</f>
        <v>23</v>
      </c>
      <c r="AF173" s="316">
        <f t="shared" si="74"/>
        <v>21</v>
      </c>
      <c r="AG173" s="316" t="str">
        <f>VLOOKUP(AJ173,Tippabgabe!$DQ$40:$DW$75,4,FALSE)</f>
        <v/>
      </c>
      <c r="AH173" s="316" t="str">
        <f>VLOOKUP(AJ173,Tippabgabe!$DQ$40:$DW$75,5,FALSE)</f>
        <v/>
      </c>
      <c r="AI173" s="316" t="str">
        <f t="shared" si="75"/>
        <v/>
      </c>
      <c r="AJ173" s="316" t="str">
        <f>AA168&amp;"-"&amp;AA173</f>
        <v>F-4</v>
      </c>
      <c r="AK173" s="322">
        <f t="shared" si="76"/>
        <v>0</v>
      </c>
      <c r="AL173" s="322">
        <f t="shared" si="77"/>
        <v>0</v>
      </c>
      <c r="AM173" s="322">
        <f t="shared" si="78"/>
        <v>0</v>
      </c>
      <c r="AN173" s="322">
        <f t="shared" si="79"/>
        <v>0</v>
      </c>
      <c r="AO173" s="322">
        <f t="shared" si="80"/>
        <v>0</v>
      </c>
      <c r="AP173" s="322">
        <f t="shared" si="80"/>
        <v>0</v>
      </c>
      <c r="AQ173" s="322">
        <f t="shared" si="81"/>
        <v>0</v>
      </c>
      <c r="AR173" s="322">
        <f t="shared" si="82"/>
        <v>0</v>
      </c>
      <c r="AS173" s="322" t="str">
        <f t="shared" si="83"/>
        <v>X21</v>
      </c>
      <c r="AT173" s="322" t="str">
        <f t="shared" si="83"/>
        <v>X23</v>
      </c>
    </row>
    <row r="174" spans="1:46" ht="11.4" x14ac:dyDescent="0.2">
      <c r="A174" s="316">
        <v>5</v>
      </c>
      <c r="B174" s="316" t="str">
        <f t="shared" si="60"/>
        <v>18#19</v>
      </c>
      <c r="C174" s="316" t="str">
        <f t="shared" si="61"/>
        <v>19#18</v>
      </c>
      <c r="D174" s="316">
        <f>VLOOKUP(J174,daten!$G$59:$L$94,5,FALSE)</f>
        <v>18</v>
      </c>
      <c r="E174" s="316">
        <f>VLOOKUP(J174,daten!$G$59:$L$94,6,FALSE)</f>
        <v>19</v>
      </c>
      <c r="F174" s="316">
        <f t="shared" si="62"/>
        <v>18</v>
      </c>
      <c r="G174" s="316" t="str">
        <f>VLOOKUP(J174,Tippabgabe!$DQ$40:$DW$75,4,FALSE)</f>
        <v/>
      </c>
      <c r="H174" s="316" t="str">
        <f>VLOOKUP(J174,Tippabgabe!$DQ$40:$DW$75,5,FALSE)</f>
        <v/>
      </c>
      <c r="I174" s="316" t="str">
        <f t="shared" si="63"/>
        <v/>
      </c>
      <c r="J174" s="316" t="str">
        <f>A168&amp;"-"&amp;A174</f>
        <v>E-5</v>
      </c>
      <c r="K174" s="322">
        <f t="shared" si="64"/>
        <v>0</v>
      </c>
      <c r="L174" s="322">
        <f t="shared" si="65"/>
        <v>0</v>
      </c>
      <c r="M174" s="322">
        <f t="shared" si="66"/>
        <v>0</v>
      </c>
      <c r="N174" s="322">
        <f t="shared" si="67"/>
        <v>0</v>
      </c>
      <c r="O174" s="322">
        <f t="shared" si="68"/>
        <v>0</v>
      </c>
      <c r="P174" s="322">
        <f t="shared" si="68"/>
        <v>0</v>
      </c>
      <c r="Q174" s="322">
        <f t="shared" si="69"/>
        <v>0</v>
      </c>
      <c r="R174" s="322">
        <f t="shared" si="70"/>
        <v>0</v>
      </c>
      <c r="S174" s="322" t="str">
        <f t="shared" si="71"/>
        <v>X18</v>
      </c>
      <c r="T174" s="322" t="str">
        <f t="shared" si="71"/>
        <v>X19</v>
      </c>
      <c r="AA174" s="316">
        <v>5</v>
      </c>
      <c r="AB174" s="316" t="str">
        <f t="shared" si="72"/>
        <v>22#23</v>
      </c>
      <c r="AC174" s="316" t="str">
        <f t="shared" si="73"/>
        <v>23#22</v>
      </c>
      <c r="AD174" s="316">
        <f>VLOOKUP(AJ174,daten!$G$59:$L$94,5,FALSE)</f>
        <v>22</v>
      </c>
      <c r="AE174" s="316">
        <f>VLOOKUP(AJ174,daten!$G$59:$L$94,6,FALSE)</f>
        <v>23</v>
      </c>
      <c r="AF174" s="316">
        <f t="shared" si="74"/>
        <v>22</v>
      </c>
      <c r="AG174" s="316" t="str">
        <f>VLOOKUP(AJ174,Tippabgabe!$DQ$40:$DW$75,4,FALSE)</f>
        <v/>
      </c>
      <c r="AH174" s="316" t="str">
        <f>VLOOKUP(AJ174,Tippabgabe!$DQ$40:$DW$75,5,FALSE)</f>
        <v/>
      </c>
      <c r="AI174" s="316" t="str">
        <f t="shared" si="75"/>
        <v/>
      </c>
      <c r="AJ174" s="316" t="str">
        <f>AA168&amp;"-"&amp;AA174</f>
        <v>F-5</v>
      </c>
      <c r="AK174" s="322">
        <f t="shared" si="76"/>
        <v>0</v>
      </c>
      <c r="AL174" s="322">
        <f t="shared" si="77"/>
        <v>0</v>
      </c>
      <c r="AM174" s="322">
        <f t="shared" si="78"/>
        <v>0</v>
      </c>
      <c r="AN174" s="322">
        <f t="shared" si="79"/>
        <v>0</v>
      </c>
      <c r="AO174" s="322">
        <f t="shared" si="80"/>
        <v>0</v>
      </c>
      <c r="AP174" s="322">
        <f t="shared" si="80"/>
        <v>0</v>
      </c>
      <c r="AQ174" s="322">
        <f t="shared" si="81"/>
        <v>0</v>
      </c>
      <c r="AR174" s="322">
        <f t="shared" si="82"/>
        <v>0</v>
      </c>
      <c r="AS174" s="322" t="str">
        <f t="shared" si="83"/>
        <v>X22</v>
      </c>
      <c r="AT174" s="322" t="str">
        <f t="shared" si="83"/>
        <v>X23</v>
      </c>
    </row>
    <row r="175" spans="1:46" ht="11.4" x14ac:dyDescent="0.2">
      <c r="A175" s="316">
        <v>6</v>
      </c>
      <c r="B175" s="316" t="str">
        <f t="shared" si="60"/>
        <v>20#17</v>
      </c>
      <c r="C175" s="316" t="str">
        <f t="shared" si="61"/>
        <v>17#20</v>
      </c>
      <c r="D175" s="316">
        <f>VLOOKUP(J175,daten!$G$59:$L$94,5,FALSE)</f>
        <v>20</v>
      </c>
      <c r="E175" s="316">
        <f>VLOOKUP(J175,daten!$G$59:$L$94,6,FALSE)</f>
        <v>17</v>
      </c>
      <c r="F175" s="316">
        <f t="shared" si="62"/>
        <v>20</v>
      </c>
      <c r="G175" s="316" t="str">
        <f>VLOOKUP(J175,Tippabgabe!$DQ$40:$DW$75,4,FALSE)</f>
        <v/>
      </c>
      <c r="H175" s="316" t="str">
        <f>VLOOKUP(J175,Tippabgabe!$DQ$40:$DW$75,5,FALSE)</f>
        <v/>
      </c>
      <c r="I175" s="316" t="str">
        <f t="shared" si="63"/>
        <v/>
      </c>
      <c r="J175" s="316" t="str">
        <f>A168&amp;"-"&amp;A175</f>
        <v>E-6</v>
      </c>
      <c r="K175" s="322">
        <f t="shared" si="64"/>
        <v>0</v>
      </c>
      <c r="L175" s="322">
        <f t="shared" si="65"/>
        <v>0</v>
      </c>
      <c r="M175" s="322">
        <f t="shared" si="66"/>
        <v>0</v>
      </c>
      <c r="N175" s="322">
        <f t="shared" si="67"/>
        <v>0</v>
      </c>
      <c r="O175" s="322">
        <f t="shared" si="68"/>
        <v>0</v>
      </c>
      <c r="P175" s="322">
        <f t="shared" si="68"/>
        <v>0</v>
      </c>
      <c r="Q175" s="322">
        <f t="shared" si="69"/>
        <v>0</v>
      </c>
      <c r="R175" s="322">
        <f t="shared" si="70"/>
        <v>0</v>
      </c>
      <c r="S175" s="322" t="str">
        <f t="shared" si="71"/>
        <v>X20</v>
      </c>
      <c r="T175" s="322" t="str">
        <f t="shared" si="71"/>
        <v>X17</v>
      </c>
      <c r="AA175" s="316">
        <v>6</v>
      </c>
      <c r="AB175" s="316" t="str">
        <f t="shared" si="72"/>
        <v>24#21</v>
      </c>
      <c r="AC175" s="316" t="str">
        <f t="shared" si="73"/>
        <v>21#24</v>
      </c>
      <c r="AD175" s="316">
        <f>VLOOKUP(AJ175,daten!$G$59:$L$94,5,FALSE)</f>
        <v>24</v>
      </c>
      <c r="AE175" s="316">
        <f>VLOOKUP(AJ175,daten!$G$59:$L$94,6,FALSE)</f>
        <v>21</v>
      </c>
      <c r="AF175" s="316">
        <f t="shared" si="74"/>
        <v>24</v>
      </c>
      <c r="AG175" s="316" t="str">
        <f>VLOOKUP(AJ175,Tippabgabe!$DQ$40:$DW$75,4,FALSE)</f>
        <v/>
      </c>
      <c r="AH175" s="316" t="str">
        <f>VLOOKUP(AJ175,Tippabgabe!$DQ$40:$DW$75,5,FALSE)</f>
        <v/>
      </c>
      <c r="AI175" s="316" t="str">
        <f t="shared" si="75"/>
        <v/>
      </c>
      <c r="AJ175" s="316" t="str">
        <f>AA168&amp;"-"&amp;AA175</f>
        <v>F-6</v>
      </c>
      <c r="AK175" s="322">
        <f t="shared" si="76"/>
        <v>0</v>
      </c>
      <c r="AL175" s="322">
        <f t="shared" si="77"/>
        <v>0</v>
      </c>
      <c r="AM175" s="322">
        <f t="shared" si="78"/>
        <v>0</v>
      </c>
      <c r="AN175" s="322">
        <f t="shared" si="79"/>
        <v>0</v>
      </c>
      <c r="AO175" s="322">
        <f t="shared" si="80"/>
        <v>0</v>
      </c>
      <c r="AP175" s="322">
        <f t="shared" si="80"/>
        <v>0</v>
      </c>
      <c r="AQ175" s="322">
        <f t="shared" si="81"/>
        <v>0</v>
      </c>
      <c r="AR175" s="322">
        <f t="shared" si="82"/>
        <v>0</v>
      </c>
      <c r="AS175" s="322" t="str">
        <f t="shared" si="83"/>
        <v>X24</v>
      </c>
      <c r="AT175" s="322" t="str">
        <f t="shared" si="83"/>
        <v>X21</v>
      </c>
    </row>
    <row r="178" spans="1:40" x14ac:dyDescent="0.2">
      <c r="A178" s="322" t="s">
        <v>374</v>
      </c>
      <c r="C178" s="322" t="s">
        <v>988</v>
      </c>
      <c r="D178" s="322" t="s">
        <v>587</v>
      </c>
      <c r="E178" s="322" t="s">
        <v>989</v>
      </c>
      <c r="F178" s="322" t="s">
        <v>990</v>
      </c>
      <c r="G178" s="322" t="s">
        <v>991</v>
      </c>
      <c r="H178" s="322" t="s">
        <v>108</v>
      </c>
      <c r="I178" s="322" t="s">
        <v>992</v>
      </c>
      <c r="K178" s="322" t="s">
        <v>993</v>
      </c>
      <c r="M178" s="322" t="s">
        <v>994</v>
      </c>
      <c r="N178" s="322" t="s">
        <v>992</v>
      </c>
      <c r="AA178" s="322" t="s">
        <v>374</v>
      </c>
      <c r="AC178" s="322" t="s">
        <v>988</v>
      </c>
      <c r="AD178" s="322" t="s">
        <v>587</v>
      </c>
      <c r="AE178" s="322" t="s">
        <v>989</v>
      </c>
      <c r="AF178" s="322" t="s">
        <v>990</v>
      </c>
      <c r="AG178" s="322" t="s">
        <v>991</v>
      </c>
      <c r="AH178" s="322" t="s">
        <v>108</v>
      </c>
      <c r="AI178" s="322" t="s">
        <v>992</v>
      </c>
      <c r="AK178" s="322" t="s">
        <v>993</v>
      </c>
      <c r="AM178" s="322" t="s">
        <v>994</v>
      </c>
      <c r="AN178" s="322" t="s">
        <v>992</v>
      </c>
    </row>
    <row r="179" spans="1:40" x14ac:dyDescent="0.2">
      <c r="A179" s="322">
        <v>1</v>
      </c>
      <c r="C179" s="322">
        <v>17</v>
      </c>
      <c r="D179" s="322">
        <f>SUMIF($D$170:$E$175,"="&amp;C179,$K$170:$L$175)</f>
        <v>0</v>
      </c>
      <c r="E179" s="322">
        <f>SUMIF($D$170:$E$175,"="&amp;$C179,$G$170:$H$175)</f>
        <v>0</v>
      </c>
      <c r="F179" s="322">
        <f>E179-G179</f>
        <v>0</v>
      </c>
      <c r="G179" s="322">
        <f>SUMIF($D$170:$E$175,"="&amp;$C179,$G$170:$H$175)-SUMIF($D$170:$E$175,"="&amp;$C179,$H$170:$I$175)</f>
        <v>0</v>
      </c>
      <c r="H179" s="322" t="str">
        <f>INDEX(teams_k,C179)</f>
        <v>BEL</v>
      </c>
      <c r="I179" s="322">
        <f>RANK(D179,$D$179:$D$182,1)</f>
        <v>1</v>
      </c>
      <c r="L179" s="322">
        <v>1</v>
      </c>
      <c r="M179" s="322">
        <v>1</v>
      </c>
      <c r="N179" s="322">
        <f>RANK(M179,$M$179:$M$182)</f>
        <v>1</v>
      </c>
      <c r="AA179" s="322">
        <v>1</v>
      </c>
      <c r="AC179" s="322">
        <v>21</v>
      </c>
      <c r="AD179" s="322">
        <f>SUMIF($AD$170:$AE$175,"="&amp;AC179,$AK$170:$AL$175)</f>
        <v>0</v>
      </c>
      <c r="AE179" s="322">
        <f>SUMIF($AD$170:$AE$175,"="&amp;$AC179,$AG$170:$AH$175)</f>
        <v>0</v>
      </c>
      <c r="AF179" s="322">
        <f>AE179-AG179</f>
        <v>0</v>
      </c>
      <c r="AG179" s="322">
        <f>SUMIF($AD$170:$AE$175,"="&amp;$AC179,$AG$170:$AH$175)-SUMIF($AD$170:$AE$175,"="&amp;$AC179,$AH$170:$AI$175)</f>
        <v>0</v>
      </c>
      <c r="AH179" s="322" t="str">
        <f>INDEX(teams_k,AC179)</f>
        <v>TUR</v>
      </c>
      <c r="AI179" s="322">
        <f>RANK(AD179,$AD$179:$AD$182,1)</f>
        <v>1</v>
      </c>
      <c r="AL179" s="322">
        <v>1</v>
      </c>
      <c r="AM179" s="322">
        <v>1</v>
      </c>
      <c r="AN179" s="322">
        <f>RANK(AM179,$AM$179:$AM$182)</f>
        <v>1</v>
      </c>
    </row>
    <row r="180" spans="1:40" x14ac:dyDescent="0.2">
      <c r="C180" s="322">
        <v>18</v>
      </c>
      <c r="D180" s="322">
        <f>SUMIF($D$170:$E$175,"="&amp;C180,$K$170:$L$175)</f>
        <v>0</v>
      </c>
      <c r="E180" s="322">
        <f>SUMIF($D$170:$E$175,"="&amp;$C180,$G$170:$H$175)</f>
        <v>0</v>
      </c>
      <c r="F180" s="322">
        <f>E180-G180</f>
        <v>0</v>
      </c>
      <c r="G180" s="322">
        <f>SUMIF($D$170:$E$175,"="&amp;$C180,$G$170:$H$175)-SUMIF($D$170:$E$175,"="&amp;$C180,$H$170:$I$175)</f>
        <v>0</v>
      </c>
      <c r="H180" s="322" t="str">
        <f>INDEX(teams_k,C180)</f>
        <v>SVK</v>
      </c>
      <c r="I180" s="322">
        <f>RANK(D180,$D$179:$D$182,1)</f>
        <v>1</v>
      </c>
      <c r="L180" s="322">
        <v>2</v>
      </c>
      <c r="M180" s="322">
        <v>1</v>
      </c>
      <c r="N180" s="322">
        <f>RANK(M180,$M$179:$M$182)</f>
        <v>1</v>
      </c>
      <c r="AC180" s="322">
        <v>22</v>
      </c>
      <c r="AD180" s="322">
        <f>SUMIF($AD$170:$AE$175,"="&amp;AC180,$AK$170:$AL$175)</f>
        <v>0</v>
      </c>
      <c r="AE180" s="322">
        <f>SUMIF($AD$170:$AE$175,"="&amp;$AC180,$AG$170:$AH$175)</f>
        <v>0</v>
      </c>
      <c r="AF180" s="322">
        <f>AE180-AG180</f>
        <v>0</v>
      </c>
      <c r="AG180" s="322">
        <f>SUMIF($AD$170:$AE$175,"="&amp;$AC180,$AG$170:$AH$175)-SUMIF($AD$170:$AE$175,"="&amp;$AC180,$AH$170:$AI$175)</f>
        <v>0</v>
      </c>
      <c r="AH180" s="322" t="str">
        <f>INDEX(teams_k,AC180)</f>
        <v>GEO</v>
      </c>
      <c r="AI180" s="322">
        <f>RANK(AD180,$AD$179:$AD$182,1)</f>
        <v>1</v>
      </c>
      <c r="AL180" s="322">
        <v>2</v>
      </c>
      <c r="AM180" s="322">
        <v>1</v>
      </c>
      <c r="AN180" s="322">
        <f>RANK(AM180,$AM$179:$AM$182)</f>
        <v>1</v>
      </c>
    </row>
    <row r="181" spans="1:40" x14ac:dyDescent="0.2">
      <c r="C181" s="322">
        <v>19</v>
      </c>
      <c r="D181" s="322">
        <f>SUMIF($D$170:$E$175,"="&amp;C181,$K$170:$L$175)</f>
        <v>0</v>
      </c>
      <c r="E181" s="322">
        <f>SUMIF($D$170:$E$175,"="&amp;$C181,$G$170:$H$175)</f>
        <v>0</v>
      </c>
      <c r="F181" s="322">
        <f>E181-G181</f>
        <v>0</v>
      </c>
      <c r="G181" s="322">
        <f>SUMIF($D$170:$E$175,"="&amp;$C181,$G$170:$H$175)-SUMIF($D$170:$E$175,"="&amp;$C181,$H$170:$I$175)</f>
        <v>0</v>
      </c>
      <c r="H181" s="322" t="str">
        <f>INDEX(teams_k,C181)</f>
        <v>ROM</v>
      </c>
      <c r="I181" s="322">
        <f>RANK(D181,$D$179:$D$182,1)</f>
        <v>1</v>
      </c>
      <c r="L181" s="322">
        <v>3</v>
      </c>
      <c r="M181" s="322">
        <v>1</v>
      </c>
      <c r="N181" s="322">
        <f>RANK(M181,$M$179:$M$182)</f>
        <v>1</v>
      </c>
      <c r="AC181" s="322">
        <v>23</v>
      </c>
      <c r="AD181" s="322">
        <f>SUMIF($AD$170:$AE$175,"="&amp;AC181,$AK$170:$AL$175)</f>
        <v>0</v>
      </c>
      <c r="AE181" s="322">
        <f>SUMIF($AD$170:$AE$175,"="&amp;$AC181,$AG$170:$AH$175)</f>
        <v>0</v>
      </c>
      <c r="AF181" s="322">
        <f>AE181-AG181</f>
        <v>0</v>
      </c>
      <c r="AG181" s="322">
        <f>SUMIF($AD$170:$AE$175,"="&amp;$AC181,$AG$170:$AH$175)-SUMIF($AD$170:$AE$175,"="&amp;$AC181,$AH$170:$AI$175)</f>
        <v>0</v>
      </c>
      <c r="AH181" s="322" t="str">
        <f>INDEX(teams_k,AC181)</f>
        <v>POR</v>
      </c>
      <c r="AI181" s="322">
        <f>RANK(AD181,$AD$179:$AD$182,1)</f>
        <v>1</v>
      </c>
      <c r="AL181" s="322">
        <v>3</v>
      </c>
      <c r="AM181" s="322">
        <v>1</v>
      </c>
      <c r="AN181" s="322">
        <f>RANK(AM181,$AM$179:$AM$182)</f>
        <v>1</v>
      </c>
    </row>
    <row r="182" spans="1:40" x14ac:dyDescent="0.2">
      <c r="C182" s="322">
        <v>20</v>
      </c>
      <c r="D182" s="322">
        <f>SUMIF($D$170:$E$175,"="&amp;C182,$K$170:$L$175)</f>
        <v>0</v>
      </c>
      <c r="E182" s="322">
        <f>SUMIF($D$170:$E$175,"="&amp;$C182,$G$170:$H$175)</f>
        <v>0</v>
      </c>
      <c r="F182" s="322">
        <f>E182-G182</f>
        <v>0</v>
      </c>
      <c r="G182" s="322">
        <f>SUMIF($D$170:$E$175,"="&amp;$C182,$G$170:$H$175)-SUMIF($D$170:$E$175,"="&amp;$C182,$H$170:$I$175)</f>
        <v>0</v>
      </c>
      <c r="H182" s="322" t="str">
        <f>INDEX(teams_k,C182)</f>
        <v>UKR</v>
      </c>
      <c r="I182" s="322">
        <f>RANK(D182,$D$179:$D$182,1)</f>
        <v>1</v>
      </c>
      <c r="L182" s="322">
        <v>4</v>
      </c>
      <c r="M182" s="322">
        <v>1</v>
      </c>
      <c r="N182" s="322">
        <f>RANK(M182,$M$179:$M$182)</f>
        <v>1</v>
      </c>
      <c r="AC182" s="322">
        <v>24</v>
      </c>
      <c r="AD182" s="322">
        <f>SUMIF($AD$170:$AE$175,"="&amp;AC182,$AK$170:$AL$175)</f>
        <v>0</v>
      </c>
      <c r="AE182" s="322">
        <f>SUMIF($AD$170:$AE$175,"="&amp;$AC182,$AG$170:$AH$175)</f>
        <v>0</v>
      </c>
      <c r="AF182" s="322">
        <f>AE182-AG182</f>
        <v>0</v>
      </c>
      <c r="AG182" s="322">
        <f>SUMIF($AD$170:$AE$175,"="&amp;$AC182,$AG$170:$AH$175)-SUMIF($AD$170:$AE$175,"="&amp;$AC182,$AH$170:$AI$175)</f>
        <v>0</v>
      </c>
      <c r="AH182" s="322" t="str">
        <f>INDEX(teams_k,AC182)</f>
        <v>CZE</v>
      </c>
      <c r="AI182" s="322">
        <f>RANK(AD182,$AD$179:$AD$182,1)</f>
        <v>1</v>
      </c>
      <c r="AL182" s="322">
        <v>4</v>
      </c>
      <c r="AM182" s="322">
        <v>1</v>
      </c>
      <c r="AN182" s="322">
        <f>RANK(AM182,$AM$179:$AM$182)</f>
        <v>1</v>
      </c>
    </row>
    <row r="184" spans="1:40" x14ac:dyDescent="0.2">
      <c r="B184" s="322" t="s">
        <v>995</v>
      </c>
      <c r="D184" s="322">
        <f>B186</f>
        <v>17</v>
      </c>
      <c r="E184" s="322">
        <f>B187</f>
        <v>18</v>
      </c>
      <c r="F184" s="322">
        <f>B188</f>
        <v>19</v>
      </c>
      <c r="G184" s="322">
        <f>B189</f>
        <v>20</v>
      </c>
      <c r="AB184" s="322" t="s">
        <v>995</v>
      </c>
      <c r="AD184" s="322">
        <f>AB186</f>
        <v>21</v>
      </c>
      <c r="AE184" s="322">
        <f>AB187</f>
        <v>22</v>
      </c>
      <c r="AF184" s="322">
        <f>AB188</f>
        <v>23</v>
      </c>
      <c r="AG184" s="322">
        <f>AB189</f>
        <v>24</v>
      </c>
    </row>
    <row r="185" spans="1:40" x14ac:dyDescent="0.2">
      <c r="B185" s="322" t="s">
        <v>996</v>
      </c>
      <c r="C185" s="322" t="s">
        <v>975</v>
      </c>
      <c r="D185" s="322">
        <f>C186</f>
        <v>1</v>
      </c>
      <c r="E185" s="322">
        <f>C187</f>
        <v>2</v>
      </c>
      <c r="F185" s="322">
        <f>C188</f>
        <v>3</v>
      </c>
      <c r="G185" s="322">
        <f>C189</f>
        <v>4</v>
      </c>
      <c r="I185" s="322" t="s">
        <v>997</v>
      </c>
      <c r="AB185" s="322" t="s">
        <v>996</v>
      </c>
      <c r="AC185" s="322" t="s">
        <v>975</v>
      </c>
      <c r="AD185" s="322">
        <f>AC186</f>
        <v>1</v>
      </c>
      <c r="AE185" s="322">
        <f>AC187</f>
        <v>2</v>
      </c>
      <c r="AF185" s="322">
        <f>AC188</f>
        <v>3</v>
      </c>
      <c r="AG185" s="322">
        <f>AC189</f>
        <v>4</v>
      </c>
      <c r="AI185" s="322" t="s">
        <v>997</v>
      </c>
    </row>
    <row r="186" spans="1:40" x14ac:dyDescent="0.2">
      <c r="B186" s="322">
        <f>INDEX($C$179:$C$182,C186)</f>
        <v>17</v>
      </c>
      <c r="C186" s="322">
        <v>1</v>
      </c>
      <c r="D186" s="322">
        <f t="shared" ref="D186:G189" si="84">IF(INDEX($I$179:$I$182,$C186)&lt;&gt;INDEX($I$179:$I$182,D$185),0,SUMIF($B$170:$C$175,"="&amp;$B186&amp;"#"&amp;D$184,$O$170:$P$175))</f>
        <v>0</v>
      </c>
      <c r="E186" s="322">
        <f t="shared" si="84"/>
        <v>0</v>
      </c>
      <c r="F186" s="322">
        <f t="shared" si="84"/>
        <v>0</v>
      </c>
      <c r="G186" s="322">
        <f t="shared" si="84"/>
        <v>0</v>
      </c>
      <c r="H186" s="322">
        <f>SUM(D186:G186)</f>
        <v>0</v>
      </c>
      <c r="I186" s="322">
        <f>RANK(H186,$H$186:$H$189,1)</f>
        <v>1</v>
      </c>
      <c r="AB186" s="322">
        <f>INDEX($AC$179:$AC$182,AC186)</f>
        <v>21</v>
      </c>
      <c r="AC186" s="322">
        <v>1</v>
      </c>
      <c r="AD186" s="322">
        <f t="shared" ref="AD186:AG189" si="85">IF(INDEX($AI$179:$AI$182,$AC186)&lt;&gt;INDEX($AI$179:$AI$182,AD$185),0,SUMIF($AB$170:$AC$175,"="&amp;$AB186&amp;"#"&amp;AD$184,$AO$170:$AP$175))</f>
        <v>0</v>
      </c>
      <c r="AE186" s="322">
        <f t="shared" si="85"/>
        <v>0</v>
      </c>
      <c r="AF186" s="322">
        <f t="shared" si="85"/>
        <v>0</v>
      </c>
      <c r="AG186" s="322">
        <f t="shared" si="85"/>
        <v>0</v>
      </c>
      <c r="AH186" s="322">
        <f>SUM(AD186:AG186)</f>
        <v>0</v>
      </c>
      <c r="AI186" s="322">
        <f>RANK(AH186,$AH$186:$AH$189,1)</f>
        <v>1</v>
      </c>
    </row>
    <row r="187" spans="1:40" x14ac:dyDescent="0.2">
      <c r="B187" s="322">
        <f>INDEX($C$179:$C$182,C187)</f>
        <v>18</v>
      </c>
      <c r="C187" s="322">
        <v>2</v>
      </c>
      <c r="D187" s="322">
        <f t="shared" si="84"/>
        <v>0</v>
      </c>
      <c r="E187" s="322">
        <f t="shared" si="84"/>
        <v>0</v>
      </c>
      <c r="F187" s="322">
        <f t="shared" si="84"/>
        <v>0</v>
      </c>
      <c r="G187" s="322">
        <f t="shared" si="84"/>
        <v>0</v>
      </c>
      <c r="H187" s="322">
        <f>SUM(D187:G187)</f>
        <v>0</v>
      </c>
      <c r="I187" s="322">
        <f>RANK(H187,$H$186:$H$189,1)</f>
        <v>1</v>
      </c>
      <c r="AB187" s="322">
        <f>INDEX($AC$179:$AC$182,AC187)</f>
        <v>22</v>
      </c>
      <c r="AC187" s="322">
        <v>2</v>
      </c>
      <c r="AD187" s="322">
        <f t="shared" si="85"/>
        <v>0</v>
      </c>
      <c r="AE187" s="322">
        <f t="shared" si="85"/>
        <v>0</v>
      </c>
      <c r="AF187" s="322">
        <f t="shared" si="85"/>
        <v>0</v>
      </c>
      <c r="AG187" s="322">
        <f t="shared" si="85"/>
        <v>0</v>
      </c>
      <c r="AH187" s="322">
        <f>SUM(AD187:AG187)</f>
        <v>0</v>
      </c>
      <c r="AI187" s="322">
        <f>RANK(AH187,$AH$186:$AH$189,1)</f>
        <v>1</v>
      </c>
    </row>
    <row r="188" spans="1:40" x14ac:dyDescent="0.2">
      <c r="B188" s="322">
        <f>INDEX($C$179:$C$182,C188)</f>
        <v>19</v>
      </c>
      <c r="C188" s="322">
        <v>3</v>
      </c>
      <c r="D188" s="322">
        <f t="shared" si="84"/>
        <v>0</v>
      </c>
      <c r="E188" s="322">
        <f t="shared" si="84"/>
        <v>0</v>
      </c>
      <c r="F188" s="322">
        <f t="shared" si="84"/>
        <v>0</v>
      </c>
      <c r="G188" s="322">
        <f t="shared" si="84"/>
        <v>0</v>
      </c>
      <c r="H188" s="322">
        <f>SUM(D188:G188)</f>
        <v>0</v>
      </c>
      <c r="I188" s="322">
        <f>RANK(H188,$H$186:$H$189,1)</f>
        <v>1</v>
      </c>
      <c r="AB188" s="322">
        <f>INDEX($AC$179:$AC$182,AC188)</f>
        <v>23</v>
      </c>
      <c r="AC188" s="322">
        <v>3</v>
      </c>
      <c r="AD188" s="322">
        <f t="shared" si="85"/>
        <v>0</v>
      </c>
      <c r="AE188" s="322">
        <f t="shared" si="85"/>
        <v>0</v>
      </c>
      <c r="AF188" s="322">
        <f t="shared" si="85"/>
        <v>0</v>
      </c>
      <c r="AG188" s="322">
        <f t="shared" si="85"/>
        <v>0</v>
      </c>
      <c r="AH188" s="322">
        <f>SUM(AD188:AG188)</f>
        <v>0</v>
      </c>
      <c r="AI188" s="322">
        <f>RANK(AH188,$AH$186:$AH$189,1)</f>
        <v>1</v>
      </c>
    </row>
    <row r="189" spans="1:40" x14ac:dyDescent="0.2">
      <c r="B189" s="322">
        <f>INDEX($C$179:$C$182,C189)</f>
        <v>20</v>
      </c>
      <c r="C189" s="322">
        <v>4</v>
      </c>
      <c r="D189" s="322">
        <f t="shared" si="84"/>
        <v>0</v>
      </c>
      <c r="E189" s="322">
        <f t="shared" si="84"/>
        <v>0</v>
      </c>
      <c r="F189" s="322">
        <f t="shared" si="84"/>
        <v>0</v>
      </c>
      <c r="G189" s="322">
        <f t="shared" si="84"/>
        <v>0</v>
      </c>
      <c r="H189" s="322">
        <f>SUM(D189:G189)</f>
        <v>0</v>
      </c>
      <c r="I189" s="322">
        <f>RANK(H189,$H$186:$H$189,1)</f>
        <v>1</v>
      </c>
      <c r="AB189" s="322">
        <f>INDEX($AC$179:$AC$182,AC189)</f>
        <v>24</v>
      </c>
      <c r="AC189" s="322">
        <v>4</v>
      </c>
      <c r="AD189" s="322">
        <f t="shared" si="85"/>
        <v>0</v>
      </c>
      <c r="AE189" s="322">
        <f t="shared" si="85"/>
        <v>0</v>
      </c>
      <c r="AF189" s="322">
        <f t="shared" si="85"/>
        <v>0</v>
      </c>
      <c r="AG189" s="322">
        <f t="shared" si="85"/>
        <v>0</v>
      </c>
      <c r="AH189" s="322">
        <f>SUM(AD189:AG189)</f>
        <v>0</v>
      </c>
      <c r="AI189" s="322">
        <f>RANK(AH189,$AH$186:$AH$189,1)</f>
        <v>1</v>
      </c>
    </row>
    <row r="191" spans="1:40" x14ac:dyDescent="0.2">
      <c r="B191" s="322" t="s">
        <v>998</v>
      </c>
      <c r="C191" s="322" t="s">
        <v>975</v>
      </c>
      <c r="D191" s="322">
        <f>C192</f>
        <v>1</v>
      </c>
      <c r="E191" s="322">
        <f>C193</f>
        <v>2</v>
      </c>
      <c r="F191" s="322">
        <f>C194</f>
        <v>3</v>
      </c>
      <c r="G191" s="322">
        <f>C195</f>
        <v>4</v>
      </c>
      <c r="I191" s="322" t="s">
        <v>997</v>
      </c>
      <c r="AB191" s="322" t="s">
        <v>998</v>
      </c>
      <c r="AC191" s="322" t="s">
        <v>975</v>
      </c>
      <c r="AD191" s="322">
        <f>AC192</f>
        <v>1</v>
      </c>
      <c r="AE191" s="322">
        <f>AC193</f>
        <v>2</v>
      </c>
      <c r="AF191" s="322">
        <f>AC194</f>
        <v>3</v>
      </c>
      <c r="AG191" s="322">
        <f>AC195</f>
        <v>4</v>
      </c>
      <c r="AI191" s="322" t="s">
        <v>997</v>
      </c>
    </row>
    <row r="192" spans="1:40" x14ac:dyDescent="0.2">
      <c r="B192" s="322">
        <f>B186</f>
        <v>17</v>
      </c>
      <c r="C192" s="322">
        <v>1</v>
      </c>
      <c r="D192" s="322">
        <f t="shared" ref="D192:G195" si="86">IF(D186=0,0,IF(INDEX($I$186:$I$189,$C186)&lt;&gt;INDEX($I$186:$I$189,D$185),0,SUMIF($B$170:$C$175,"="&amp;$B186&amp;"#"&amp;D$184,$K$170:$L$175)*1000+SUMIF($B$170:$C$175,"="&amp;$B186&amp;"#"&amp;D$184,$M$170:$N$175)+SUMIF($B$170:$C$175,"="&amp;$B186&amp;"#"&amp;D$184,$G$170:$H$175)/1000))</f>
        <v>0</v>
      </c>
      <c r="E192" s="322">
        <f t="shared" si="86"/>
        <v>0</v>
      </c>
      <c r="F192" s="322">
        <f t="shared" si="86"/>
        <v>0</v>
      </c>
      <c r="G192" s="322">
        <f t="shared" si="86"/>
        <v>0</v>
      </c>
      <c r="H192" s="322">
        <f>SUM(D192:G192)</f>
        <v>0</v>
      </c>
      <c r="I192" s="322">
        <f>RANK(H192,$H$192:$H$195,1)</f>
        <v>1</v>
      </c>
      <c r="AB192" s="322">
        <f>AB186</f>
        <v>21</v>
      </c>
      <c r="AC192" s="322">
        <v>1</v>
      </c>
      <c r="AD192" s="322">
        <f t="shared" ref="AD192:AG195" si="87">IF(AD186=0,0,IF(INDEX($AI$186:$AI$189,$AC186)&lt;&gt;INDEX($AI$186:$AI$189,AD$185),0,SUMIF($AB$170:$AC$175,"="&amp;$AB186&amp;"#"&amp;AD$184,$AK$170:$AL$175)*1000+SUMIF($AB$170:$AC$175,"="&amp;$AB186&amp;"#"&amp;AD$184,$AM$170:$AN$175)+SUMIF($AB$170:$AC$175,"="&amp;$AB186&amp;"#"&amp;AD$184,$AG$170:$AH$175)/1000))</f>
        <v>0</v>
      </c>
      <c r="AE192" s="322">
        <f t="shared" si="87"/>
        <v>0</v>
      </c>
      <c r="AF192" s="322">
        <f t="shared" si="87"/>
        <v>0</v>
      </c>
      <c r="AG192" s="322">
        <f t="shared" si="87"/>
        <v>0</v>
      </c>
      <c r="AH192" s="322">
        <f>SUM(AD192:AG192)</f>
        <v>0</v>
      </c>
      <c r="AI192" s="322">
        <f>RANK(AH192,$AH$192:$AH$195,1)</f>
        <v>1</v>
      </c>
    </row>
    <row r="193" spans="2:40" x14ac:dyDescent="0.2">
      <c r="B193" s="322">
        <f>B187</f>
        <v>18</v>
      </c>
      <c r="C193" s="322">
        <v>2</v>
      </c>
      <c r="D193" s="322">
        <f t="shared" si="86"/>
        <v>0</v>
      </c>
      <c r="E193" s="322">
        <f t="shared" si="86"/>
        <v>0</v>
      </c>
      <c r="F193" s="322">
        <f t="shared" si="86"/>
        <v>0</v>
      </c>
      <c r="G193" s="322">
        <f t="shared" si="86"/>
        <v>0</v>
      </c>
      <c r="H193" s="322">
        <f>SUM(D193:G193)</f>
        <v>0</v>
      </c>
      <c r="I193" s="322">
        <f>RANK(H193,$H$192:$H$195,1)</f>
        <v>1</v>
      </c>
      <c r="AB193" s="322">
        <f>AB187</f>
        <v>22</v>
      </c>
      <c r="AC193" s="322">
        <v>2</v>
      </c>
      <c r="AD193" s="322">
        <f t="shared" si="87"/>
        <v>0</v>
      </c>
      <c r="AE193" s="322">
        <f t="shared" si="87"/>
        <v>0</v>
      </c>
      <c r="AF193" s="322">
        <f t="shared" si="87"/>
        <v>0</v>
      </c>
      <c r="AG193" s="322">
        <f t="shared" si="87"/>
        <v>0</v>
      </c>
      <c r="AH193" s="322">
        <f>SUM(AD193:AG193)</f>
        <v>0</v>
      </c>
      <c r="AI193" s="322">
        <f>RANK(AH193,$AH$192:$AH$195,1)</f>
        <v>1</v>
      </c>
    </row>
    <row r="194" spans="2:40" x14ac:dyDescent="0.2">
      <c r="B194" s="322">
        <f>B188</f>
        <v>19</v>
      </c>
      <c r="C194" s="322">
        <v>3</v>
      </c>
      <c r="D194" s="322">
        <f t="shared" si="86"/>
        <v>0</v>
      </c>
      <c r="E194" s="322">
        <f t="shared" si="86"/>
        <v>0</v>
      </c>
      <c r="F194" s="322">
        <f t="shared" si="86"/>
        <v>0</v>
      </c>
      <c r="G194" s="322">
        <f t="shared" si="86"/>
        <v>0</v>
      </c>
      <c r="H194" s="322">
        <f>SUM(D194:G194)</f>
        <v>0</v>
      </c>
      <c r="I194" s="322">
        <f>RANK(H194,$H$192:$H$195,1)</f>
        <v>1</v>
      </c>
      <c r="AB194" s="322">
        <f>AB188</f>
        <v>23</v>
      </c>
      <c r="AC194" s="322">
        <v>3</v>
      </c>
      <c r="AD194" s="322">
        <f t="shared" si="87"/>
        <v>0</v>
      </c>
      <c r="AE194" s="322">
        <f t="shared" si="87"/>
        <v>0</v>
      </c>
      <c r="AF194" s="322">
        <f t="shared" si="87"/>
        <v>0</v>
      </c>
      <c r="AG194" s="322">
        <f t="shared" si="87"/>
        <v>0</v>
      </c>
      <c r="AH194" s="322">
        <f>SUM(AD194:AG194)</f>
        <v>0</v>
      </c>
      <c r="AI194" s="322">
        <f>RANK(AH194,$AH$192:$AH$195,1)</f>
        <v>1</v>
      </c>
    </row>
    <row r="195" spans="2:40" x14ac:dyDescent="0.2">
      <c r="B195" s="322">
        <f>B189</f>
        <v>20</v>
      </c>
      <c r="C195" s="322">
        <v>4</v>
      </c>
      <c r="D195" s="322">
        <f t="shared" si="86"/>
        <v>0</v>
      </c>
      <c r="E195" s="322">
        <f t="shared" si="86"/>
        <v>0</v>
      </c>
      <c r="F195" s="322">
        <f t="shared" si="86"/>
        <v>0</v>
      </c>
      <c r="G195" s="322">
        <f t="shared" si="86"/>
        <v>0</v>
      </c>
      <c r="H195" s="322">
        <f>SUM(D195:G195)</f>
        <v>0</v>
      </c>
      <c r="I195" s="322">
        <f>RANK(H195,$H$192:$H$195,1)</f>
        <v>1</v>
      </c>
      <c r="AB195" s="322">
        <f>AB189</f>
        <v>24</v>
      </c>
      <c r="AC195" s="322">
        <v>4</v>
      </c>
      <c r="AD195" s="322">
        <f t="shared" si="87"/>
        <v>0</v>
      </c>
      <c r="AE195" s="322">
        <f t="shared" si="87"/>
        <v>0</v>
      </c>
      <c r="AF195" s="322">
        <f t="shared" si="87"/>
        <v>0</v>
      </c>
      <c r="AG195" s="322">
        <f t="shared" si="87"/>
        <v>0</v>
      </c>
      <c r="AH195" s="322">
        <f>SUM(AD195:AG195)</f>
        <v>0</v>
      </c>
      <c r="AI195" s="322">
        <f>RANK(AH195,$AH$192:$AH$195,1)</f>
        <v>1</v>
      </c>
    </row>
    <row r="197" spans="2:40" x14ac:dyDescent="0.2">
      <c r="C197" s="322" t="s">
        <v>975</v>
      </c>
      <c r="D197" s="322" t="s">
        <v>992</v>
      </c>
      <c r="H197" s="322" t="s">
        <v>992</v>
      </c>
      <c r="AC197" s="322" t="s">
        <v>975</v>
      </c>
      <c r="AD197" s="322" t="s">
        <v>992</v>
      </c>
      <c r="AH197" s="322" t="s">
        <v>992</v>
      </c>
    </row>
    <row r="198" spans="2:40" x14ac:dyDescent="0.2">
      <c r="B198" s="322" t="s">
        <v>999</v>
      </c>
      <c r="C198" s="322">
        <v>1</v>
      </c>
      <c r="D198" s="322">
        <f>RANK(G179,$G$179:$G$182,1)</f>
        <v>1</v>
      </c>
      <c r="F198" s="322" t="s">
        <v>585</v>
      </c>
      <c r="G198" s="322">
        <v>1</v>
      </c>
      <c r="H198" s="322">
        <f>RANK(E179,$E$179:$E$182,1)</f>
        <v>1</v>
      </c>
      <c r="AB198" s="322" t="s">
        <v>999</v>
      </c>
      <c r="AC198" s="322">
        <v>1</v>
      </c>
      <c r="AD198" s="322">
        <f>RANK(AG179,$AG$179:$AG$182,1)</f>
        <v>1</v>
      </c>
      <c r="AF198" s="322" t="s">
        <v>585</v>
      </c>
      <c r="AG198" s="322">
        <v>1</v>
      </c>
      <c r="AH198" s="322">
        <f>RANK(AE179,$AE$179:$AE$182,1)</f>
        <v>1</v>
      </c>
    </row>
    <row r="199" spans="2:40" x14ac:dyDescent="0.2">
      <c r="C199" s="322">
        <v>2</v>
      </c>
      <c r="D199" s="322">
        <f>RANK(G180,$G$179:$G$182,1)</f>
        <v>1</v>
      </c>
      <c r="G199" s="322">
        <v>2</v>
      </c>
      <c r="H199" s="322">
        <f>RANK(E180,$E$179:$E$182,1)</f>
        <v>1</v>
      </c>
      <c r="AC199" s="322">
        <v>2</v>
      </c>
      <c r="AD199" s="322">
        <f>RANK(AG180,$AG$179:$AG$182,1)</f>
        <v>1</v>
      </c>
      <c r="AG199" s="322">
        <v>2</v>
      </c>
      <c r="AH199" s="322">
        <f>RANK(AE180,$AE$179:$AE$182,1)</f>
        <v>1</v>
      </c>
    </row>
    <row r="200" spans="2:40" x14ac:dyDescent="0.2">
      <c r="C200" s="322">
        <v>3</v>
      </c>
      <c r="D200" s="322">
        <f>RANK(G181,$G$179:$G$182,1)</f>
        <v>1</v>
      </c>
      <c r="G200" s="322">
        <v>3</v>
      </c>
      <c r="H200" s="322">
        <f>RANK(E181,$E$179:$E$182,1)</f>
        <v>1</v>
      </c>
      <c r="AC200" s="322">
        <v>3</v>
      </c>
      <c r="AD200" s="322">
        <f>RANK(AG181,$AG$179:$AG$182,1)</f>
        <v>1</v>
      </c>
      <c r="AG200" s="322">
        <v>3</v>
      </c>
      <c r="AH200" s="322">
        <f>RANK(AE181,$AE$179:$AE$182,1)</f>
        <v>1</v>
      </c>
    </row>
    <row r="201" spans="2:40" x14ac:dyDescent="0.2">
      <c r="C201" s="322">
        <v>4</v>
      </c>
      <c r="D201" s="322">
        <f>RANK(G182,$G$179:$G$182,1)</f>
        <v>1</v>
      </c>
      <c r="G201" s="322">
        <v>4</v>
      </c>
      <c r="H201" s="322">
        <f>RANK(E182,$E$179:$E$182,1)</f>
        <v>1</v>
      </c>
      <c r="AC201" s="322">
        <v>4</v>
      </c>
      <c r="AD201" s="322">
        <f>RANK(AG182,$AG$179:$AG$182,1)</f>
        <v>1</v>
      </c>
      <c r="AG201" s="322">
        <v>4</v>
      </c>
      <c r="AH201" s="322">
        <f>RANK(AE182,$AE$179:$AE$182,1)</f>
        <v>1</v>
      </c>
    </row>
    <row r="203" spans="2:40" x14ac:dyDescent="0.2">
      <c r="I203" s="322" t="s">
        <v>374</v>
      </c>
      <c r="AI203" s="322" t="s">
        <v>374</v>
      </c>
    </row>
    <row r="204" spans="2:40" x14ac:dyDescent="0.2">
      <c r="C204" s="322" t="s">
        <v>975</v>
      </c>
      <c r="E204" s="322" t="s">
        <v>992</v>
      </c>
      <c r="F204" s="322" t="s">
        <v>994</v>
      </c>
      <c r="H204" s="322" t="s">
        <v>1000</v>
      </c>
      <c r="I204" s="322">
        <v>1</v>
      </c>
      <c r="J204" s="322">
        <v>2</v>
      </c>
      <c r="K204" s="322" t="s">
        <v>1001</v>
      </c>
      <c r="M204" s="322" t="s">
        <v>1002</v>
      </c>
      <c r="AC204" s="322" t="s">
        <v>975</v>
      </c>
      <c r="AE204" s="322" t="s">
        <v>992</v>
      </c>
      <c r="AF204" s="322" t="s">
        <v>994</v>
      </c>
      <c r="AH204" s="322" t="s">
        <v>1000</v>
      </c>
      <c r="AI204" s="322">
        <v>1</v>
      </c>
      <c r="AJ204" s="322">
        <v>2</v>
      </c>
      <c r="AK204" s="322" t="s">
        <v>1001</v>
      </c>
      <c r="AM204" s="322" t="s">
        <v>1002</v>
      </c>
    </row>
    <row r="205" spans="2:40" x14ac:dyDescent="0.2">
      <c r="B205" s="322" t="s">
        <v>1003</v>
      </c>
      <c r="C205" s="322">
        <v>1</v>
      </c>
      <c r="D205" s="322">
        <f>I179*$K$205+I186*$K$206+I192*$K$207+D198*$K$208+H198*$K$209</f>
        <v>1010101.01</v>
      </c>
      <c r="E205" s="322">
        <f>RANK(D205,$D$205:$D$208,1)</f>
        <v>1</v>
      </c>
      <c r="F205" s="322">
        <f>RANK(D205,$D$205:$D$208)</f>
        <v>1</v>
      </c>
      <c r="H205" s="322" t="s">
        <v>974</v>
      </c>
      <c r="I205" s="322">
        <v>1</v>
      </c>
      <c r="J205" s="322">
        <v>1</v>
      </c>
      <c r="K205" s="322">
        <f>INDEX($N$205:$N$209,INDEX(I205:J205,$A$179))</f>
        <v>1000000</v>
      </c>
      <c r="M205" s="322">
        <v>1</v>
      </c>
      <c r="N205" s="322">
        <v>1000000</v>
      </c>
      <c r="AB205" s="322" t="s">
        <v>1003</v>
      </c>
      <c r="AC205" s="322">
        <v>1</v>
      </c>
      <c r="AD205" s="322">
        <f>AI179*$AK$205+AI186*$AK$206+AI192*$AK$207+AD198*$AK$208+AH198*$AK$209</f>
        <v>1010101.01</v>
      </c>
      <c r="AE205" s="322">
        <f>RANK(AD205,$AD$205:$AD$208,1)</f>
        <v>1</v>
      </c>
      <c r="AF205" s="322">
        <f>RANK(AD205,$AD$205:$AD$208)</f>
        <v>1</v>
      </c>
      <c r="AH205" s="322" t="s">
        <v>974</v>
      </c>
      <c r="AI205" s="322">
        <v>1</v>
      </c>
      <c r="AJ205" s="322">
        <v>1</v>
      </c>
      <c r="AK205" s="322">
        <f>INDEX($AN$205:$AN$209,INDEX(AI205:AJ205,$AA$179))</f>
        <v>1000000</v>
      </c>
      <c r="AM205" s="322">
        <v>1</v>
      </c>
      <c r="AN205" s="322">
        <v>1000000</v>
      </c>
    </row>
    <row r="206" spans="2:40" x14ac:dyDescent="0.2">
      <c r="C206" s="322">
        <v>2</v>
      </c>
      <c r="D206" s="322">
        <f>I180*$K$205+I187*$K$206+I193*$K$207+D199*$K$208+H199*$K$209</f>
        <v>1010101.01</v>
      </c>
      <c r="E206" s="322">
        <f>RANK(D206,$D$205:$D$208,1)</f>
        <v>1</v>
      </c>
      <c r="F206" s="322">
        <f>RANK(D206,$D$205:$D$208)</f>
        <v>1</v>
      </c>
      <c r="H206" s="322" t="s">
        <v>995</v>
      </c>
      <c r="I206" s="322">
        <v>2</v>
      </c>
      <c r="J206" s="322">
        <v>4</v>
      </c>
      <c r="K206" s="322">
        <f>INDEX($N$205:$N$209,INDEX(I206:J206,$A$179))</f>
        <v>10000</v>
      </c>
      <c r="M206" s="322">
        <v>2</v>
      </c>
      <c r="N206" s="322">
        <v>10000</v>
      </c>
      <c r="AC206" s="322">
        <v>2</v>
      </c>
      <c r="AD206" s="322">
        <f>AI180*$AK$205+AI187*$AK$206+AI193*$AK$207+AD199*$AK$208+AH199*$AK$209</f>
        <v>1010101.01</v>
      </c>
      <c r="AE206" s="322">
        <f>RANK(AD206,$AD$205:$AD$208,1)</f>
        <v>1</v>
      </c>
      <c r="AF206" s="322">
        <f>RANK(AD206,$AD$205:$AD$208)</f>
        <v>1</v>
      </c>
      <c r="AH206" s="322" t="s">
        <v>995</v>
      </c>
      <c r="AI206" s="322">
        <v>2</v>
      </c>
      <c r="AJ206" s="322">
        <v>4</v>
      </c>
      <c r="AK206" s="322">
        <f>INDEX($AN$205:$AN$209,INDEX(AI206:AJ206,$AA$179))</f>
        <v>10000</v>
      </c>
      <c r="AM206" s="322">
        <v>2</v>
      </c>
      <c r="AN206" s="322">
        <v>10000</v>
      </c>
    </row>
    <row r="207" spans="2:40" x14ac:dyDescent="0.2">
      <c r="C207" s="322">
        <v>3</v>
      </c>
      <c r="D207" s="322">
        <f>I181*$K$205+I188*$K$206+I194*$K$207+D200*$K$208+H200*$K$209</f>
        <v>1010101.01</v>
      </c>
      <c r="E207" s="322">
        <f>RANK(D207,$D$205:$D$208,1)</f>
        <v>1</v>
      </c>
      <c r="F207" s="322">
        <f>RANK(D207,$D$205:$D$208)</f>
        <v>1</v>
      </c>
      <c r="H207" s="322" t="s">
        <v>998</v>
      </c>
      <c r="I207" s="322">
        <v>3</v>
      </c>
      <c r="J207" s="322">
        <v>5</v>
      </c>
      <c r="K207" s="322">
        <f>INDEX($N$205:$N$209,INDEX(I207:J207,$A$179))</f>
        <v>100</v>
      </c>
      <c r="M207" s="322">
        <v>3</v>
      </c>
      <c r="N207" s="322">
        <v>100</v>
      </c>
      <c r="AC207" s="322">
        <v>3</v>
      </c>
      <c r="AD207" s="322">
        <f>AI181*$AK$205+AI188*$AK$206+AI194*$AK$207+AD200*$AK$208+AH200*$AK$209</f>
        <v>1010101.01</v>
      </c>
      <c r="AE207" s="322">
        <f>RANK(AD207,$AD$205:$AD$208,1)</f>
        <v>1</v>
      </c>
      <c r="AF207" s="322">
        <f>RANK(AD207,$AD$205:$AD$208)</f>
        <v>1</v>
      </c>
      <c r="AH207" s="322" t="s">
        <v>998</v>
      </c>
      <c r="AI207" s="322">
        <v>3</v>
      </c>
      <c r="AJ207" s="322">
        <v>5</v>
      </c>
      <c r="AK207" s="322">
        <f>INDEX($AN$205:$AN$209,INDEX(AI207:AJ207,$AA$179))</f>
        <v>100</v>
      </c>
      <c r="AM207" s="322">
        <v>3</v>
      </c>
      <c r="AN207" s="322">
        <v>100</v>
      </c>
    </row>
    <row r="208" spans="2:40" x14ac:dyDescent="0.2">
      <c r="C208" s="322">
        <v>4</v>
      </c>
      <c r="D208" s="322">
        <f>I182*$K$205+I189*$K$206+I195*$K$207+D201*$K$208+H201*$K$209</f>
        <v>1010101.01</v>
      </c>
      <c r="E208" s="322">
        <f>RANK(D208,$D$205:$D$208,1)</f>
        <v>1</v>
      </c>
      <c r="F208" s="322">
        <f>RANK(D208,$D$205:$D$208)</f>
        <v>1</v>
      </c>
      <c r="H208" s="322" t="s">
        <v>1004</v>
      </c>
      <c r="I208" s="322">
        <v>4</v>
      </c>
      <c r="J208" s="322">
        <v>2</v>
      </c>
      <c r="K208" s="322">
        <f>INDEX($N$205:$N$209,INDEX(I208:J208,$A$179))</f>
        <v>1</v>
      </c>
      <c r="M208" s="322">
        <v>4</v>
      </c>
      <c r="N208" s="322">
        <v>1</v>
      </c>
      <c r="AC208" s="322">
        <v>4</v>
      </c>
      <c r="AD208" s="322">
        <f>AI182*$AK$205+AI189*$AK$206+AI195*$AK$207+AD201*$AK$208+AH201*$AK$209</f>
        <v>1010101.01</v>
      </c>
      <c r="AE208" s="322">
        <f>RANK(AD208,$AD$205:$AD$208,1)</f>
        <v>1</v>
      </c>
      <c r="AF208" s="322">
        <f>RANK(AD208,$AD$205:$AD$208)</f>
        <v>1</v>
      </c>
      <c r="AH208" s="322" t="s">
        <v>1004</v>
      </c>
      <c r="AI208" s="322">
        <v>4</v>
      </c>
      <c r="AJ208" s="322">
        <v>2</v>
      </c>
      <c r="AK208" s="322">
        <f>INDEX($AN$205:$AN$209,INDEX(AI208:AJ208,$AA$179))</f>
        <v>1</v>
      </c>
      <c r="AM208" s="322">
        <v>4</v>
      </c>
      <c r="AN208" s="322">
        <v>1</v>
      </c>
    </row>
    <row r="209" spans="2:40" x14ac:dyDescent="0.2">
      <c r="H209" s="322" t="s">
        <v>1005</v>
      </c>
      <c r="I209" s="322">
        <v>5</v>
      </c>
      <c r="J209" s="322">
        <v>3</v>
      </c>
      <c r="K209" s="322">
        <f>INDEX($N$205:$N$209,INDEX(I209:J209,$A$179))</f>
        <v>0.01</v>
      </c>
      <c r="M209" s="322">
        <v>5</v>
      </c>
      <c r="N209" s="322">
        <f>1/100</f>
        <v>0.01</v>
      </c>
      <c r="AH209" s="322" t="s">
        <v>1005</v>
      </c>
      <c r="AI209" s="322">
        <v>5</v>
      </c>
      <c r="AJ209" s="322">
        <v>3</v>
      </c>
      <c r="AK209" s="322">
        <f>INDEX($AN$205:$AN$209,INDEX(AI209:AJ209,$AA$179))</f>
        <v>0.01</v>
      </c>
      <c r="AM209" s="322">
        <v>5</v>
      </c>
      <c r="AN209" s="322">
        <f>1/100</f>
        <v>0.01</v>
      </c>
    </row>
    <row r="210" spans="2:40" x14ac:dyDescent="0.2">
      <c r="H210" s="322" t="s">
        <v>1006</v>
      </c>
      <c r="I210" s="322">
        <v>6</v>
      </c>
      <c r="J210" s="322">
        <v>6</v>
      </c>
      <c r="AH210" s="322" t="s">
        <v>1006</v>
      </c>
      <c r="AI210" s="322">
        <v>6</v>
      </c>
      <c r="AJ210" s="322">
        <v>6</v>
      </c>
    </row>
    <row r="211" spans="2:40" x14ac:dyDescent="0.2">
      <c r="B211" s="322" t="s">
        <v>1006</v>
      </c>
      <c r="C211" s="322" t="b">
        <f>A179=1</f>
        <v>1</v>
      </c>
      <c r="D211" s="322" t="s">
        <v>1007</v>
      </c>
      <c r="H211" s="322" t="s">
        <v>993</v>
      </c>
      <c r="I211" s="322">
        <v>7</v>
      </c>
      <c r="J211" s="322">
        <v>7</v>
      </c>
      <c r="AB211" s="322" t="s">
        <v>1006</v>
      </c>
      <c r="AC211" s="322" t="b">
        <f>AA179=1</f>
        <v>1</v>
      </c>
      <c r="AD211" s="322" t="s">
        <v>1007</v>
      </c>
      <c r="AH211" s="322" t="s">
        <v>993</v>
      </c>
      <c r="AI211" s="322">
        <v>7</v>
      </c>
      <c r="AJ211" s="322">
        <v>7</v>
      </c>
    </row>
    <row r="212" spans="2:40" x14ac:dyDescent="0.2">
      <c r="C212" s="322" t="s">
        <v>1008</v>
      </c>
      <c r="D212" s="322" t="s">
        <v>1009</v>
      </c>
      <c r="E212" s="322" t="s">
        <v>1010</v>
      </c>
      <c r="AC212" s="322" t="s">
        <v>1008</v>
      </c>
      <c r="AD212" s="322" t="s">
        <v>1009</v>
      </c>
      <c r="AE212" s="322" t="s">
        <v>1010</v>
      </c>
    </row>
    <row r="213" spans="2:40" x14ac:dyDescent="0.2">
      <c r="B213" s="322" t="s">
        <v>1011</v>
      </c>
      <c r="C213" s="322">
        <f>COUNTIF($F$205:$F$208,"=1")</f>
        <v>4</v>
      </c>
      <c r="D213" s="322">
        <f>COUNTIF($F$205:$F$208,"=2")</f>
        <v>0</v>
      </c>
      <c r="E213" s="322">
        <f>COUNTIF($F$205:$F$208,"=3")</f>
        <v>0</v>
      </c>
      <c r="AB213" s="322" t="s">
        <v>1011</v>
      </c>
      <c r="AC213" s="322">
        <f>COUNTIF($AF$205:$AF$208,"=1")</f>
        <v>4</v>
      </c>
      <c r="AD213" s="322">
        <f>COUNTIF($AF$205:$AF$208,"=2")</f>
        <v>0</v>
      </c>
      <c r="AE213" s="322">
        <f>COUNTIF($AF$205:$AF$208,"=3")</f>
        <v>0</v>
      </c>
    </row>
    <row r="215" spans="2:40" x14ac:dyDescent="0.2">
      <c r="B215" s="322" t="s">
        <v>994</v>
      </c>
      <c r="C215" s="322">
        <f>IF(NOT(C211),0,IF(C213=2,1,IF(D213=2,2,IF(E213=2,3,0))))</f>
        <v>0</v>
      </c>
      <c r="E215" s="322" t="s">
        <v>106</v>
      </c>
      <c r="F215" s="322">
        <f t="array" ref="F215">MIN(IF($F$205:$F$208=$C$215,$C$179:$C$182))</f>
        <v>0</v>
      </c>
      <c r="G215" s="322">
        <f t="array" ref="G215">MAX(IF($F$205:$F$208=C215,$C$179:$C$182))</f>
        <v>0</v>
      </c>
      <c r="I215" s="322" t="s">
        <v>1012</v>
      </c>
      <c r="J215" s="322" t="e">
        <f>IF(ISERROR(F217),G217,F217)</f>
        <v>#N/A</v>
      </c>
      <c r="AB215" s="322" t="s">
        <v>994</v>
      </c>
      <c r="AC215" s="322">
        <f>IF(NOT(AC211),0,IF(AC213=2,1,IF(AD213=2,2,IF(AE213=2,3,0))))</f>
        <v>0</v>
      </c>
      <c r="AE215" s="322" t="s">
        <v>106</v>
      </c>
      <c r="AF215" s="322">
        <f t="array" ref="AF215">MIN(IF($AF$205:$AF$208=$AC$215,$AC$179:$AC$182))</f>
        <v>0</v>
      </c>
      <c r="AG215" s="322">
        <f t="array" ref="AG215">MAX(IF($AF$205:$AF$208=AC215,$AC$179:$AC$182))</f>
        <v>0</v>
      </c>
      <c r="AI215" s="322" t="s">
        <v>1012</v>
      </c>
      <c r="AJ215" s="322" t="e">
        <f>IF(ISERROR(AF217),AG217,AF217)</f>
        <v>#N/A</v>
      </c>
    </row>
    <row r="216" spans="2:40" x14ac:dyDescent="0.2">
      <c r="F216" s="322" t="str">
        <f>F215&amp;"#"&amp;G215</f>
        <v>0#0</v>
      </c>
      <c r="G216" s="322" t="str">
        <f>G215&amp;"#"&amp;F215</f>
        <v>0#0</v>
      </c>
      <c r="AF216" s="322" t="str">
        <f>AF215&amp;"#"&amp;AG215</f>
        <v>0#0</v>
      </c>
      <c r="AG216" s="322" t="str">
        <f>AG215&amp;"#"&amp;AF215</f>
        <v>0#0</v>
      </c>
    </row>
    <row r="217" spans="2:40" x14ac:dyDescent="0.2">
      <c r="F217" s="322" t="e">
        <f>MATCH(F216,$B$170:$B$175,0)</f>
        <v>#N/A</v>
      </c>
      <c r="G217" s="322" t="e">
        <f>MATCH(G216,$B$170:$B$175,0)</f>
        <v>#N/A</v>
      </c>
      <c r="AF217" s="322" t="e">
        <f>MATCH(AF216,$AB$170:$AB$175,0)</f>
        <v>#N/A</v>
      </c>
      <c r="AG217" s="322" t="e">
        <f>MATCH(AG216,$AB$170:$AB$175,0)</f>
        <v>#N/A</v>
      </c>
    </row>
    <row r="220" spans="2:40" x14ac:dyDescent="0.2">
      <c r="B220" s="322" t="s">
        <v>988</v>
      </c>
      <c r="C220" s="322" t="e">
        <f>INDEX(D170:D175,J215)</f>
        <v>#N/A</v>
      </c>
      <c r="D220" s="322" t="e">
        <f>INDEX(E170:E175,J215)</f>
        <v>#N/A</v>
      </c>
      <c r="E220" s="322" t="s">
        <v>1013</v>
      </c>
      <c r="F220" s="322" t="s">
        <v>833</v>
      </c>
      <c r="G220" s="322" t="s">
        <v>1014</v>
      </c>
      <c r="I220" s="322" t="s">
        <v>1015</v>
      </c>
      <c r="J220" s="322" t="str">
        <f>IF(G221=0,"","EMS um Rang " &amp;C215)</f>
        <v/>
      </c>
      <c r="AB220" s="322" t="s">
        <v>988</v>
      </c>
      <c r="AC220" s="322" t="e">
        <f>INDEX(AD170:AD175,AJ215)</f>
        <v>#N/A</v>
      </c>
      <c r="AD220" s="322" t="e">
        <f>INDEX(AE170:AE175,AJ215)</f>
        <v>#N/A</v>
      </c>
      <c r="AE220" s="322" t="s">
        <v>1013</v>
      </c>
      <c r="AF220" s="322" t="s">
        <v>833</v>
      </c>
      <c r="AG220" s="322" t="s">
        <v>1014</v>
      </c>
      <c r="AI220" s="322" t="s">
        <v>1015</v>
      </c>
      <c r="AJ220" s="322" t="str">
        <f>IF(AG221=0,"","EMS um Rang " &amp;AC215)</f>
        <v/>
      </c>
    </row>
    <row r="221" spans="2:40" x14ac:dyDescent="0.2">
      <c r="B221" s="322" t="s">
        <v>974</v>
      </c>
      <c r="C221" s="322" t="e">
        <f>VLOOKUP(C220,$C$179:$D$182,2,FALSE)</f>
        <v>#N/A</v>
      </c>
      <c r="D221" s="322" t="e">
        <f>VLOOKUP(D220,$C$179:$D$182,2,FALSE)</f>
        <v>#N/A</v>
      </c>
      <c r="E221" s="322">
        <f>COUNTIF($D$179:$D$182,"="&amp;D221)</f>
        <v>0</v>
      </c>
      <c r="F221" s="322" t="e">
        <f>INDEX(K170:K175,J215)=1</f>
        <v>#N/A</v>
      </c>
      <c r="G221" s="322">
        <f>IF(C215=0,0,IF(J215&lt;5,0,IF(E221&lt;&gt;2,0,IF(C221&lt;&gt;D221,0,IF(NOT(F221),0,1)))))</f>
        <v>0</v>
      </c>
      <c r="AB221" s="322" t="s">
        <v>974</v>
      </c>
      <c r="AC221" s="322" t="e">
        <f>VLOOKUP(AC220,$AC$179:$AD$182,2,FALSE)</f>
        <v>#N/A</v>
      </c>
      <c r="AD221" s="322" t="e">
        <f>VLOOKUP(AD220,$AC$179:$AD$182,2,FALSE)</f>
        <v>#N/A</v>
      </c>
      <c r="AE221" s="322">
        <f>COUNTIF($AD$179:$AD$182,"="&amp;AD221)</f>
        <v>0</v>
      </c>
      <c r="AF221" s="322" t="e">
        <f>INDEX(AK170:AK175,AJ215)=1</f>
        <v>#N/A</v>
      </c>
      <c r="AG221" s="322">
        <f>IF(AC215=0,0,IF(AJ215&lt;5,0,IF(AE221&lt;&gt;2,0,IF(AC221&lt;&gt;AD221,0,IF(NOT(AF221),0,1)))))</f>
        <v>0</v>
      </c>
    </row>
    <row r="223" spans="2:40" x14ac:dyDescent="0.2">
      <c r="E223" s="523" t="s">
        <v>1016</v>
      </c>
      <c r="F223" s="523"/>
      <c r="AE223" s="523" t="s">
        <v>1016</v>
      </c>
      <c r="AF223" s="523"/>
    </row>
    <row r="224" spans="2:40" x14ac:dyDescent="0.2">
      <c r="B224" s="322" t="s">
        <v>106</v>
      </c>
      <c r="C224" s="322" t="e">
        <f>VLOOKUP(C220,$C$179:$H$182,6,FALSE)</f>
        <v>#N/A</v>
      </c>
      <c r="D224" s="322" t="e">
        <f>VLOOKUP(D220,$C$179:$H$182,6,FALSE)</f>
        <v>#N/A</v>
      </c>
      <c r="AB224" s="322" t="s">
        <v>106</v>
      </c>
      <c r="AC224" s="322" t="e">
        <f>VLOOKUP(AC220,$AC$179:$AH$182,6,FALSE)</f>
        <v>#N/A</v>
      </c>
      <c r="AD224" s="322" t="e">
        <f>VLOOKUP(AD220,$AC$179:$AH$182,6,FALSE)</f>
        <v>#N/A</v>
      </c>
    </row>
    <row r="225" spans="2:36" x14ac:dyDescent="0.2">
      <c r="B225" s="322" t="s">
        <v>975</v>
      </c>
      <c r="C225" s="322" t="e">
        <f>MATCH(C220,$C$179:$C$182,0)</f>
        <v>#N/A</v>
      </c>
      <c r="D225" s="322" t="e">
        <f>MATCH(D220,$C$179:$C$182,0)</f>
        <v>#N/A</v>
      </c>
      <c r="E225" s="322">
        <f>IF(COUNT(E224:F224)&lt;&gt;2,0,IF(E224&gt;F224,1,0))</f>
        <v>0</v>
      </c>
      <c r="F225" s="322">
        <f>IF(COUNT(E224:F224)&lt;&gt;2,0,IF(E224&lt;F224,1,0))</f>
        <v>0</v>
      </c>
      <c r="G225" s="322" t="s">
        <v>1017</v>
      </c>
      <c r="AB225" s="322" t="s">
        <v>975</v>
      </c>
      <c r="AC225" s="322" t="e">
        <f>MATCH(AC220,$AC$179:$AC$182,0)</f>
        <v>#N/A</v>
      </c>
      <c r="AD225" s="322" t="e">
        <f>MATCH(AD220,$AC$179:$AC$182,0)</f>
        <v>#N/A</v>
      </c>
      <c r="AE225" s="322">
        <f>IF(COUNT(AE224:AF224)&lt;&gt;2,0,IF(AE224&gt;AF224,1,0))</f>
        <v>0</v>
      </c>
      <c r="AF225" s="322">
        <f>IF(COUNT(AE224:AF224)&lt;&gt;2,0,IF(AE224&lt;AF224,1,0))</f>
        <v>0</v>
      </c>
      <c r="AG225" s="322" t="s">
        <v>1017</v>
      </c>
    </row>
    <row r="228" spans="2:36" x14ac:dyDescent="0.2">
      <c r="C228" s="322" t="s">
        <v>1018</v>
      </c>
      <c r="AC228" s="322" t="s">
        <v>1018</v>
      </c>
    </row>
    <row r="229" spans="2:36" x14ac:dyDescent="0.2">
      <c r="C229" s="322" t="s">
        <v>1019</v>
      </c>
      <c r="D229" s="322" t="s">
        <v>992</v>
      </c>
      <c r="E229" s="322" t="s">
        <v>994</v>
      </c>
      <c r="F229" s="322" t="s">
        <v>1020</v>
      </c>
      <c r="AC229" s="322" t="s">
        <v>1019</v>
      </c>
      <c r="AD229" s="322" t="s">
        <v>992</v>
      </c>
      <c r="AE229" s="322" t="s">
        <v>994</v>
      </c>
      <c r="AF229" s="322" t="s">
        <v>1020</v>
      </c>
    </row>
    <row r="230" spans="2:36" x14ac:dyDescent="0.2">
      <c r="B230" s="322" t="s">
        <v>1003</v>
      </c>
      <c r="C230" s="322">
        <v>1</v>
      </c>
      <c r="D230" s="322">
        <f>E205+IF($G$221=0,0,SUMIF($C$225:$D$225,"="&amp;C230,$E$225:$F$225)/100)+N179/10000</f>
        <v>1.0001</v>
      </c>
      <c r="E230" s="322">
        <f>RANK(D230,$D$230:$D$233)</f>
        <v>1</v>
      </c>
      <c r="F230" s="322">
        <f>E230+COUNTIF(E$229:E229,"="&amp;E230)</f>
        <v>1</v>
      </c>
      <c r="AB230" s="322" t="s">
        <v>1003</v>
      </c>
      <c r="AC230" s="322">
        <v>1</v>
      </c>
      <c r="AD230" s="322">
        <f>AE205+IF($AG$221=0,0,SUMIF($AC$225:$AD$225,"="&amp;AC230,$AE$225:$AF$225)/100)+AN179/10000</f>
        <v>1.0001</v>
      </c>
      <c r="AE230" s="322">
        <f>RANK(AD230,$AD$230:$AD$233)</f>
        <v>1</v>
      </c>
      <c r="AF230" s="322">
        <f>AE230+COUNTIF(AE$229:AE229,"="&amp;AE230)</f>
        <v>1</v>
      </c>
    </row>
    <row r="231" spans="2:36" x14ac:dyDescent="0.2">
      <c r="C231" s="322">
        <v>2</v>
      </c>
      <c r="D231" s="322">
        <f>E206+IF($G$221=0,0,SUMIF($C$225:$D$225,"="&amp;C231,$E$225:$F$225)/100)+N180/10000</f>
        <v>1.0001</v>
      </c>
      <c r="E231" s="322">
        <f>RANK(D231,$D$230:$D$233)</f>
        <v>1</v>
      </c>
      <c r="F231" s="322">
        <f>E231+COUNTIF(E$229:E230,"="&amp;E231)</f>
        <v>2</v>
      </c>
      <c r="AC231" s="322">
        <v>2</v>
      </c>
      <c r="AD231" s="322">
        <f>AE206+IF($AG$221=0,0,SUMIF($AC$225:$AD$225,"="&amp;AC231,$AE$225:$AF$225)/100)+AN180/10000</f>
        <v>1.0001</v>
      </c>
      <c r="AE231" s="322">
        <f>RANK(AD231,$AD$230:$AD$233)</f>
        <v>1</v>
      </c>
      <c r="AF231" s="322">
        <f>AE231+COUNTIF(AE$229:AE230,"="&amp;AE231)</f>
        <v>2</v>
      </c>
    </row>
    <row r="232" spans="2:36" x14ac:dyDescent="0.2">
      <c r="C232" s="322">
        <v>3</v>
      </c>
      <c r="D232" s="322">
        <f>E207+IF($G$221=0,0,SUMIF($C$225:$D$225,"="&amp;C232,$E$225:$F$225)/100)+N181/10000</f>
        <v>1.0001</v>
      </c>
      <c r="E232" s="322">
        <f>RANK(D232,$D$230:$D$233)</f>
        <v>1</v>
      </c>
      <c r="F232" s="322">
        <f>E232+COUNTIF(E$229:E231,"="&amp;E232)</f>
        <v>3</v>
      </c>
      <c r="AC232" s="322">
        <v>3</v>
      </c>
      <c r="AD232" s="322">
        <f>AE207+IF($AG$221=0,0,SUMIF($AC$225:$AD$225,"="&amp;AC232,$AE$225:$AF$225)/100)+AN181/10000</f>
        <v>1.0001</v>
      </c>
      <c r="AE232" s="322">
        <f>RANK(AD232,$AD$230:$AD$233)</f>
        <v>1</v>
      </c>
      <c r="AF232" s="322">
        <f>AE232+COUNTIF(AE$229:AE231,"="&amp;AE232)</f>
        <v>3</v>
      </c>
    </row>
    <row r="233" spans="2:36" x14ac:dyDescent="0.2">
      <c r="C233" s="322">
        <v>4</v>
      </c>
      <c r="D233" s="322">
        <f>E208+IF($G$221=0,0,SUMIF($C$225:$D$225,"="&amp;C233,$E$225:$F$225)/100)+N182/10000</f>
        <v>1.0001</v>
      </c>
      <c r="E233" s="322">
        <f>RANK(D233,$D$230:$D$233)</f>
        <v>1</v>
      </c>
      <c r="F233" s="322">
        <f>E233+COUNTIF(E$229:E232,"="&amp;E233)</f>
        <v>4</v>
      </c>
      <c r="AC233" s="322">
        <v>4</v>
      </c>
      <c r="AD233" s="322">
        <f>AE208+IF($AG$221=0,0,SUMIF($AC$225:$AD$225,"="&amp;AC233,$AE$225:$AF$225)/100)+AN182/10000</f>
        <v>1.0001</v>
      </c>
      <c r="AE233" s="322">
        <f>RANK(AD233,$AD$230:$AD$233)</f>
        <v>1</v>
      </c>
      <c r="AF233" s="322">
        <f>AE233+COUNTIF(AE$229:AE232,"="&amp;AE233)</f>
        <v>4</v>
      </c>
    </row>
    <row r="234" spans="2:36" x14ac:dyDescent="0.2">
      <c r="J234" s="322" t="s">
        <v>1021</v>
      </c>
      <c r="AJ234" s="322" t="s">
        <v>1021</v>
      </c>
    </row>
    <row r="235" spans="2:36" x14ac:dyDescent="0.2">
      <c r="B235" s="322" t="s">
        <v>1022</v>
      </c>
      <c r="C235" s="322" t="s">
        <v>994</v>
      </c>
      <c r="D235" s="322" t="s">
        <v>975</v>
      </c>
      <c r="E235" s="322" t="s">
        <v>1023</v>
      </c>
      <c r="F235" s="324" t="s">
        <v>1024</v>
      </c>
      <c r="G235" s="324" t="b">
        <f>VLOOKUP(A168,Tippabgabe!$DM$122:$DN$127,2,FALSE)</f>
        <v>0</v>
      </c>
      <c r="H235" s="324" t="s">
        <v>975</v>
      </c>
      <c r="J235" s="322" t="s">
        <v>1025</v>
      </c>
      <c r="AB235" s="322" t="s">
        <v>1022</v>
      </c>
      <c r="AC235" s="322" t="s">
        <v>994</v>
      </c>
      <c r="AD235" s="322" t="s">
        <v>975</v>
      </c>
      <c r="AE235" s="322" t="s">
        <v>1023</v>
      </c>
      <c r="AF235" s="324" t="s">
        <v>1024</v>
      </c>
      <c r="AG235" s="324" t="b">
        <f>VLOOKUP(AA168,Tippabgabe!$DM$122:$DN$127,2,FALSE)</f>
        <v>0</v>
      </c>
      <c r="AH235" s="324" t="s">
        <v>975</v>
      </c>
      <c r="AJ235" s="322" t="s">
        <v>1025</v>
      </c>
    </row>
    <row r="236" spans="2:36" ht="11.4" x14ac:dyDescent="0.2">
      <c r="B236" s="322" t="str">
        <f>INDEX(teams,INDEX(C179:C182,D236))</f>
        <v>Belgien</v>
      </c>
      <c r="C236" s="322">
        <v>1</v>
      </c>
      <c r="D236" s="321">
        <f>SUMIF(F230:F233,"="&amp;C236,C230:C233)</f>
        <v>1</v>
      </c>
      <c r="E236" s="322">
        <f>IF(G235,C236,INDEX(E230:E233,D236))</f>
        <v>1</v>
      </c>
      <c r="F236" s="324">
        <v>1</v>
      </c>
      <c r="G236" s="324">
        <v>1</v>
      </c>
      <c r="H236" s="323">
        <f>IF(G235,VLOOKUP(A243,Tippabgabe!$DM$93:$DO$116,3,FALSE),D236)</f>
        <v>1</v>
      </c>
      <c r="J236" s="321">
        <f>IF(G235,H236,D236)</f>
        <v>1</v>
      </c>
      <c r="AB236" s="322" t="str">
        <f>INDEX(teams,INDEX(AC179:AC182,AD236))</f>
        <v>Türkei</v>
      </c>
      <c r="AC236" s="322">
        <v>1</v>
      </c>
      <c r="AD236" s="321">
        <f>SUMIF(AF230:AF233,"="&amp;AC236,AC230:AC233)</f>
        <v>1</v>
      </c>
      <c r="AE236" s="322">
        <f>IF(AG235,AC236,INDEX(AE230:AE233,AD236))</f>
        <v>1</v>
      </c>
      <c r="AF236" s="324">
        <v>1</v>
      </c>
      <c r="AG236" s="324">
        <v>1</v>
      </c>
      <c r="AH236" s="323">
        <f>IF(AG235,VLOOKUP(AA243,Tippabgabe!$DM$93:$DO$116,3,FALSE),AD236)</f>
        <v>1</v>
      </c>
      <c r="AJ236" s="321">
        <f>IF(AG235,AH236,AD236)</f>
        <v>1</v>
      </c>
    </row>
    <row r="237" spans="2:36" ht="11.4" x14ac:dyDescent="0.2">
      <c r="B237" s="322" t="str">
        <f>INDEX(teams,INDEX(C179:C182,D237))</f>
        <v>Slowakei</v>
      </c>
      <c r="C237" s="322">
        <v>2</v>
      </c>
      <c r="D237" s="321">
        <f>SUMIF(F230:F233,"="&amp;C237,C230:C233)</f>
        <v>2</v>
      </c>
      <c r="E237" s="322">
        <f>IF(G235,C237,INDEX(E230:E233,D237))</f>
        <v>1</v>
      </c>
      <c r="F237" s="324"/>
      <c r="G237" s="324">
        <v>2</v>
      </c>
      <c r="H237" s="323">
        <f>IF(G235,VLOOKUP(A244,Tippabgabe!$DM$93:$DO$116,3,FALSE),D237)</f>
        <v>2</v>
      </c>
      <c r="J237" s="321">
        <f>IF(G236,H237,D237)</f>
        <v>2</v>
      </c>
      <c r="AB237" s="322" t="str">
        <f>INDEX(teams,INDEX(AC179:AC182,AD237))</f>
        <v>Georgien</v>
      </c>
      <c r="AC237" s="322">
        <v>2</v>
      </c>
      <c r="AD237" s="321">
        <f>SUMIF(AF230:AF233,"="&amp;AC237,AC230:AC233)</f>
        <v>2</v>
      </c>
      <c r="AE237" s="322">
        <f>IF(AG235,AC237,INDEX(AE230:AE233,AD237))</f>
        <v>1</v>
      </c>
      <c r="AF237" s="324"/>
      <c r="AG237" s="324">
        <v>2</v>
      </c>
      <c r="AH237" s="323">
        <f>IF(AG235,VLOOKUP(AA244,Tippabgabe!$DM$93:$DO$116,3,FALSE),AD237)</f>
        <v>2</v>
      </c>
      <c r="AJ237" s="321">
        <f>IF(AG236,AH237,AD237)</f>
        <v>2</v>
      </c>
    </row>
    <row r="238" spans="2:36" ht="11.4" x14ac:dyDescent="0.2">
      <c r="B238" s="322" t="str">
        <f>INDEX(teams,INDEX(C179:C182,D238))</f>
        <v>Rumänien</v>
      </c>
      <c r="C238" s="322">
        <v>3</v>
      </c>
      <c r="D238" s="321">
        <f>SUMIF(F230:F233,"="&amp;C238,C230:C233)</f>
        <v>3</v>
      </c>
      <c r="E238" s="322">
        <f>IF(G235,C238,INDEX(E230:E233,D238))</f>
        <v>1</v>
      </c>
      <c r="F238" s="324"/>
      <c r="G238" s="324">
        <v>3</v>
      </c>
      <c r="H238" s="323">
        <f>IF(G235,VLOOKUP(A245,Tippabgabe!$DM$93:$DO$116,3,FALSE),D238)</f>
        <v>3</v>
      </c>
      <c r="J238" s="321">
        <f>IF(G237,H238,D238)</f>
        <v>3</v>
      </c>
      <c r="AB238" s="322" t="str">
        <f>INDEX(teams,INDEX(AC179:AC182,AD238))</f>
        <v>Portugal</v>
      </c>
      <c r="AC238" s="322">
        <v>3</v>
      </c>
      <c r="AD238" s="321">
        <f>SUMIF(AF230:AF233,"="&amp;AC238,AC230:AC233)</f>
        <v>3</v>
      </c>
      <c r="AE238" s="322">
        <f>IF(AG235,AC238,INDEX(AE230:AE233,AD238))</f>
        <v>1</v>
      </c>
      <c r="AF238" s="324"/>
      <c r="AG238" s="324">
        <v>3</v>
      </c>
      <c r="AH238" s="323">
        <f>IF(AG235,VLOOKUP(AA245,Tippabgabe!$DM$93:$DO$116,3,FALSE),AD238)</f>
        <v>3</v>
      </c>
      <c r="AJ238" s="321">
        <f>IF(AG237,AH238,AD238)</f>
        <v>3</v>
      </c>
    </row>
    <row r="239" spans="2:36" ht="11.4" x14ac:dyDescent="0.2">
      <c r="B239" s="322" t="str">
        <f>INDEX(teams,INDEX(C179:C182,D239))</f>
        <v>Ukraine</v>
      </c>
      <c r="C239" s="322">
        <v>4</v>
      </c>
      <c r="D239" s="321">
        <f>SUMIF(F230:F233,"="&amp;C239,C230:C233)</f>
        <v>4</v>
      </c>
      <c r="E239" s="322">
        <f>IF(G235,C239,INDEX(E230:E233,D239))</f>
        <v>1</v>
      </c>
      <c r="F239" s="324"/>
      <c r="G239" s="324">
        <v>4</v>
      </c>
      <c r="H239" s="323">
        <f>IF(G235,VLOOKUP(A246,Tippabgabe!$DM$93:$DO$116,3,FALSE),D239)</f>
        <v>4</v>
      </c>
      <c r="J239" s="321">
        <f>IF(G238,H239,D239)</f>
        <v>4</v>
      </c>
      <c r="AB239" s="322" t="str">
        <f>INDEX(teams,INDEX(AC179:AC182,AD239))</f>
        <v>Tschechien</v>
      </c>
      <c r="AC239" s="322">
        <v>4</v>
      </c>
      <c r="AD239" s="321">
        <f>SUMIF(AF230:AF233,"="&amp;AC239,AC230:AC233)</f>
        <v>4</v>
      </c>
      <c r="AE239" s="322">
        <f>IF(AG235,AC239,INDEX(AE230:AE233,AD239))</f>
        <v>1</v>
      </c>
      <c r="AF239" s="324"/>
      <c r="AG239" s="324">
        <v>4</v>
      </c>
      <c r="AH239" s="323">
        <f>IF(AG235,VLOOKUP(AA246,Tippabgabe!$DM$93:$DO$116,3,FALSE),AD239)</f>
        <v>4</v>
      </c>
      <c r="AJ239" s="321">
        <f>IF(AG238,AH239,AD239)</f>
        <v>4</v>
      </c>
    </row>
    <row r="242" spans="1:39" x14ac:dyDescent="0.2">
      <c r="B242" s="322" t="s">
        <v>1022</v>
      </c>
      <c r="C242" s="322" t="s">
        <v>996</v>
      </c>
      <c r="D242" s="322" t="s">
        <v>975</v>
      </c>
      <c r="E242" s="322" t="s">
        <v>108</v>
      </c>
      <c r="F242" s="322" t="s">
        <v>1026</v>
      </c>
      <c r="G242" s="322" t="s">
        <v>587</v>
      </c>
      <c r="H242" s="322" t="s">
        <v>1027</v>
      </c>
      <c r="I242" s="322" t="s">
        <v>1028</v>
      </c>
      <c r="J242" s="322" t="s">
        <v>999</v>
      </c>
      <c r="K242" s="322" t="s">
        <v>498</v>
      </c>
      <c r="L242" s="322" t="s">
        <v>848</v>
      </c>
      <c r="M242" s="322" t="s">
        <v>1029</v>
      </c>
      <c r="AB242" s="322" t="s">
        <v>1022</v>
      </c>
      <c r="AC242" s="322" t="s">
        <v>996</v>
      </c>
      <c r="AD242" s="322" t="s">
        <v>975</v>
      </c>
      <c r="AE242" s="322" t="s">
        <v>108</v>
      </c>
      <c r="AF242" s="322" t="s">
        <v>1026</v>
      </c>
      <c r="AG242" s="322" t="s">
        <v>587</v>
      </c>
      <c r="AH242" s="322" t="s">
        <v>1027</v>
      </c>
      <c r="AI242" s="322" t="s">
        <v>1028</v>
      </c>
      <c r="AJ242" s="322" t="s">
        <v>999</v>
      </c>
      <c r="AK242" s="322" t="s">
        <v>498</v>
      </c>
      <c r="AL242" s="322" t="s">
        <v>848</v>
      </c>
      <c r="AM242" s="322" t="s">
        <v>1029</v>
      </c>
    </row>
    <row r="243" spans="1:39" x14ac:dyDescent="0.2">
      <c r="A243" s="322" t="str">
        <f>"S"&amp;A168</f>
        <v>SE</v>
      </c>
      <c r="B243" s="322">
        <v>1</v>
      </c>
      <c r="C243" s="322">
        <f>INDEX($C$179:$C$182,J236)</f>
        <v>17</v>
      </c>
      <c r="D243" s="322">
        <f>J236</f>
        <v>1</v>
      </c>
      <c r="E243" s="322" t="str">
        <f>INDEX($H$179:$H$182,J236)</f>
        <v>BEL</v>
      </c>
      <c r="F243" s="322">
        <f>SUMIF($D$170:$E$175,"="&amp;$C243,$Q$170:$R$175)</f>
        <v>0</v>
      </c>
      <c r="G243" s="322">
        <f>INDEX($D$179:$D$182,$J236)</f>
        <v>0</v>
      </c>
      <c r="H243" s="322">
        <f>INDEX($E$179:$E$182,$J236)</f>
        <v>0</v>
      </c>
      <c r="I243" s="322">
        <f>INDEX($F$179:$F$182,$J236)</f>
        <v>0</v>
      </c>
      <c r="J243" s="322">
        <f>INDEX($G$179:$G$182,$J236)</f>
        <v>0</v>
      </c>
      <c r="K243" s="322">
        <f t="shared" ref="K243:M246" si="88">COUNTIF($S$170:$T$175,"="&amp;K$242&amp;$C243)</f>
        <v>0</v>
      </c>
      <c r="L243" s="322">
        <f t="shared" si="88"/>
        <v>0</v>
      </c>
      <c r="M243" s="322">
        <f t="shared" si="88"/>
        <v>0</v>
      </c>
      <c r="AA243" s="322" t="str">
        <f>"S"&amp;AA168</f>
        <v>SF</v>
      </c>
      <c r="AB243" s="322">
        <v>1</v>
      </c>
      <c r="AC243" s="322">
        <f>INDEX($AC$179:$AC$182,AJ236)</f>
        <v>21</v>
      </c>
      <c r="AD243" s="322">
        <f>AJ236</f>
        <v>1</v>
      </c>
      <c r="AE243" s="322" t="str">
        <f>INDEX($AH$179:$AH$182,AJ236)</f>
        <v>TUR</v>
      </c>
      <c r="AF243" s="322">
        <f>SUMIF($AD$170:$AE$175,"="&amp;$AC243,$AQ$170:$AR$175)</f>
        <v>0</v>
      </c>
      <c r="AG243" s="322">
        <f>INDEX($AD$179:$AD$182,$AJ236)</f>
        <v>0</v>
      </c>
      <c r="AH243" s="322">
        <f>INDEX($AE$179:$AE$182,$AJ236)</f>
        <v>0</v>
      </c>
      <c r="AI243" s="322">
        <f>INDEX($AF$179:$AF$182,$AJ236)</f>
        <v>0</v>
      </c>
      <c r="AJ243" s="322">
        <f>INDEX($AG$179:$AG$182,$AJ236)</f>
        <v>0</v>
      </c>
      <c r="AK243" s="322">
        <f t="shared" ref="AK243:AM246" si="89">COUNTIF($AS$170:$AT$175,"="&amp;AK$242&amp;$AC243)</f>
        <v>0</v>
      </c>
      <c r="AL243" s="322">
        <f t="shared" si="89"/>
        <v>0</v>
      </c>
      <c r="AM243" s="322">
        <f t="shared" si="89"/>
        <v>0</v>
      </c>
    </row>
    <row r="244" spans="1:39" x14ac:dyDescent="0.2">
      <c r="A244" s="322" t="str">
        <f>"Z"&amp;A168</f>
        <v>ZE</v>
      </c>
      <c r="B244" s="322">
        <v>2</v>
      </c>
      <c r="C244" s="322">
        <f>INDEX($C$179:$C$182,J237)</f>
        <v>18</v>
      </c>
      <c r="D244" s="322">
        <f>J237</f>
        <v>2</v>
      </c>
      <c r="E244" s="322" t="str">
        <f>INDEX($H$179:$H$182,J237)</f>
        <v>SVK</v>
      </c>
      <c r="F244" s="322">
        <f>SUMIF($D$170:$E$175,"="&amp;$C244,$Q$170:$R$175)</f>
        <v>0</v>
      </c>
      <c r="G244" s="322">
        <f>INDEX($D$179:$D$182,$J237)</f>
        <v>0</v>
      </c>
      <c r="H244" s="322">
        <f>INDEX($E$179:$E$182,$J237)</f>
        <v>0</v>
      </c>
      <c r="I244" s="322">
        <f>INDEX($F$179:$F$182,$J237)</f>
        <v>0</v>
      </c>
      <c r="J244" s="322">
        <f>INDEX($G$179:$G$182,$J237)</f>
        <v>0</v>
      </c>
      <c r="K244" s="322">
        <f t="shared" si="88"/>
        <v>0</v>
      </c>
      <c r="L244" s="322">
        <f t="shared" si="88"/>
        <v>0</v>
      </c>
      <c r="M244" s="322">
        <f t="shared" si="88"/>
        <v>0</v>
      </c>
      <c r="AA244" s="322" t="str">
        <f>"Z"&amp;AA168</f>
        <v>ZF</v>
      </c>
      <c r="AB244" s="322">
        <v>2</v>
      </c>
      <c r="AC244" s="322">
        <f>INDEX($AC$179:$AC$182,AJ237)</f>
        <v>22</v>
      </c>
      <c r="AD244" s="322">
        <f>AJ237</f>
        <v>2</v>
      </c>
      <c r="AE244" s="322" t="str">
        <f>INDEX($AH$179:$AH$182,AJ237)</f>
        <v>GEO</v>
      </c>
      <c r="AF244" s="322">
        <f>SUMIF($AD$170:$AE$175,"="&amp;$AC244,$AQ$170:$AR$175)</f>
        <v>0</v>
      </c>
      <c r="AG244" s="322">
        <f>INDEX($AD$179:$AD$182,$AJ237)</f>
        <v>0</v>
      </c>
      <c r="AH244" s="322">
        <f>INDEX($AE$179:$AE$182,$AJ237)</f>
        <v>0</v>
      </c>
      <c r="AI244" s="322">
        <f>INDEX($AF$179:$AF$182,$AJ237)</f>
        <v>0</v>
      </c>
      <c r="AJ244" s="322">
        <f>INDEX($AG$179:$AG$182,$AJ237)</f>
        <v>0</v>
      </c>
      <c r="AK244" s="322">
        <f t="shared" si="89"/>
        <v>0</v>
      </c>
      <c r="AL244" s="322">
        <f t="shared" si="89"/>
        <v>0</v>
      </c>
      <c r="AM244" s="322">
        <f t="shared" si="89"/>
        <v>0</v>
      </c>
    </row>
    <row r="245" spans="1:39" x14ac:dyDescent="0.2">
      <c r="A245" s="322" t="str">
        <f>"D"&amp;A168</f>
        <v>DE</v>
      </c>
      <c r="B245" s="322">
        <v>3</v>
      </c>
      <c r="C245" s="322">
        <f>INDEX($C$179:$C$182,J238)</f>
        <v>19</v>
      </c>
      <c r="D245" s="322">
        <f>J238</f>
        <v>3</v>
      </c>
      <c r="E245" s="322" t="str">
        <f>INDEX($H$179:$H$182,J238)</f>
        <v>ROM</v>
      </c>
      <c r="F245" s="322">
        <f>SUMIF($D$170:$E$175,"="&amp;$C245,$Q$170:$R$175)</f>
        <v>0</v>
      </c>
      <c r="G245" s="322">
        <f>INDEX($D$179:$D$182,$J238)</f>
        <v>0</v>
      </c>
      <c r="H245" s="322">
        <f>INDEX($E$179:$E$182,$J238)</f>
        <v>0</v>
      </c>
      <c r="I245" s="322">
        <f>INDEX($F$179:$F$182,$J238)</f>
        <v>0</v>
      </c>
      <c r="J245" s="322">
        <f>INDEX($G$179:$G$182,$J238)</f>
        <v>0</v>
      </c>
      <c r="K245" s="322">
        <f t="shared" si="88"/>
        <v>0</v>
      </c>
      <c r="L245" s="322">
        <f t="shared" si="88"/>
        <v>0</v>
      </c>
      <c r="M245" s="322">
        <f t="shared" si="88"/>
        <v>0</v>
      </c>
      <c r="AA245" s="322" t="str">
        <f>"D"&amp;AA168</f>
        <v>DF</v>
      </c>
      <c r="AB245" s="322">
        <v>3</v>
      </c>
      <c r="AC245" s="322">
        <f>INDEX($AC$179:$AC$182,AJ238)</f>
        <v>23</v>
      </c>
      <c r="AD245" s="322">
        <f>AJ238</f>
        <v>3</v>
      </c>
      <c r="AE245" s="322" t="str">
        <f>INDEX($AH$179:$AH$182,AJ238)</f>
        <v>POR</v>
      </c>
      <c r="AF245" s="322">
        <f>SUMIF($AD$170:$AE$175,"="&amp;$AC245,$AQ$170:$AR$175)</f>
        <v>0</v>
      </c>
      <c r="AG245" s="322">
        <f>INDEX($AD$179:$AD$182,$AJ238)</f>
        <v>0</v>
      </c>
      <c r="AH245" s="322">
        <f>INDEX($AE$179:$AE$182,$AJ238)</f>
        <v>0</v>
      </c>
      <c r="AI245" s="322">
        <f>INDEX($AF$179:$AF$182,$AJ238)</f>
        <v>0</v>
      </c>
      <c r="AJ245" s="322">
        <f>INDEX($AG$179:$AG$182,$AJ238)</f>
        <v>0</v>
      </c>
      <c r="AK245" s="322">
        <f t="shared" si="89"/>
        <v>0</v>
      </c>
      <c r="AL245" s="322">
        <f t="shared" si="89"/>
        <v>0</v>
      </c>
      <c r="AM245" s="322">
        <f t="shared" si="89"/>
        <v>0</v>
      </c>
    </row>
    <row r="246" spans="1:39" x14ac:dyDescent="0.2">
      <c r="A246" s="322" t="str">
        <f>"V"&amp;A168</f>
        <v>VE</v>
      </c>
      <c r="B246" s="322">
        <v>4</v>
      </c>
      <c r="C246" s="322">
        <f>INDEX($C$179:$C$182,J239)</f>
        <v>20</v>
      </c>
      <c r="D246" s="322">
        <f>J239</f>
        <v>4</v>
      </c>
      <c r="E246" s="322" t="str">
        <f>INDEX($H$179:$H$182,J239)</f>
        <v>UKR</v>
      </c>
      <c r="F246" s="322">
        <f>SUMIF($D$170:$E$175,"="&amp;$C246,$Q$170:$R$175)</f>
        <v>0</v>
      </c>
      <c r="G246" s="322">
        <f>INDEX($D$179:$D$182,$J239)</f>
        <v>0</v>
      </c>
      <c r="H246" s="322">
        <f>INDEX($E$179:$E$182,$J239)</f>
        <v>0</v>
      </c>
      <c r="I246" s="322">
        <f>INDEX($F$179:$F$182,$J239)</f>
        <v>0</v>
      </c>
      <c r="J246" s="322">
        <f>INDEX($G$179:$G$182,$J239)</f>
        <v>0</v>
      </c>
      <c r="K246" s="322">
        <f t="shared" si="88"/>
        <v>0</v>
      </c>
      <c r="L246" s="322">
        <f t="shared" si="88"/>
        <v>0</v>
      </c>
      <c r="M246" s="322">
        <f t="shared" si="88"/>
        <v>0</v>
      </c>
      <c r="AA246" s="322" t="str">
        <f>"V"&amp;AA168</f>
        <v>VF</v>
      </c>
      <c r="AB246" s="322">
        <v>4</v>
      </c>
      <c r="AC246" s="322">
        <f>INDEX($AC$179:$AC$182,AJ239)</f>
        <v>24</v>
      </c>
      <c r="AD246" s="322">
        <f>AJ239</f>
        <v>4</v>
      </c>
      <c r="AE246" s="322" t="str">
        <f>INDEX($AH$179:$AH$182,AJ239)</f>
        <v>CZE</v>
      </c>
      <c r="AF246" s="322">
        <f>SUMIF($AD$170:$AE$175,"="&amp;$AC246,$AQ$170:$AR$175)</f>
        <v>0</v>
      </c>
      <c r="AG246" s="322">
        <f>INDEX($AD$179:$AD$182,$AJ239)</f>
        <v>0</v>
      </c>
      <c r="AH246" s="322">
        <f>INDEX($AE$179:$AE$182,$AJ239)</f>
        <v>0</v>
      </c>
      <c r="AI246" s="322">
        <f>INDEX($AF$179:$AF$182,$AJ239)</f>
        <v>0</v>
      </c>
      <c r="AJ246" s="322">
        <f>INDEX($AG$179:$AG$182,$AJ239)</f>
        <v>0</v>
      </c>
      <c r="AK246" s="322">
        <f t="shared" si="89"/>
        <v>0</v>
      </c>
      <c r="AL246" s="322">
        <f t="shared" si="89"/>
        <v>0</v>
      </c>
      <c r="AM246" s="322">
        <f t="shared" si="89"/>
        <v>0</v>
      </c>
    </row>
    <row r="305" spans="5:32" x14ac:dyDescent="0.2">
      <c r="E305" s="523"/>
      <c r="F305" s="523"/>
      <c r="AE305" s="523"/>
      <c r="AF305" s="523"/>
    </row>
    <row r="317" spans="5:32" s="349" customFormat="1" x14ac:dyDescent="0.2"/>
    <row r="318" spans="5:32" s="349" customFormat="1" x14ac:dyDescent="0.2"/>
    <row r="319" spans="5:32" s="349" customFormat="1" x14ac:dyDescent="0.2"/>
    <row r="320" spans="5:32" s="349" customFormat="1" x14ac:dyDescent="0.2"/>
    <row r="321" spans="1:16" s="349" customFormat="1" x14ac:dyDescent="0.2"/>
    <row r="334" spans="1:16" ht="11.4" x14ac:dyDescent="0.2">
      <c r="A334" s="322" t="s">
        <v>1023</v>
      </c>
      <c r="C334" s="322" t="str">
        <f t="shared" ref="C334:M334" si="90">C78</f>
        <v>TeamIndex</v>
      </c>
      <c r="D334" s="322" t="str">
        <f t="shared" si="90"/>
        <v>Nr</v>
      </c>
      <c r="E334" s="329" t="str">
        <f t="shared" si="90"/>
        <v>Team</v>
      </c>
      <c r="F334" s="329" t="str">
        <f t="shared" si="90"/>
        <v>Sp</v>
      </c>
      <c r="G334" s="329" t="str">
        <f t="shared" si="90"/>
        <v>P</v>
      </c>
      <c r="H334" s="329" t="str">
        <f t="shared" si="90"/>
        <v>T+</v>
      </c>
      <c r="I334" s="329" t="str">
        <f t="shared" si="90"/>
        <v>T-</v>
      </c>
      <c r="J334" s="329" t="str">
        <f t="shared" si="90"/>
        <v>Diff</v>
      </c>
      <c r="K334" s="329" t="str">
        <f t="shared" si="90"/>
        <v>S</v>
      </c>
      <c r="L334" s="329" t="str">
        <f t="shared" si="90"/>
        <v>U</v>
      </c>
      <c r="M334" s="329" t="str">
        <f t="shared" si="90"/>
        <v>N</v>
      </c>
      <c r="N334" s="329"/>
      <c r="O334" s="321" t="s">
        <v>1023</v>
      </c>
    </row>
    <row r="335" spans="1:16" ht="11.4" x14ac:dyDescent="0.2">
      <c r="A335" s="322">
        <f>$E$72</f>
        <v>1</v>
      </c>
      <c r="B335" s="322" t="s">
        <v>599</v>
      </c>
      <c r="C335" s="322">
        <f t="shared" ref="C335:M335" si="91">C79</f>
        <v>1</v>
      </c>
      <c r="D335" s="322">
        <f t="shared" si="91"/>
        <v>1</v>
      </c>
      <c r="E335" s="329" t="str">
        <f t="shared" si="91"/>
        <v>GER</v>
      </c>
      <c r="F335" s="329">
        <f t="shared" si="91"/>
        <v>0</v>
      </c>
      <c r="G335" s="329">
        <f t="shared" si="91"/>
        <v>0</v>
      </c>
      <c r="H335" s="329">
        <f t="shared" si="91"/>
        <v>0</v>
      </c>
      <c r="I335" s="329">
        <f t="shared" si="91"/>
        <v>0</v>
      </c>
      <c r="J335" s="329">
        <f t="shared" si="91"/>
        <v>0</v>
      </c>
      <c r="K335" s="329">
        <f t="shared" si="91"/>
        <v>0</v>
      </c>
      <c r="L335" s="329">
        <f t="shared" si="91"/>
        <v>0</v>
      </c>
      <c r="M335" s="329">
        <f t="shared" si="91"/>
        <v>0</v>
      </c>
      <c r="N335" s="329">
        <v>1</v>
      </c>
      <c r="O335" s="321">
        <f t="shared" ref="O335:O358" si="92">A335</f>
        <v>1</v>
      </c>
      <c r="P335" s="322" t="str">
        <f t="shared" ref="P335:P358" si="93">INDEX(teams,C335)</f>
        <v>Deutschland</v>
      </c>
    </row>
    <row r="336" spans="1:16" ht="11.4" x14ac:dyDescent="0.2">
      <c r="A336" s="322">
        <f>$E$73</f>
        <v>1</v>
      </c>
      <c r="B336" s="322" t="s">
        <v>603</v>
      </c>
      <c r="C336" s="322">
        <f t="shared" ref="C336:M336" si="94">C80</f>
        <v>2</v>
      </c>
      <c r="D336" s="322">
        <f t="shared" si="94"/>
        <v>2</v>
      </c>
      <c r="E336" s="329" t="str">
        <f t="shared" si="94"/>
        <v>SCO</v>
      </c>
      <c r="F336" s="329">
        <f t="shared" si="94"/>
        <v>0</v>
      </c>
      <c r="G336" s="329">
        <f t="shared" si="94"/>
        <v>0</v>
      </c>
      <c r="H336" s="329">
        <f t="shared" si="94"/>
        <v>0</v>
      </c>
      <c r="I336" s="329">
        <f t="shared" si="94"/>
        <v>0</v>
      </c>
      <c r="J336" s="329">
        <f t="shared" si="94"/>
        <v>0</v>
      </c>
      <c r="K336" s="329">
        <f t="shared" si="94"/>
        <v>0</v>
      </c>
      <c r="L336" s="329">
        <f t="shared" si="94"/>
        <v>0</v>
      </c>
      <c r="M336" s="329">
        <f t="shared" si="94"/>
        <v>0</v>
      </c>
      <c r="N336" s="329">
        <v>1</v>
      </c>
      <c r="O336" s="321">
        <f t="shared" si="92"/>
        <v>1</v>
      </c>
      <c r="P336" s="322" t="str">
        <f t="shared" si="93"/>
        <v>Schottland</v>
      </c>
    </row>
    <row r="337" spans="1:16" ht="11.4" x14ac:dyDescent="0.2">
      <c r="A337" s="322">
        <f>$E$74</f>
        <v>1</v>
      </c>
      <c r="B337" s="322" t="s">
        <v>606</v>
      </c>
      <c r="C337" s="322">
        <f t="shared" ref="C337:M337" si="95">C81</f>
        <v>3</v>
      </c>
      <c r="D337" s="322">
        <f t="shared" si="95"/>
        <v>3</v>
      </c>
      <c r="E337" s="329" t="str">
        <f t="shared" si="95"/>
        <v>HUN</v>
      </c>
      <c r="F337" s="329">
        <f t="shared" si="95"/>
        <v>0</v>
      </c>
      <c r="G337" s="329">
        <f t="shared" si="95"/>
        <v>0</v>
      </c>
      <c r="H337" s="329">
        <f t="shared" si="95"/>
        <v>0</v>
      </c>
      <c r="I337" s="329">
        <f t="shared" si="95"/>
        <v>0</v>
      </c>
      <c r="J337" s="329">
        <f t="shared" si="95"/>
        <v>0</v>
      </c>
      <c r="K337" s="329">
        <f t="shared" si="95"/>
        <v>0</v>
      </c>
      <c r="L337" s="329">
        <f t="shared" si="95"/>
        <v>0</v>
      </c>
      <c r="M337" s="329">
        <f t="shared" si="95"/>
        <v>0</v>
      </c>
      <c r="N337" s="329">
        <v>1</v>
      </c>
      <c r="O337" s="321">
        <f t="shared" si="92"/>
        <v>1</v>
      </c>
      <c r="P337" s="322" t="str">
        <f t="shared" si="93"/>
        <v>Ungarn</v>
      </c>
    </row>
    <row r="338" spans="1:16" ht="11.4" x14ac:dyDescent="0.2">
      <c r="A338" s="322">
        <f>$E$75</f>
        <v>1</v>
      </c>
      <c r="B338" s="322" t="s">
        <v>611</v>
      </c>
      <c r="C338" s="322">
        <f t="shared" ref="C338:M338" si="96">C82</f>
        <v>4</v>
      </c>
      <c r="D338" s="322">
        <f t="shared" si="96"/>
        <v>4</v>
      </c>
      <c r="E338" s="329" t="str">
        <f t="shared" si="96"/>
        <v>SUI</v>
      </c>
      <c r="F338" s="329">
        <f t="shared" si="96"/>
        <v>0</v>
      </c>
      <c r="G338" s="329">
        <f t="shared" si="96"/>
        <v>0</v>
      </c>
      <c r="H338" s="329">
        <f t="shared" si="96"/>
        <v>0</v>
      </c>
      <c r="I338" s="329">
        <f t="shared" si="96"/>
        <v>0</v>
      </c>
      <c r="J338" s="329">
        <f t="shared" si="96"/>
        <v>0</v>
      </c>
      <c r="K338" s="329">
        <f t="shared" si="96"/>
        <v>0</v>
      </c>
      <c r="L338" s="329">
        <f t="shared" si="96"/>
        <v>0</v>
      </c>
      <c r="M338" s="329">
        <f t="shared" si="96"/>
        <v>0</v>
      </c>
      <c r="N338" s="329">
        <v>1</v>
      </c>
      <c r="O338" s="321">
        <f t="shared" si="92"/>
        <v>1</v>
      </c>
      <c r="P338" s="322" t="str">
        <f t="shared" si="93"/>
        <v>Schweiz</v>
      </c>
    </row>
    <row r="339" spans="1:16" ht="11.4" x14ac:dyDescent="0.2">
      <c r="A339" s="322">
        <f>$AE$72</f>
        <v>1</v>
      </c>
      <c r="B339" s="322" t="s">
        <v>615</v>
      </c>
      <c r="C339" s="322">
        <f t="shared" ref="C339:M342" si="97">AC79</f>
        <v>5</v>
      </c>
      <c r="D339" s="322">
        <f t="shared" si="97"/>
        <v>1</v>
      </c>
      <c r="E339" s="329" t="str">
        <f t="shared" si="97"/>
        <v>ESP</v>
      </c>
      <c r="F339" s="329">
        <f t="shared" si="97"/>
        <v>0</v>
      </c>
      <c r="G339" s="329">
        <f t="shared" si="97"/>
        <v>0</v>
      </c>
      <c r="H339" s="329">
        <f t="shared" si="97"/>
        <v>0</v>
      </c>
      <c r="I339" s="329">
        <f t="shared" si="97"/>
        <v>0</v>
      </c>
      <c r="J339" s="329">
        <f t="shared" si="97"/>
        <v>0</v>
      </c>
      <c r="K339" s="329">
        <f t="shared" si="97"/>
        <v>0</v>
      </c>
      <c r="L339" s="329">
        <f t="shared" si="97"/>
        <v>0</v>
      </c>
      <c r="M339" s="329">
        <f t="shared" si="97"/>
        <v>0</v>
      </c>
      <c r="N339" s="329">
        <v>2</v>
      </c>
      <c r="O339" s="321">
        <f t="shared" si="92"/>
        <v>1</v>
      </c>
      <c r="P339" s="322" t="str">
        <f t="shared" si="93"/>
        <v>Spanien</v>
      </c>
    </row>
    <row r="340" spans="1:16" ht="11.4" x14ac:dyDescent="0.2">
      <c r="A340" s="322">
        <f>$AE$73</f>
        <v>1</v>
      </c>
      <c r="B340" s="322" t="s">
        <v>619</v>
      </c>
      <c r="C340" s="322">
        <f t="shared" si="97"/>
        <v>6</v>
      </c>
      <c r="D340" s="322">
        <f t="shared" si="97"/>
        <v>2</v>
      </c>
      <c r="E340" s="329" t="str">
        <f t="shared" si="97"/>
        <v>CRO</v>
      </c>
      <c r="F340" s="329">
        <f t="shared" si="97"/>
        <v>0</v>
      </c>
      <c r="G340" s="329">
        <f t="shared" si="97"/>
        <v>0</v>
      </c>
      <c r="H340" s="329">
        <f t="shared" si="97"/>
        <v>0</v>
      </c>
      <c r="I340" s="329">
        <f t="shared" si="97"/>
        <v>0</v>
      </c>
      <c r="J340" s="329">
        <f t="shared" si="97"/>
        <v>0</v>
      </c>
      <c r="K340" s="329">
        <f t="shared" si="97"/>
        <v>0</v>
      </c>
      <c r="L340" s="329">
        <f t="shared" si="97"/>
        <v>0</v>
      </c>
      <c r="M340" s="329">
        <f t="shared" si="97"/>
        <v>0</v>
      </c>
      <c r="N340" s="329">
        <v>2</v>
      </c>
      <c r="O340" s="321">
        <f t="shared" si="92"/>
        <v>1</v>
      </c>
      <c r="P340" s="322" t="str">
        <f t="shared" si="93"/>
        <v>Kroatien</v>
      </c>
    </row>
    <row r="341" spans="1:16" ht="11.4" x14ac:dyDescent="0.2">
      <c r="A341" s="322">
        <f>$AE$74</f>
        <v>1</v>
      </c>
      <c r="B341" s="322" t="s">
        <v>623</v>
      </c>
      <c r="C341" s="322">
        <f t="shared" si="97"/>
        <v>7</v>
      </c>
      <c r="D341" s="322">
        <f t="shared" si="97"/>
        <v>3</v>
      </c>
      <c r="E341" s="329" t="str">
        <f t="shared" si="97"/>
        <v>ITA</v>
      </c>
      <c r="F341" s="329">
        <f t="shared" si="97"/>
        <v>0</v>
      </c>
      <c r="G341" s="329">
        <f t="shared" si="97"/>
        <v>0</v>
      </c>
      <c r="H341" s="329">
        <f t="shared" si="97"/>
        <v>0</v>
      </c>
      <c r="I341" s="329">
        <f t="shared" si="97"/>
        <v>0</v>
      </c>
      <c r="J341" s="329">
        <f t="shared" si="97"/>
        <v>0</v>
      </c>
      <c r="K341" s="329">
        <f t="shared" si="97"/>
        <v>0</v>
      </c>
      <c r="L341" s="329">
        <f t="shared" si="97"/>
        <v>0</v>
      </c>
      <c r="M341" s="329">
        <f t="shared" si="97"/>
        <v>0</v>
      </c>
      <c r="N341" s="329">
        <v>2</v>
      </c>
      <c r="O341" s="321">
        <f t="shared" si="92"/>
        <v>1</v>
      </c>
      <c r="P341" s="322" t="str">
        <f t="shared" si="93"/>
        <v>Italien</v>
      </c>
    </row>
    <row r="342" spans="1:16" ht="11.4" x14ac:dyDescent="0.2">
      <c r="A342" s="322">
        <f>$AE$75</f>
        <v>1</v>
      </c>
      <c r="B342" s="322" t="s">
        <v>626</v>
      </c>
      <c r="C342" s="322">
        <f t="shared" si="97"/>
        <v>8</v>
      </c>
      <c r="D342" s="322">
        <f t="shared" si="97"/>
        <v>4</v>
      </c>
      <c r="E342" s="329" t="str">
        <f t="shared" si="97"/>
        <v>ALB</v>
      </c>
      <c r="F342" s="329">
        <f t="shared" si="97"/>
        <v>0</v>
      </c>
      <c r="G342" s="329">
        <f t="shared" si="97"/>
        <v>0</v>
      </c>
      <c r="H342" s="329">
        <f t="shared" si="97"/>
        <v>0</v>
      </c>
      <c r="I342" s="329">
        <f t="shared" si="97"/>
        <v>0</v>
      </c>
      <c r="J342" s="329">
        <f t="shared" si="97"/>
        <v>0</v>
      </c>
      <c r="K342" s="329">
        <f t="shared" si="97"/>
        <v>0</v>
      </c>
      <c r="L342" s="329">
        <f t="shared" si="97"/>
        <v>0</v>
      </c>
      <c r="M342" s="329">
        <f t="shared" si="97"/>
        <v>0</v>
      </c>
      <c r="N342" s="329">
        <v>2</v>
      </c>
      <c r="O342" s="321">
        <f t="shared" si="92"/>
        <v>1</v>
      </c>
      <c r="P342" s="322" t="str">
        <f t="shared" si="93"/>
        <v>Albanien</v>
      </c>
    </row>
    <row r="343" spans="1:16" ht="11.4" x14ac:dyDescent="0.2">
      <c r="A343" s="322">
        <f>$E$154</f>
        <v>1</v>
      </c>
      <c r="B343" s="322" t="s">
        <v>630</v>
      </c>
      <c r="C343" s="322">
        <f t="shared" ref="C343:M343" si="98">C161</f>
        <v>9</v>
      </c>
      <c r="D343" s="322">
        <f t="shared" si="98"/>
        <v>1</v>
      </c>
      <c r="E343" s="329" t="str">
        <f t="shared" si="98"/>
        <v>SLO</v>
      </c>
      <c r="F343" s="329">
        <f t="shared" si="98"/>
        <v>0</v>
      </c>
      <c r="G343" s="329">
        <f t="shared" si="98"/>
        <v>0</v>
      </c>
      <c r="H343" s="329">
        <f t="shared" si="98"/>
        <v>0</v>
      </c>
      <c r="I343" s="329">
        <f t="shared" si="98"/>
        <v>0</v>
      </c>
      <c r="J343" s="329">
        <f t="shared" si="98"/>
        <v>0</v>
      </c>
      <c r="K343" s="329">
        <f t="shared" si="98"/>
        <v>0</v>
      </c>
      <c r="L343" s="329">
        <f t="shared" si="98"/>
        <v>0</v>
      </c>
      <c r="M343" s="329">
        <f t="shared" si="98"/>
        <v>0</v>
      </c>
      <c r="N343" s="329">
        <v>3</v>
      </c>
      <c r="O343" s="321">
        <f t="shared" si="92"/>
        <v>1</v>
      </c>
      <c r="P343" s="322" t="str">
        <f t="shared" si="93"/>
        <v>Slowenien</v>
      </c>
    </row>
    <row r="344" spans="1:16" ht="11.4" x14ac:dyDescent="0.2">
      <c r="A344" s="322">
        <f>$E$155</f>
        <v>1</v>
      </c>
      <c r="B344" s="322" t="s">
        <v>634</v>
      </c>
      <c r="C344" s="322">
        <f t="shared" ref="C344:M344" si="99">C162</f>
        <v>10</v>
      </c>
      <c r="D344" s="322">
        <f t="shared" si="99"/>
        <v>2</v>
      </c>
      <c r="E344" s="329" t="str">
        <f t="shared" si="99"/>
        <v>DEN</v>
      </c>
      <c r="F344" s="329">
        <f t="shared" si="99"/>
        <v>0</v>
      </c>
      <c r="G344" s="329">
        <f t="shared" si="99"/>
        <v>0</v>
      </c>
      <c r="H344" s="329">
        <f t="shared" si="99"/>
        <v>0</v>
      </c>
      <c r="I344" s="329">
        <f t="shared" si="99"/>
        <v>0</v>
      </c>
      <c r="J344" s="329">
        <f t="shared" si="99"/>
        <v>0</v>
      </c>
      <c r="K344" s="329">
        <f t="shared" si="99"/>
        <v>0</v>
      </c>
      <c r="L344" s="329">
        <f t="shared" si="99"/>
        <v>0</v>
      </c>
      <c r="M344" s="329">
        <f t="shared" si="99"/>
        <v>0</v>
      </c>
      <c r="N344" s="329">
        <v>3</v>
      </c>
      <c r="O344" s="321">
        <f t="shared" si="92"/>
        <v>1</v>
      </c>
      <c r="P344" s="322" t="str">
        <f t="shared" si="93"/>
        <v>Dänemark</v>
      </c>
    </row>
    <row r="345" spans="1:16" ht="11.4" x14ac:dyDescent="0.2">
      <c r="A345" s="322">
        <f>$E$156</f>
        <v>1</v>
      </c>
      <c r="B345" s="322" t="s">
        <v>639</v>
      </c>
      <c r="C345" s="322">
        <f t="shared" ref="C345:M345" si="100">C163</f>
        <v>11</v>
      </c>
      <c r="D345" s="322">
        <f t="shared" si="100"/>
        <v>3</v>
      </c>
      <c r="E345" s="329" t="str">
        <f t="shared" si="100"/>
        <v>SRB</v>
      </c>
      <c r="F345" s="329">
        <f t="shared" si="100"/>
        <v>0</v>
      </c>
      <c r="G345" s="329">
        <f t="shared" si="100"/>
        <v>0</v>
      </c>
      <c r="H345" s="329">
        <f t="shared" si="100"/>
        <v>0</v>
      </c>
      <c r="I345" s="329">
        <f t="shared" si="100"/>
        <v>0</v>
      </c>
      <c r="J345" s="329">
        <f t="shared" si="100"/>
        <v>0</v>
      </c>
      <c r="K345" s="329">
        <f t="shared" si="100"/>
        <v>0</v>
      </c>
      <c r="L345" s="329">
        <f t="shared" si="100"/>
        <v>0</v>
      </c>
      <c r="M345" s="329">
        <f t="shared" si="100"/>
        <v>0</v>
      </c>
      <c r="N345" s="329">
        <v>3</v>
      </c>
      <c r="O345" s="321">
        <f t="shared" si="92"/>
        <v>1</v>
      </c>
      <c r="P345" s="322" t="str">
        <f t="shared" si="93"/>
        <v>Serbien</v>
      </c>
    </row>
    <row r="346" spans="1:16" ht="11.4" x14ac:dyDescent="0.2">
      <c r="A346" s="322">
        <f>$E$157</f>
        <v>1</v>
      </c>
      <c r="B346" s="322" t="s">
        <v>641</v>
      </c>
      <c r="C346" s="322">
        <f t="shared" ref="C346:M346" si="101">C164</f>
        <v>12</v>
      </c>
      <c r="D346" s="322">
        <f t="shared" si="101"/>
        <v>4</v>
      </c>
      <c r="E346" s="329" t="str">
        <f t="shared" si="101"/>
        <v>ENG</v>
      </c>
      <c r="F346" s="329">
        <f t="shared" si="101"/>
        <v>0</v>
      </c>
      <c r="G346" s="329">
        <f t="shared" si="101"/>
        <v>0</v>
      </c>
      <c r="H346" s="329">
        <f t="shared" si="101"/>
        <v>0</v>
      </c>
      <c r="I346" s="329">
        <f t="shared" si="101"/>
        <v>0</v>
      </c>
      <c r="J346" s="329">
        <f t="shared" si="101"/>
        <v>0</v>
      </c>
      <c r="K346" s="329">
        <f t="shared" si="101"/>
        <v>0</v>
      </c>
      <c r="L346" s="329">
        <f t="shared" si="101"/>
        <v>0</v>
      </c>
      <c r="M346" s="329">
        <f t="shared" si="101"/>
        <v>0</v>
      </c>
      <c r="N346" s="329">
        <v>3</v>
      </c>
      <c r="O346" s="321">
        <f t="shared" si="92"/>
        <v>1</v>
      </c>
      <c r="P346" s="322" t="str">
        <f t="shared" si="93"/>
        <v>England</v>
      </c>
    </row>
    <row r="347" spans="1:16" ht="11.4" x14ac:dyDescent="0.2">
      <c r="A347" s="322">
        <f>$AE$154</f>
        <v>1</v>
      </c>
      <c r="B347" s="322" t="s">
        <v>643</v>
      </c>
      <c r="C347" s="322">
        <f t="shared" ref="C347:M350" si="102">AC161</f>
        <v>13</v>
      </c>
      <c r="D347" s="322">
        <f t="shared" si="102"/>
        <v>1</v>
      </c>
      <c r="E347" s="329" t="str">
        <f t="shared" si="102"/>
        <v>POL</v>
      </c>
      <c r="F347" s="329">
        <f t="shared" si="102"/>
        <v>0</v>
      </c>
      <c r="G347" s="329">
        <f t="shared" si="102"/>
        <v>0</v>
      </c>
      <c r="H347" s="329">
        <f t="shared" si="102"/>
        <v>0</v>
      </c>
      <c r="I347" s="329">
        <f t="shared" si="102"/>
        <v>0</v>
      </c>
      <c r="J347" s="329">
        <f t="shared" si="102"/>
        <v>0</v>
      </c>
      <c r="K347" s="329">
        <f t="shared" si="102"/>
        <v>0</v>
      </c>
      <c r="L347" s="329">
        <f t="shared" si="102"/>
        <v>0</v>
      </c>
      <c r="M347" s="329">
        <f t="shared" si="102"/>
        <v>0</v>
      </c>
      <c r="N347" s="329">
        <v>4</v>
      </c>
      <c r="O347" s="321">
        <f t="shared" si="92"/>
        <v>1</v>
      </c>
      <c r="P347" s="322" t="str">
        <f t="shared" si="93"/>
        <v>Polen</v>
      </c>
    </row>
    <row r="348" spans="1:16" ht="11.4" x14ac:dyDescent="0.2">
      <c r="A348" s="322">
        <f>$AE$155</f>
        <v>1</v>
      </c>
      <c r="B348" s="322" t="s">
        <v>646</v>
      </c>
      <c r="C348" s="322">
        <f t="shared" si="102"/>
        <v>14</v>
      </c>
      <c r="D348" s="322">
        <f t="shared" si="102"/>
        <v>2</v>
      </c>
      <c r="E348" s="329" t="str">
        <f t="shared" si="102"/>
        <v>NED</v>
      </c>
      <c r="F348" s="329">
        <f t="shared" si="102"/>
        <v>0</v>
      </c>
      <c r="G348" s="329">
        <f t="shared" si="102"/>
        <v>0</v>
      </c>
      <c r="H348" s="329">
        <f t="shared" si="102"/>
        <v>0</v>
      </c>
      <c r="I348" s="329">
        <f t="shared" si="102"/>
        <v>0</v>
      </c>
      <c r="J348" s="329">
        <f t="shared" si="102"/>
        <v>0</v>
      </c>
      <c r="K348" s="329">
        <f t="shared" si="102"/>
        <v>0</v>
      </c>
      <c r="L348" s="329">
        <f t="shared" si="102"/>
        <v>0</v>
      </c>
      <c r="M348" s="329">
        <f t="shared" si="102"/>
        <v>0</v>
      </c>
      <c r="N348" s="329">
        <v>4</v>
      </c>
      <c r="O348" s="321">
        <f t="shared" si="92"/>
        <v>1</v>
      </c>
      <c r="P348" s="322" t="str">
        <f t="shared" si="93"/>
        <v>Niederlande</v>
      </c>
    </row>
    <row r="349" spans="1:16" ht="11.4" x14ac:dyDescent="0.2">
      <c r="A349" s="322">
        <f>$AE$156</f>
        <v>1</v>
      </c>
      <c r="B349" s="322" t="s">
        <v>648</v>
      </c>
      <c r="C349" s="322">
        <f t="shared" si="102"/>
        <v>15</v>
      </c>
      <c r="D349" s="322">
        <f t="shared" si="102"/>
        <v>3</v>
      </c>
      <c r="E349" s="329" t="str">
        <f t="shared" si="102"/>
        <v>AUT</v>
      </c>
      <c r="F349" s="329">
        <f t="shared" si="102"/>
        <v>0</v>
      </c>
      <c r="G349" s="329">
        <f t="shared" si="102"/>
        <v>0</v>
      </c>
      <c r="H349" s="329">
        <f t="shared" si="102"/>
        <v>0</v>
      </c>
      <c r="I349" s="329">
        <f t="shared" si="102"/>
        <v>0</v>
      </c>
      <c r="J349" s="329">
        <f t="shared" si="102"/>
        <v>0</v>
      </c>
      <c r="K349" s="329">
        <f t="shared" si="102"/>
        <v>0</v>
      </c>
      <c r="L349" s="329">
        <f t="shared" si="102"/>
        <v>0</v>
      </c>
      <c r="M349" s="329">
        <f t="shared" si="102"/>
        <v>0</v>
      </c>
      <c r="N349" s="329">
        <v>4</v>
      </c>
      <c r="O349" s="321">
        <f t="shared" si="92"/>
        <v>1</v>
      </c>
      <c r="P349" s="322" t="str">
        <f t="shared" si="93"/>
        <v>Österreich</v>
      </c>
    </row>
    <row r="350" spans="1:16" ht="11.4" x14ac:dyDescent="0.2">
      <c r="A350" s="322">
        <f>$AE$157</f>
        <v>1</v>
      </c>
      <c r="B350" s="322" t="s">
        <v>650</v>
      </c>
      <c r="C350" s="322">
        <f t="shared" si="102"/>
        <v>16</v>
      </c>
      <c r="D350" s="322">
        <f t="shared" si="102"/>
        <v>4</v>
      </c>
      <c r="E350" s="329" t="str">
        <f t="shared" si="102"/>
        <v>FRA</v>
      </c>
      <c r="F350" s="329">
        <f t="shared" si="102"/>
        <v>0</v>
      </c>
      <c r="G350" s="329">
        <f t="shared" si="102"/>
        <v>0</v>
      </c>
      <c r="H350" s="329">
        <f t="shared" si="102"/>
        <v>0</v>
      </c>
      <c r="I350" s="329">
        <f t="shared" si="102"/>
        <v>0</v>
      </c>
      <c r="J350" s="329">
        <f t="shared" si="102"/>
        <v>0</v>
      </c>
      <c r="K350" s="329">
        <f t="shared" si="102"/>
        <v>0</v>
      </c>
      <c r="L350" s="329">
        <f t="shared" si="102"/>
        <v>0</v>
      </c>
      <c r="M350" s="329">
        <f t="shared" si="102"/>
        <v>0</v>
      </c>
      <c r="N350" s="329">
        <v>4</v>
      </c>
      <c r="O350" s="321">
        <f t="shared" si="92"/>
        <v>1</v>
      </c>
      <c r="P350" s="322" t="str">
        <f t="shared" si="93"/>
        <v>Frankreich</v>
      </c>
    </row>
    <row r="351" spans="1:16" ht="11.4" x14ac:dyDescent="0.2">
      <c r="A351" s="322">
        <f>$E$236</f>
        <v>1</v>
      </c>
      <c r="B351" s="322" t="s">
        <v>652</v>
      </c>
      <c r="C351" s="322">
        <f t="shared" ref="C351:M351" si="103">C243</f>
        <v>17</v>
      </c>
      <c r="D351" s="322">
        <f t="shared" si="103"/>
        <v>1</v>
      </c>
      <c r="E351" s="329" t="str">
        <f t="shared" si="103"/>
        <v>BEL</v>
      </c>
      <c r="F351" s="329">
        <f t="shared" si="103"/>
        <v>0</v>
      </c>
      <c r="G351" s="329">
        <f t="shared" si="103"/>
        <v>0</v>
      </c>
      <c r="H351" s="329">
        <f t="shared" si="103"/>
        <v>0</v>
      </c>
      <c r="I351" s="329">
        <f t="shared" si="103"/>
        <v>0</v>
      </c>
      <c r="J351" s="329">
        <f t="shared" si="103"/>
        <v>0</v>
      </c>
      <c r="K351" s="329">
        <f t="shared" si="103"/>
        <v>0</v>
      </c>
      <c r="L351" s="329">
        <f t="shared" si="103"/>
        <v>0</v>
      </c>
      <c r="M351" s="329">
        <f t="shared" si="103"/>
        <v>0</v>
      </c>
      <c r="N351" s="329">
        <v>5</v>
      </c>
      <c r="O351" s="321">
        <f t="shared" si="92"/>
        <v>1</v>
      </c>
      <c r="P351" s="322" t="str">
        <f t="shared" si="93"/>
        <v>Belgien</v>
      </c>
    </row>
    <row r="352" spans="1:16" ht="11.4" x14ac:dyDescent="0.2">
      <c r="A352" s="322">
        <f>$E$237</f>
        <v>1</v>
      </c>
      <c r="B352" s="322" t="s">
        <v>654</v>
      </c>
      <c r="C352" s="322">
        <f t="shared" ref="C352:M352" si="104">C244</f>
        <v>18</v>
      </c>
      <c r="D352" s="322">
        <f t="shared" si="104"/>
        <v>2</v>
      </c>
      <c r="E352" s="329" t="str">
        <f t="shared" si="104"/>
        <v>SVK</v>
      </c>
      <c r="F352" s="329">
        <f t="shared" si="104"/>
        <v>0</v>
      </c>
      <c r="G352" s="329">
        <f t="shared" si="104"/>
        <v>0</v>
      </c>
      <c r="H352" s="329">
        <f t="shared" si="104"/>
        <v>0</v>
      </c>
      <c r="I352" s="329">
        <f t="shared" si="104"/>
        <v>0</v>
      </c>
      <c r="J352" s="329">
        <f t="shared" si="104"/>
        <v>0</v>
      </c>
      <c r="K352" s="329">
        <f t="shared" si="104"/>
        <v>0</v>
      </c>
      <c r="L352" s="329">
        <f t="shared" si="104"/>
        <v>0</v>
      </c>
      <c r="M352" s="329">
        <f t="shared" si="104"/>
        <v>0</v>
      </c>
      <c r="N352" s="329">
        <v>5</v>
      </c>
      <c r="O352" s="321">
        <f t="shared" si="92"/>
        <v>1</v>
      </c>
      <c r="P352" s="322" t="str">
        <f t="shared" si="93"/>
        <v>Slowakei</v>
      </c>
    </row>
    <row r="353" spans="1:17" ht="11.4" x14ac:dyDescent="0.2">
      <c r="A353" s="322">
        <f>$E$238</f>
        <v>1</v>
      </c>
      <c r="B353" s="322" t="s">
        <v>657</v>
      </c>
      <c r="C353" s="322">
        <f t="shared" ref="C353:M353" si="105">C245</f>
        <v>19</v>
      </c>
      <c r="D353" s="322">
        <f t="shared" si="105"/>
        <v>3</v>
      </c>
      <c r="E353" s="329" t="str">
        <f t="shared" si="105"/>
        <v>ROM</v>
      </c>
      <c r="F353" s="329">
        <f t="shared" si="105"/>
        <v>0</v>
      </c>
      <c r="G353" s="329">
        <f t="shared" si="105"/>
        <v>0</v>
      </c>
      <c r="H353" s="329">
        <f t="shared" si="105"/>
        <v>0</v>
      </c>
      <c r="I353" s="329">
        <f t="shared" si="105"/>
        <v>0</v>
      </c>
      <c r="J353" s="329">
        <f t="shared" si="105"/>
        <v>0</v>
      </c>
      <c r="K353" s="329">
        <f t="shared" si="105"/>
        <v>0</v>
      </c>
      <c r="L353" s="329">
        <f t="shared" si="105"/>
        <v>0</v>
      </c>
      <c r="M353" s="329">
        <f t="shared" si="105"/>
        <v>0</v>
      </c>
      <c r="N353" s="329">
        <v>5</v>
      </c>
      <c r="O353" s="321">
        <f t="shared" si="92"/>
        <v>1</v>
      </c>
      <c r="P353" s="322" t="str">
        <f t="shared" si="93"/>
        <v>Rumänien</v>
      </c>
    </row>
    <row r="354" spans="1:17" ht="11.4" x14ac:dyDescent="0.2">
      <c r="A354" s="322">
        <f>$E$239</f>
        <v>1</v>
      </c>
      <c r="B354" s="322" t="s">
        <v>659</v>
      </c>
      <c r="C354" s="322">
        <f t="shared" ref="C354:M354" si="106">C246</f>
        <v>20</v>
      </c>
      <c r="D354" s="322">
        <f t="shared" si="106"/>
        <v>4</v>
      </c>
      <c r="E354" s="329" t="str">
        <f t="shared" si="106"/>
        <v>UKR</v>
      </c>
      <c r="F354" s="329">
        <f t="shared" si="106"/>
        <v>0</v>
      </c>
      <c r="G354" s="329">
        <f t="shared" si="106"/>
        <v>0</v>
      </c>
      <c r="H354" s="329">
        <f t="shared" si="106"/>
        <v>0</v>
      </c>
      <c r="I354" s="329">
        <f t="shared" si="106"/>
        <v>0</v>
      </c>
      <c r="J354" s="329">
        <f t="shared" si="106"/>
        <v>0</v>
      </c>
      <c r="K354" s="329">
        <f t="shared" si="106"/>
        <v>0</v>
      </c>
      <c r="L354" s="329">
        <f t="shared" si="106"/>
        <v>0</v>
      </c>
      <c r="M354" s="329">
        <f t="shared" si="106"/>
        <v>0</v>
      </c>
      <c r="N354" s="329">
        <v>5</v>
      </c>
      <c r="O354" s="321">
        <f t="shared" si="92"/>
        <v>1</v>
      </c>
      <c r="P354" s="322" t="str">
        <f t="shared" si="93"/>
        <v>Ukraine</v>
      </c>
    </row>
    <row r="355" spans="1:17" ht="11.4" x14ac:dyDescent="0.2">
      <c r="A355" s="322">
        <f>$AE$236</f>
        <v>1</v>
      </c>
      <c r="B355" s="322" t="s">
        <v>661</v>
      </c>
      <c r="C355" s="322">
        <f t="shared" ref="C355:M358" si="107">AC243</f>
        <v>21</v>
      </c>
      <c r="D355" s="322">
        <f t="shared" si="107"/>
        <v>1</v>
      </c>
      <c r="E355" s="329" t="str">
        <f t="shared" si="107"/>
        <v>TUR</v>
      </c>
      <c r="F355" s="329">
        <f t="shared" si="107"/>
        <v>0</v>
      </c>
      <c r="G355" s="329">
        <f t="shared" si="107"/>
        <v>0</v>
      </c>
      <c r="H355" s="329">
        <f t="shared" si="107"/>
        <v>0</v>
      </c>
      <c r="I355" s="329">
        <f t="shared" si="107"/>
        <v>0</v>
      </c>
      <c r="J355" s="329">
        <f t="shared" si="107"/>
        <v>0</v>
      </c>
      <c r="K355" s="329">
        <f t="shared" si="107"/>
        <v>0</v>
      </c>
      <c r="L355" s="329">
        <f t="shared" si="107"/>
        <v>0</v>
      </c>
      <c r="M355" s="329">
        <f t="shared" si="107"/>
        <v>0</v>
      </c>
      <c r="N355" s="329">
        <v>6</v>
      </c>
      <c r="O355" s="321">
        <f t="shared" si="92"/>
        <v>1</v>
      </c>
      <c r="P355" s="322" t="str">
        <f t="shared" si="93"/>
        <v>Türkei</v>
      </c>
    </row>
    <row r="356" spans="1:17" ht="11.4" x14ac:dyDescent="0.2">
      <c r="A356" s="322">
        <f>$AE$237</f>
        <v>1</v>
      </c>
      <c r="B356" s="322" t="s">
        <v>663</v>
      </c>
      <c r="C356" s="322">
        <f t="shared" si="107"/>
        <v>22</v>
      </c>
      <c r="D356" s="322">
        <f t="shared" si="107"/>
        <v>2</v>
      </c>
      <c r="E356" s="329" t="str">
        <f t="shared" si="107"/>
        <v>GEO</v>
      </c>
      <c r="F356" s="329">
        <f t="shared" si="107"/>
        <v>0</v>
      </c>
      <c r="G356" s="329">
        <f t="shared" si="107"/>
        <v>0</v>
      </c>
      <c r="H356" s="329">
        <f t="shared" si="107"/>
        <v>0</v>
      </c>
      <c r="I356" s="329">
        <f t="shared" si="107"/>
        <v>0</v>
      </c>
      <c r="J356" s="329">
        <f t="shared" si="107"/>
        <v>0</v>
      </c>
      <c r="K356" s="329">
        <f t="shared" si="107"/>
        <v>0</v>
      </c>
      <c r="L356" s="329">
        <f t="shared" si="107"/>
        <v>0</v>
      </c>
      <c r="M356" s="329">
        <f t="shared" si="107"/>
        <v>0</v>
      </c>
      <c r="N356" s="329">
        <v>6</v>
      </c>
      <c r="O356" s="321">
        <f t="shared" si="92"/>
        <v>1</v>
      </c>
      <c r="P356" s="322" t="str">
        <f t="shared" si="93"/>
        <v>Georgien</v>
      </c>
    </row>
    <row r="357" spans="1:17" ht="11.4" x14ac:dyDescent="0.2">
      <c r="A357" s="322">
        <f>$AE$238</f>
        <v>1</v>
      </c>
      <c r="B357" s="322" t="s">
        <v>665</v>
      </c>
      <c r="C357" s="322">
        <f t="shared" si="107"/>
        <v>23</v>
      </c>
      <c r="D357" s="322">
        <f t="shared" si="107"/>
        <v>3</v>
      </c>
      <c r="E357" s="329" t="str">
        <f t="shared" si="107"/>
        <v>POR</v>
      </c>
      <c r="F357" s="329">
        <f t="shared" si="107"/>
        <v>0</v>
      </c>
      <c r="G357" s="329">
        <f t="shared" si="107"/>
        <v>0</v>
      </c>
      <c r="H357" s="329">
        <f t="shared" si="107"/>
        <v>0</v>
      </c>
      <c r="I357" s="329">
        <f t="shared" si="107"/>
        <v>0</v>
      </c>
      <c r="J357" s="329">
        <f t="shared" si="107"/>
        <v>0</v>
      </c>
      <c r="K357" s="329">
        <f t="shared" si="107"/>
        <v>0</v>
      </c>
      <c r="L357" s="329">
        <f t="shared" si="107"/>
        <v>0</v>
      </c>
      <c r="M357" s="329">
        <f t="shared" si="107"/>
        <v>0</v>
      </c>
      <c r="N357" s="329">
        <v>6</v>
      </c>
      <c r="O357" s="321">
        <f t="shared" si="92"/>
        <v>1</v>
      </c>
      <c r="P357" s="322" t="str">
        <f t="shared" si="93"/>
        <v>Portugal</v>
      </c>
    </row>
    <row r="358" spans="1:17" ht="11.4" x14ac:dyDescent="0.2">
      <c r="A358" s="322">
        <f>$AE$239</f>
        <v>1</v>
      </c>
      <c r="B358" s="322" t="s">
        <v>430</v>
      </c>
      <c r="C358" s="322">
        <f t="shared" si="107"/>
        <v>24</v>
      </c>
      <c r="D358" s="322">
        <f t="shared" si="107"/>
        <v>4</v>
      </c>
      <c r="E358" s="329" t="str">
        <f t="shared" si="107"/>
        <v>CZE</v>
      </c>
      <c r="F358" s="329">
        <f t="shared" si="107"/>
        <v>0</v>
      </c>
      <c r="G358" s="329">
        <f t="shared" si="107"/>
        <v>0</v>
      </c>
      <c r="H358" s="329">
        <f t="shared" si="107"/>
        <v>0</v>
      </c>
      <c r="I358" s="329">
        <f t="shared" si="107"/>
        <v>0</v>
      </c>
      <c r="J358" s="329">
        <f t="shared" si="107"/>
        <v>0</v>
      </c>
      <c r="K358" s="329">
        <f t="shared" si="107"/>
        <v>0</v>
      </c>
      <c r="L358" s="329">
        <f t="shared" si="107"/>
        <v>0</v>
      </c>
      <c r="M358" s="329">
        <f t="shared" si="107"/>
        <v>0</v>
      </c>
      <c r="N358" s="329">
        <v>6</v>
      </c>
      <c r="O358" s="321">
        <f t="shared" si="92"/>
        <v>1</v>
      </c>
      <c r="P358" s="322" t="str">
        <f t="shared" si="93"/>
        <v>Tschechien</v>
      </c>
    </row>
    <row r="360" spans="1:17" x14ac:dyDescent="0.2">
      <c r="O360" s="322" t="b">
        <v>0</v>
      </c>
    </row>
    <row r="361" spans="1:17" x14ac:dyDescent="0.2">
      <c r="B361" s="329" t="s">
        <v>690</v>
      </c>
      <c r="C361" s="329" t="s">
        <v>1022</v>
      </c>
      <c r="D361" s="329" t="s">
        <v>996</v>
      </c>
      <c r="E361" s="329" t="s">
        <v>975</v>
      </c>
      <c r="F361" s="329" t="s">
        <v>108</v>
      </c>
      <c r="G361" s="329" t="s">
        <v>1026</v>
      </c>
      <c r="H361" s="329" t="s">
        <v>587</v>
      </c>
      <c r="I361" s="329" t="s">
        <v>1027</v>
      </c>
      <c r="J361" s="329" t="s">
        <v>1028</v>
      </c>
      <c r="K361" s="329" t="s">
        <v>999</v>
      </c>
      <c r="L361" s="322" t="s">
        <v>1003</v>
      </c>
      <c r="M361" s="322" t="s">
        <v>994</v>
      </c>
      <c r="N361" s="322" t="s">
        <v>1020</v>
      </c>
      <c r="O361" s="322" t="s">
        <v>1024</v>
      </c>
      <c r="P361" s="322" t="s">
        <v>1032</v>
      </c>
    </row>
    <row r="362" spans="1:17" x14ac:dyDescent="0.2">
      <c r="A362" s="322" t="s">
        <v>906</v>
      </c>
      <c r="B362" s="329" t="str">
        <f t="shared" ref="B362:K362" si="108">A81</f>
        <v>DA</v>
      </c>
      <c r="C362" s="329">
        <f t="shared" si="108"/>
        <v>3</v>
      </c>
      <c r="D362" s="329">
        <f t="shared" si="108"/>
        <v>3</v>
      </c>
      <c r="E362" s="329">
        <f t="shared" si="108"/>
        <v>3</v>
      </c>
      <c r="F362" s="329" t="str">
        <f t="shared" si="108"/>
        <v>HUN</v>
      </c>
      <c r="G362" s="329">
        <f t="shared" si="108"/>
        <v>0</v>
      </c>
      <c r="H362" s="329">
        <f t="shared" si="108"/>
        <v>0</v>
      </c>
      <c r="I362" s="329">
        <f t="shared" si="108"/>
        <v>0</v>
      </c>
      <c r="J362" s="329">
        <f t="shared" si="108"/>
        <v>0</v>
      </c>
      <c r="K362" s="329">
        <f t="shared" si="108"/>
        <v>0</v>
      </c>
      <c r="L362" s="322">
        <f t="shared" ref="L362:L367" si="109">H362*10000+K362*100+I362</f>
        <v>0</v>
      </c>
      <c r="M362" s="322">
        <f t="shared" ref="M362:M367" si="110">RANK(L362,$L$362:$L$367)</f>
        <v>1</v>
      </c>
      <c r="N362" s="322">
        <f>M362+COUNTIF(M$361:M361,"="&amp;M362)</f>
        <v>1</v>
      </c>
      <c r="O362" s="322">
        <v>1</v>
      </c>
      <c r="P362" s="322">
        <f t="shared" ref="P362:P367" si="111">IF($O$360,O362,N362)</f>
        <v>1</v>
      </c>
      <c r="Q362" s="322" t="s">
        <v>581</v>
      </c>
    </row>
    <row r="363" spans="1:17" x14ac:dyDescent="0.2">
      <c r="A363" s="322" t="s">
        <v>918</v>
      </c>
      <c r="B363" s="329" t="str">
        <f t="shared" ref="B363:K363" si="112">AA81</f>
        <v>DB</v>
      </c>
      <c r="C363" s="329">
        <f t="shared" si="112"/>
        <v>3</v>
      </c>
      <c r="D363" s="329">
        <f t="shared" si="112"/>
        <v>7</v>
      </c>
      <c r="E363" s="329">
        <f t="shared" si="112"/>
        <v>3</v>
      </c>
      <c r="F363" s="329" t="str">
        <f t="shared" si="112"/>
        <v>ITA</v>
      </c>
      <c r="G363" s="329">
        <f t="shared" si="112"/>
        <v>0</v>
      </c>
      <c r="H363" s="329">
        <f t="shared" si="112"/>
        <v>0</v>
      </c>
      <c r="I363" s="329">
        <f t="shared" si="112"/>
        <v>0</v>
      </c>
      <c r="J363" s="329">
        <f t="shared" si="112"/>
        <v>0</v>
      </c>
      <c r="K363" s="329">
        <f t="shared" si="112"/>
        <v>0</v>
      </c>
      <c r="L363" s="322">
        <f t="shared" si="109"/>
        <v>0</v>
      </c>
      <c r="M363" s="322">
        <f t="shared" si="110"/>
        <v>1</v>
      </c>
      <c r="N363" s="322">
        <f>M363+COUNTIF(M$361:M362,"="&amp;M363)</f>
        <v>2</v>
      </c>
      <c r="O363" s="322">
        <v>2</v>
      </c>
      <c r="P363" s="322">
        <f t="shared" si="111"/>
        <v>2</v>
      </c>
      <c r="Q363" s="322" t="s">
        <v>601</v>
      </c>
    </row>
    <row r="364" spans="1:17" x14ac:dyDescent="0.2">
      <c r="A364" s="322" t="s">
        <v>930</v>
      </c>
      <c r="B364" s="329" t="str">
        <f t="shared" ref="B364:K364" si="113">A163</f>
        <v>DC</v>
      </c>
      <c r="C364" s="329">
        <f t="shared" si="113"/>
        <v>3</v>
      </c>
      <c r="D364" s="329">
        <f t="shared" si="113"/>
        <v>11</v>
      </c>
      <c r="E364" s="329">
        <f t="shared" si="113"/>
        <v>3</v>
      </c>
      <c r="F364" s="329" t="str">
        <f t="shared" si="113"/>
        <v>SRB</v>
      </c>
      <c r="G364" s="329">
        <f t="shared" si="113"/>
        <v>0</v>
      </c>
      <c r="H364" s="329">
        <f t="shared" si="113"/>
        <v>0</v>
      </c>
      <c r="I364" s="329">
        <f t="shared" si="113"/>
        <v>0</v>
      </c>
      <c r="J364" s="329">
        <f t="shared" si="113"/>
        <v>0</v>
      </c>
      <c r="K364" s="329">
        <f t="shared" si="113"/>
        <v>0</v>
      </c>
      <c r="L364" s="322">
        <f t="shared" si="109"/>
        <v>0</v>
      </c>
      <c r="M364" s="322">
        <f t="shared" si="110"/>
        <v>1</v>
      </c>
      <c r="N364" s="322">
        <f>M364+COUNTIF(M$361:M363,"="&amp;M364)</f>
        <v>3</v>
      </c>
      <c r="O364" s="322">
        <v>3</v>
      </c>
      <c r="P364" s="322">
        <f t="shared" si="111"/>
        <v>3</v>
      </c>
      <c r="Q364" s="322" t="s">
        <v>613</v>
      </c>
    </row>
    <row r="365" spans="1:17" x14ac:dyDescent="0.2">
      <c r="A365" s="322" t="s">
        <v>673</v>
      </c>
      <c r="B365" s="329" t="str">
        <f t="shared" ref="B365:K365" si="114">AA163</f>
        <v>DD</v>
      </c>
      <c r="C365" s="329">
        <f t="shared" si="114"/>
        <v>3</v>
      </c>
      <c r="D365" s="329">
        <f t="shared" si="114"/>
        <v>15</v>
      </c>
      <c r="E365" s="329">
        <f t="shared" si="114"/>
        <v>3</v>
      </c>
      <c r="F365" s="329" t="str">
        <f t="shared" si="114"/>
        <v>AUT</v>
      </c>
      <c r="G365" s="329">
        <f t="shared" si="114"/>
        <v>0</v>
      </c>
      <c r="H365" s="329">
        <f t="shared" si="114"/>
        <v>0</v>
      </c>
      <c r="I365" s="329">
        <f t="shared" si="114"/>
        <v>0</v>
      </c>
      <c r="J365" s="329">
        <f t="shared" si="114"/>
        <v>0</v>
      </c>
      <c r="K365" s="329">
        <f t="shared" si="114"/>
        <v>0</v>
      </c>
      <c r="L365" s="322">
        <f t="shared" si="109"/>
        <v>0</v>
      </c>
      <c r="M365" s="322">
        <f t="shared" si="110"/>
        <v>1</v>
      </c>
      <c r="N365" s="322">
        <f>M365+COUNTIF(M$361:M364,"="&amp;M365)</f>
        <v>4</v>
      </c>
      <c r="O365" s="322">
        <v>4</v>
      </c>
      <c r="P365" s="322">
        <f t="shared" si="111"/>
        <v>4</v>
      </c>
      <c r="Q365" s="322" t="s">
        <v>608</v>
      </c>
    </row>
    <row r="366" spans="1:17" x14ac:dyDescent="0.2">
      <c r="A366" s="322" t="s">
        <v>942</v>
      </c>
      <c r="B366" s="329" t="str">
        <f t="shared" ref="B366:K366" si="115">A245</f>
        <v>DE</v>
      </c>
      <c r="C366" s="329">
        <f t="shared" si="115"/>
        <v>3</v>
      </c>
      <c r="D366" s="329">
        <f t="shared" si="115"/>
        <v>19</v>
      </c>
      <c r="E366" s="329">
        <f t="shared" si="115"/>
        <v>3</v>
      </c>
      <c r="F366" s="329" t="str">
        <f t="shared" si="115"/>
        <v>ROM</v>
      </c>
      <c r="G366" s="329">
        <f t="shared" si="115"/>
        <v>0</v>
      </c>
      <c r="H366" s="329">
        <f t="shared" si="115"/>
        <v>0</v>
      </c>
      <c r="I366" s="329">
        <f t="shared" si="115"/>
        <v>0</v>
      </c>
      <c r="J366" s="329">
        <f t="shared" si="115"/>
        <v>0</v>
      </c>
      <c r="K366" s="329">
        <f t="shared" si="115"/>
        <v>0</v>
      </c>
      <c r="L366" s="322">
        <f t="shared" si="109"/>
        <v>0</v>
      </c>
      <c r="M366" s="322">
        <f t="shared" si="110"/>
        <v>1</v>
      </c>
      <c r="N366" s="322">
        <f>M366+COUNTIF(M$361:M365,"="&amp;M366)</f>
        <v>5</v>
      </c>
      <c r="O366" s="322">
        <v>5</v>
      </c>
      <c r="P366" s="322">
        <f t="shared" si="111"/>
        <v>5</v>
      </c>
      <c r="Q366" s="322" t="s">
        <v>487</v>
      </c>
    </row>
    <row r="367" spans="1:17" x14ac:dyDescent="0.2">
      <c r="A367" s="322" t="s">
        <v>946</v>
      </c>
      <c r="B367" s="329" t="str">
        <f t="shared" ref="B367:K367" si="116">AA245</f>
        <v>DF</v>
      </c>
      <c r="C367" s="329">
        <f t="shared" si="116"/>
        <v>3</v>
      </c>
      <c r="D367" s="329">
        <f t="shared" si="116"/>
        <v>23</v>
      </c>
      <c r="E367" s="329">
        <f t="shared" si="116"/>
        <v>3</v>
      </c>
      <c r="F367" s="329" t="str">
        <f t="shared" si="116"/>
        <v>POR</v>
      </c>
      <c r="G367" s="329">
        <f t="shared" si="116"/>
        <v>0</v>
      </c>
      <c r="H367" s="329">
        <f t="shared" si="116"/>
        <v>0</v>
      </c>
      <c r="I367" s="329">
        <f t="shared" si="116"/>
        <v>0</v>
      </c>
      <c r="J367" s="329">
        <f t="shared" si="116"/>
        <v>0</v>
      </c>
      <c r="K367" s="329">
        <f t="shared" si="116"/>
        <v>0</v>
      </c>
      <c r="L367" s="322">
        <f t="shared" si="109"/>
        <v>0</v>
      </c>
      <c r="M367" s="322">
        <f t="shared" si="110"/>
        <v>1</v>
      </c>
      <c r="N367" s="322">
        <f>M367+COUNTIF(M$361:M366,"="&amp;M367)</f>
        <v>6</v>
      </c>
      <c r="O367" s="322">
        <v>6</v>
      </c>
      <c r="P367" s="322">
        <f t="shared" si="111"/>
        <v>6</v>
      </c>
      <c r="Q367" s="322" t="s">
        <v>632</v>
      </c>
    </row>
    <row r="369" spans="6:17" x14ac:dyDescent="0.2">
      <c r="Q369" s="322" t="s">
        <v>1090</v>
      </c>
    </row>
    <row r="370" spans="6:17" ht="11.4" x14ac:dyDescent="0.2">
      <c r="H370" s="325" t="s">
        <v>61</v>
      </c>
      <c r="I370" s="325" t="s">
        <v>62</v>
      </c>
      <c r="J370" s="325" t="s">
        <v>64</v>
      </c>
      <c r="K370" s="325" t="s">
        <v>65</v>
      </c>
      <c r="N370" s="329" t="s">
        <v>747</v>
      </c>
      <c r="O370" s="329" t="s">
        <v>1035</v>
      </c>
      <c r="P370" s="329"/>
      <c r="Q370" s="322" t="b">
        <f>Tippabgabe!$DT$121</f>
        <v>0</v>
      </c>
    </row>
    <row r="371" spans="6:17" x14ac:dyDescent="0.2">
      <c r="G371" s="350" t="s">
        <v>1091</v>
      </c>
      <c r="H371" s="329">
        <v>1</v>
      </c>
      <c r="I371" s="329">
        <v>7</v>
      </c>
      <c r="J371" s="329">
        <v>5</v>
      </c>
      <c r="K371" s="329">
        <v>3</v>
      </c>
      <c r="M371" s="322">
        <v>1</v>
      </c>
      <c r="N371" s="329">
        <f>MATCH(M371,$P$362:$P$367,0)</f>
        <v>1</v>
      </c>
      <c r="O371" s="329">
        <f>IF(Q370,Q371,MIN(N371:N374))</f>
        <v>1</v>
      </c>
      <c r="P371" s="329" t="str">
        <f>INDEX($Q$362:$Q$367,O371)</f>
        <v>A</v>
      </c>
      <c r="Q371" s="322">
        <f>IF(Q$370,SMALL(Tippabgabe!$DT$122:$DT$127,M371),N371)</f>
        <v>1</v>
      </c>
    </row>
    <row r="372" spans="6:17" x14ac:dyDescent="0.2">
      <c r="F372" s="322" t="s">
        <v>1038</v>
      </c>
      <c r="H372" s="329" t="s">
        <v>913</v>
      </c>
      <c r="I372" s="329" t="s">
        <v>922</v>
      </c>
      <c r="J372" s="329" t="s">
        <v>938</v>
      </c>
      <c r="K372" s="329" t="s">
        <v>944</v>
      </c>
      <c r="M372" s="322">
        <v>2</v>
      </c>
      <c r="N372" s="329">
        <f>MATCH(M372,$P$362:$P$367,0)</f>
        <v>2</v>
      </c>
      <c r="O372" s="329">
        <f>IF(Q370,Q372,SMALL(N371:N374,2))</f>
        <v>2</v>
      </c>
      <c r="P372" s="329" t="str">
        <f>INDEX($Q$362:$Q$367,O372)</f>
        <v>B</v>
      </c>
      <c r="Q372" s="322">
        <f>IF(Q$370,SMALL(Tippabgabe!$DT$122:$DT$127,M372),N372)</f>
        <v>2</v>
      </c>
    </row>
    <row r="373" spans="6:17" x14ac:dyDescent="0.2">
      <c r="F373" s="322">
        <v>1</v>
      </c>
      <c r="G373" s="322" t="s">
        <v>969</v>
      </c>
      <c r="H373" s="329" t="s">
        <v>906</v>
      </c>
      <c r="I373" s="329" t="s">
        <v>673</v>
      </c>
      <c r="J373" s="329" t="s">
        <v>918</v>
      </c>
      <c r="K373" s="329" t="s">
        <v>930</v>
      </c>
      <c r="M373" s="322">
        <v>3</v>
      </c>
      <c r="N373" s="329">
        <f>MATCH(M373,$P$362:$P$367,0)</f>
        <v>3</v>
      </c>
      <c r="O373" s="329">
        <f>IF(Q370,Q373,SMALL(N371:N374,3))</f>
        <v>3</v>
      </c>
      <c r="P373" s="329" t="str">
        <f>INDEX($Q$362:$Q$367,O373)</f>
        <v>C</v>
      </c>
      <c r="Q373" s="322">
        <f>IF(Q$370,SMALL(Tippabgabe!$DT$122:$DT$127,M373),N373)</f>
        <v>3</v>
      </c>
    </row>
    <row r="374" spans="6:17" x14ac:dyDescent="0.2">
      <c r="F374" s="322">
        <v>2</v>
      </c>
      <c r="G374" s="322" t="s">
        <v>1039</v>
      </c>
      <c r="H374" s="329" t="s">
        <v>906</v>
      </c>
      <c r="I374" s="329" t="s">
        <v>942</v>
      </c>
      <c r="J374" s="329" t="s">
        <v>918</v>
      </c>
      <c r="K374" s="329" t="s">
        <v>930</v>
      </c>
      <c r="M374" s="322">
        <v>4</v>
      </c>
      <c r="N374" s="329">
        <f>MATCH(M374,$P$362:$P$367,0)</f>
        <v>4</v>
      </c>
      <c r="O374" s="329">
        <f>IF(Q370,Q374,SMALL(N371:N374,4))</f>
        <v>4</v>
      </c>
      <c r="P374" s="329" t="str">
        <f>INDEX($Q$362:$Q$367,O374)</f>
        <v>D</v>
      </c>
      <c r="Q374" s="322">
        <f>IF(Q$370,SMALL(Tippabgabe!$DT$122:$DT$127,M374),N374)</f>
        <v>4</v>
      </c>
    </row>
    <row r="375" spans="6:17" x14ac:dyDescent="0.2">
      <c r="F375" s="322">
        <v>3</v>
      </c>
      <c r="G375" s="322" t="s">
        <v>1040</v>
      </c>
      <c r="H375" s="329" t="s">
        <v>906</v>
      </c>
      <c r="I375" s="329" t="s">
        <v>946</v>
      </c>
      <c r="J375" s="329" t="s">
        <v>918</v>
      </c>
      <c r="K375" s="329" t="s">
        <v>930</v>
      </c>
    </row>
    <row r="376" spans="6:17" x14ac:dyDescent="0.2">
      <c r="F376" s="322">
        <v>4</v>
      </c>
      <c r="G376" s="322" t="s">
        <v>1041</v>
      </c>
      <c r="H376" s="329" t="s">
        <v>673</v>
      </c>
      <c r="I376" s="329" t="s">
        <v>942</v>
      </c>
      <c r="J376" s="329" t="s">
        <v>906</v>
      </c>
      <c r="K376" s="329" t="s">
        <v>918</v>
      </c>
    </row>
    <row r="377" spans="6:17" x14ac:dyDescent="0.2">
      <c r="F377" s="322">
        <v>5</v>
      </c>
      <c r="G377" s="322" t="s">
        <v>1042</v>
      </c>
      <c r="H377" s="329" t="s">
        <v>673</v>
      </c>
      <c r="I377" s="329" t="s">
        <v>946</v>
      </c>
      <c r="J377" s="329" t="s">
        <v>906</v>
      </c>
      <c r="K377" s="329" t="s">
        <v>918</v>
      </c>
    </row>
    <row r="378" spans="6:17" x14ac:dyDescent="0.2">
      <c r="F378" s="322">
        <v>6</v>
      </c>
      <c r="G378" s="322" t="s">
        <v>1043</v>
      </c>
      <c r="H378" s="329" t="s">
        <v>942</v>
      </c>
      <c r="I378" s="329" t="s">
        <v>946</v>
      </c>
      <c r="J378" s="329" t="s">
        <v>918</v>
      </c>
      <c r="K378" s="329" t="s">
        <v>906</v>
      </c>
    </row>
    <row r="379" spans="6:17" x14ac:dyDescent="0.2">
      <c r="F379" s="322">
        <v>7</v>
      </c>
      <c r="G379" s="322" t="s">
        <v>1044</v>
      </c>
      <c r="H379" s="329" t="s">
        <v>942</v>
      </c>
      <c r="I379" s="329" t="s">
        <v>673</v>
      </c>
      <c r="J379" s="329" t="s">
        <v>930</v>
      </c>
      <c r="K379" s="329" t="s">
        <v>906</v>
      </c>
    </row>
    <row r="380" spans="6:17" x14ac:dyDescent="0.2">
      <c r="F380" s="322">
        <v>8</v>
      </c>
      <c r="G380" s="322" t="s">
        <v>1045</v>
      </c>
      <c r="H380" s="329" t="s">
        <v>946</v>
      </c>
      <c r="I380" s="329" t="s">
        <v>673</v>
      </c>
      <c r="J380" s="329" t="s">
        <v>930</v>
      </c>
      <c r="K380" s="329" t="s">
        <v>906</v>
      </c>
    </row>
    <row r="381" spans="6:17" x14ac:dyDescent="0.2">
      <c r="F381" s="322">
        <v>9</v>
      </c>
      <c r="G381" s="322" t="s">
        <v>1046</v>
      </c>
      <c r="H381" s="329" t="s">
        <v>942</v>
      </c>
      <c r="I381" s="329" t="s">
        <v>946</v>
      </c>
      <c r="J381" s="329" t="s">
        <v>930</v>
      </c>
      <c r="K381" s="329" t="s">
        <v>906</v>
      </c>
    </row>
    <row r="382" spans="6:17" x14ac:dyDescent="0.2">
      <c r="F382" s="322">
        <v>10</v>
      </c>
      <c r="G382" s="322" t="s">
        <v>967</v>
      </c>
      <c r="H382" s="329" t="s">
        <v>942</v>
      </c>
      <c r="I382" s="329" t="s">
        <v>946</v>
      </c>
      <c r="J382" s="329" t="s">
        <v>673</v>
      </c>
      <c r="K382" s="329" t="s">
        <v>906</v>
      </c>
    </row>
    <row r="383" spans="6:17" x14ac:dyDescent="0.2">
      <c r="F383" s="322">
        <v>11</v>
      </c>
      <c r="G383" s="322" t="s">
        <v>1047</v>
      </c>
      <c r="H383" s="329" t="s">
        <v>942</v>
      </c>
      <c r="I383" s="329" t="s">
        <v>673</v>
      </c>
      <c r="J383" s="329" t="s">
        <v>918</v>
      </c>
      <c r="K383" s="329" t="s">
        <v>930</v>
      </c>
    </row>
    <row r="384" spans="6:17" x14ac:dyDescent="0.2">
      <c r="F384" s="322">
        <v>12</v>
      </c>
      <c r="G384" s="322" t="s">
        <v>1048</v>
      </c>
      <c r="H384" s="329" t="s">
        <v>946</v>
      </c>
      <c r="I384" s="329" t="s">
        <v>673</v>
      </c>
      <c r="J384" s="329" t="s">
        <v>930</v>
      </c>
      <c r="K384" s="329" t="s">
        <v>918</v>
      </c>
    </row>
    <row r="385" spans="1:29" x14ac:dyDescent="0.2">
      <c r="F385" s="322">
        <v>13</v>
      </c>
      <c r="G385" s="322" t="s">
        <v>1049</v>
      </c>
      <c r="H385" s="329" t="s">
        <v>946</v>
      </c>
      <c r="I385" s="329" t="s">
        <v>942</v>
      </c>
      <c r="J385" s="329" t="s">
        <v>930</v>
      </c>
      <c r="K385" s="329" t="s">
        <v>918</v>
      </c>
    </row>
    <row r="386" spans="1:29" x14ac:dyDescent="0.2">
      <c r="F386" s="322">
        <v>14</v>
      </c>
      <c r="G386" s="322" t="s">
        <v>1050</v>
      </c>
      <c r="H386" s="329" t="s">
        <v>946</v>
      </c>
      <c r="I386" s="329" t="s">
        <v>942</v>
      </c>
      <c r="J386" s="329" t="s">
        <v>673</v>
      </c>
      <c r="K386" s="329" t="s">
        <v>918</v>
      </c>
    </row>
    <row r="387" spans="1:29" x14ac:dyDescent="0.2">
      <c r="F387" s="322">
        <v>15</v>
      </c>
      <c r="G387" s="322" t="s">
        <v>1051</v>
      </c>
      <c r="H387" s="329" t="s">
        <v>946</v>
      </c>
      <c r="I387" s="329" t="s">
        <v>942</v>
      </c>
      <c r="J387" s="329" t="s">
        <v>673</v>
      </c>
      <c r="K387" s="329" t="s">
        <v>930</v>
      </c>
    </row>
    <row r="389" spans="1:29" x14ac:dyDescent="0.2">
      <c r="H389" s="329" t="str">
        <f>LEFT(H390,1)</f>
        <v>A</v>
      </c>
      <c r="I389" s="329" t="str">
        <f>LEFT(I390,1)</f>
        <v>D</v>
      </c>
      <c r="J389" s="329" t="str">
        <f>LEFT(J390,1)</f>
        <v>B</v>
      </c>
      <c r="K389" s="329" t="str">
        <f>LEFT(K390,1)</f>
        <v>C</v>
      </c>
    </row>
    <row r="390" spans="1:29" x14ac:dyDescent="0.2">
      <c r="G390" s="322" t="str">
        <f>P371&amp;P372&amp;P373&amp;P374</f>
        <v>ABCD</v>
      </c>
      <c r="H390" s="329" t="str">
        <f>VLOOKUP($G390,$G$373:$K$387,2,FALSE)</f>
        <v>A3</v>
      </c>
      <c r="I390" s="329" t="str">
        <f>VLOOKUP($G390,$G$373:$K$387,3,FALSE)</f>
        <v>D3</v>
      </c>
      <c r="J390" s="329" t="str">
        <f>VLOOKUP($G390,$G$373:$K$387,4,FALSE)</f>
        <v>B3</v>
      </c>
      <c r="K390" s="329" t="str">
        <f>VLOOKUP($G390,$G$373:$K$387,5,FALSE)</f>
        <v>C3</v>
      </c>
    </row>
    <row r="391" spans="1:29" x14ac:dyDescent="0.2">
      <c r="H391" s="329">
        <f>VLOOKUP(H390,$A$362:$D$367,4,FALSE)</f>
        <v>3</v>
      </c>
      <c r="I391" s="329">
        <f>VLOOKUP(I390,$A$362:$D$367,4,FALSE)</f>
        <v>15</v>
      </c>
      <c r="J391" s="329">
        <f>VLOOKUP(J390,$A$362:$D$367,4,FALSE)</f>
        <v>7</v>
      </c>
      <c r="K391" s="329">
        <f>VLOOKUP(K390,$A$362:$D$367,4,FALSE)</f>
        <v>11</v>
      </c>
    </row>
    <row r="392" spans="1:29" x14ac:dyDescent="0.2">
      <c r="H392" s="329" t="str">
        <f>INDEX(teams_k,H391)</f>
        <v>HUN</v>
      </c>
      <c r="I392" s="329" t="str">
        <f>INDEX(teams_k,I391)</f>
        <v>AUT</v>
      </c>
      <c r="J392" s="329" t="str">
        <f>INDEX(teams_k,J391)</f>
        <v>ITA</v>
      </c>
      <c r="K392" s="329" t="str">
        <f>INDEX(teams_k,K391)</f>
        <v>SRB</v>
      </c>
    </row>
    <row r="393" spans="1:29" ht="10.8" thickBot="1" x14ac:dyDescent="0.25">
      <c r="A393" s="322" t="s">
        <v>1092</v>
      </c>
      <c r="H393" s="322" t="str">
        <f>IF(SUM($F$335:$F$358)=0,"x",INDEX(teams,H391))</f>
        <v>x</v>
      </c>
      <c r="I393" s="322" t="str">
        <f>IF(SUM($F$335:$F$358)=0,"x",INDEX(teams,I391))</f>
        <v>x</v>
      </c>
      <c r="J393" s="322" t="str">
        <f>IF(SUM($F$335:$F$358)=0,"x",INDEX(teams,J391))</f>
        <v>x</v>
      </c>
      <c r="K393" s="322" t="str">
        <f>IF(SUM($F$335:$F$358)=0,"x",INDEX(teams,K391))</f>
        <v>x</v>
      </c>
      <c r="Q393" s="322" t="s">
        <v>1053</v>
      </c>
      <c r="S393" s="322" t="s">
        <v>1054</v>
      </c>
      <c r="U393" s="322" t="s">
        <v>394</v>
      </c>
    </row>
    <row r="394" spans="1:29" x14ac:dyDescent="0.2">
      <c r="D394" s="322" t="s">
        <v>1055</v>
      </c>
      <c r="E394" s="351" t="s">
        <v>494</v>
      </c>
      <c r="F394" s="352"/>
      <c r="G394" s="353"/>
      <c r="H394" s="329" t="s">
        <v>1056</v>
      </c>
      <c r="I394" s="329"/>
      <c r="J394" s="322" t="s">
        <v>1057</v>
      </c>
      <c r="M394" s="322" t="s">
        <v>1058</v>
      </c>
      <c r="O394" s="322" t="s">
        <v>1059</v>
      </c>
    </row>
    <row r="395" spans="1:29" ht="11.4" x14ac:dyDescent="0.2">
      <c r="A395" s="321" t="s">
        <v>615</v>
      </c>
      <c r="B395" s="323" t="str">
        <f>"D"&amp;H389</f>
        <v>DA</v>
      </c>
      <c r="C395" s="322">
        <v>1</v>
      </c>
      <c r="D395" s="330" t="b">
        <f t="shared" ref="D395:D402" si="117">AND(O395,P395)</f>
        <v>0</v>
      </c>
      <c r="E395" s="331">
        <v>4</v>
      </c>
      <c r="F395" s="329">
        <v>40</v>
      </c>
      <c r="G395" s="332" t="s">
        <v>151</v>
      </c>
      <c r="H395" s="329" t="s">
        <v>913</v>
      </c>
      <c r="I395" s="333" t="str">
        <f>H390</f>
        <v>A3</v>
      </c>
      <c r="J395" s="330">
        <f t="shared" ref="J395:K402" si="118">VLOOKUP(A395,$B$335:$C$358,2,FALSE)</f>
        <v>5</v>
      </c>
      <c r="K395" s="330">
        <f t="shared" si="118"/>
        <v>3</v>
      </c>
      <c r="M395" s="322" t="s">
        <v>61</v>
      </c>
      <c r="N395" s="322" t="s">
        <v>967</v>
      </c>
      <c r="O395" s="330" t="b">
        <f>SUMIF($N$335:$N$358,"=1",$F$335:$F$358)=12</f>
        <v>0</v>
      </c>
      <c r="P395" s="330" t="b">
        <f>SUMIF($N$335:$N$358,"=3",$F$335:$F$358)=12</f>
        <v>0</v>
      </c>
      <c r="Q395" s="334" t="str">
        <f t="shared" ref="Q395:R402" si="119">INDEX(teams_k,J395)</f>
        <v>ESP</v>
      </c>
      <c r="R395" s="334" t="str">
        <f t="shared" si="119"/>
        <v>HUN</v>
      </c>
      <c r="S395" s="334" t="str">
        <f t="shared" ref="S395:S402" si="120">Q395&amp;IF(LEFT(Q395,1)&lt;&gt;" "," - ","")&amp;R395</f>
        <v>ESP - HUN</v>
      </c>
      <c r="T395" s="330" t="str">
        <f>" ["&amp;HLOOKUP(M395,$H$370:$K$390,21,FALSE)&amp;"]"</f>
        <v xml:space="preserve"> [A3]</v>
      </c>
      <c r="U395" s="330">
        <f t="shared" ref="U395:V402" si="121">IF(O395,J395,0)</f>
        <v>0</v>
      </c>
      <c r="V395" s="330">
        <f t="shared" si="121"/>
        <v>0</v>
      </c>
      <c r="X395" s="335" t="s">
        <v>807</v>
      </c>
      <c r="Y395" s="335" t="s">
        <v>1060</v>
      </c>
      <c r="Z395" s="336" t="s">
        <v>615</v>
      </c>
      <c r="AA395" s="337" t="s">
        <v>623</v>
      </c>
      <c r="AB395" s="338" t="str">
        <f t="shared" ref="AB395:AB402" si="122">M395</f>
        <v>1. B</v>
      </c>
      <c r="AC395" s="338" t="str">
        <f t="shared" ref="AC395:AC402" si="123">IF(LEN(T395)=0,N395,IF(SUM($F$335:$F$358)=72,"3. "&amp;MID(T395,3,1),"3. ?"))</f>
        <v>3. ?</v>
      </c>
    </row>
    <row r="396" spans="1:29" ht="11.4" x14ac:dyDescent="0.2">
      <c r="A396" s="321" t="s">
        <v>599</v>
      </c>
      <c r="B396" s="321" t="s">
        <v>634</v>
      </c>
      <c r="C396" s="322">
        <v>2</v>
      </c>
      <c r="D396" s="330" t="b">
        <f t="shared" si="117"/>
        <v>0</v>
      </c>
      <c r="E396" s="339">
        <v>2</v>
      </c>
      <c r="F396" s="329">
        <v>38</v>
      </c>
      <c r="G396" s="332" t="s">
        <v>152</v>
      </c>
      <c r="H396" s="329" t="s">
        <v>895</v>
      </c>
      <c r="I396" s="329" t="s">
        <v>925</v>
      </c>
      <c r="J396" s="330">
        <f t="shared" si="118"/>
        <v>1</v>
      </c>
      <c r="K396" s="330">
        <f t="shared" si="118"/>
        <v>10</v>
      </c>
      <c r="M396" s="322" t="s">
        <v>60</v>
      </c>
      <c r="N396" s="322" t="s">
        <v>68</v>
      </c>
      <c r="O396" s="330" t="b">
        <f>SUMIF($N$335:$N$358,"=4",$F$335:$F$358)=12</f>
        <v>0</v>
      </c>
      <c r="P396" s="330" t="b">
        <f>SUM($F$335:$F$358)=72</f>
        <v>0</v>
      </c>
      <c r="Q396" s="334" t="str">
        <f t="shared" si="119"/>
        <v>GER</v>
      </c>
      <c r="R396" s="334" t="str">
        <f t="shared" si="119"/>
        <v>DEN</v>
      </c>
      <c r="S396" s="334" t="str">
        <f t="shared" si="120"/>
        <v>GER - DEN</v>
      </c>
      <c r="T396" s="330"/>
      <c r="U396" s="330">
        <f t="shared" si="121"/>
        <v>0</v>
      </c>
      <c r="V396" s="330">
        <f t="shared" si="121"/>
        <v>0</v>
      </c>
      <c r="X396" s="335" t="s">
        <v>808</v>
      </c>
      <c r="Y396" s="335" t="s">
        <v>1061</v>
      </c>
      <c r="Z396" s="336" t="s">
        <v>599</v>
      </c>
      <c r="AA396" s="336" t="s">
        <v>634</v>
      </c>
      <c r="AB396" s="338" t="str">
        <f t="shared" si="122"/>
        <v>1. A</v>
      </c>
      <c r="AC396" s="338" t="str">
        <f t="shared" si="123"/>
        <v>2. C</v>
      </c>
    </row>
    <row r="397" spans="1:29" ht="11.4" x14ac:dyDescent="0.2">
      <c r="A397" s="340" t="s">
        <v>661</v>
      </c>
      <c r="B397" s="341" t="str">
        <f>"D"&amp;K389</f>
        <v>DC</v>
      </c>
      <c r="C397" s="322">
        <v>3</v>
      </c>
      <c r="D397" s="330" t="b">
        <f t="shared" si="117"/>
        <v>0</v>
      </c>
      <c r="E397" s="339">
        <v>6</v>
      </c>
      <c r="F397" s="329">
        <v>42</v>
      </c>
      <c r="G397" s="332" t="s">
        <v>153</v>
      </c>
      <c r="H397" s="329" t="s">
        <v>944</v>
      </c>
      <c r="I397" s="333" t="str">
        <f>K390</f>
        <v>C3</v>
      </c>
      <c r="J397" s="330">
        <f t="shared" si="118"/>
        <v>21</v>
      </c>
      <c r="K397" s="330">
        <f t="shared" si="118"/>
        <v>11</v>
      </c>
      <c r="M397" s="322" t="s">
        <v>65</v>
      </c>
      <c r="N397" s="322" t="s">
        <v>968</v>
      </c>
      <c r="O397" s="330" t="b">
        <f>SUMIF($N$335:$N$358,"=2",$F$335:$F$358)=12</f>
        <v>0</v>
      </c>
      <c r="P397" s="330" t="b">
        <f>SUM($F$335:$F$358)=72</f>
        <v>0</v>
      </c>
      <c r="Q397" s="334" t="str">
        <f t="shared" si="119"/>
        <v>TUR</v>
      </c>
      <c r="R397" s="334" t="str">
        <f t="shared" si="119"/>
        <v>SRB</v>
      </c>
      <c r="S397" s="334" t="str">
        <f t="shared" si="120"/>
        <v>TUR - SRB</v>
      </c>
      <c r="T397" s="330" t="str">
        <f>" ["&amp;HLOOKUP(M397,$H$370:$K$390,21,FALSE)&amp;"]"</f>
        <v xml:space="preserve"> [C3]</v>
      </c>
      <c r="U397" s="330">
        <f t="shared" si="121"/>
        <v>0</v>
      </c>
      <c r="V397" s="330">
        <f t="shared" si="121"/>
        <v>0</v>
      </c>
      <c r="X397" s="335" t="s">
        <v>809</v>
      </c>
      <c r="Y397" s="335" t="s">
        <v>1062</v>
      </c>
      <c r="Z397" s="336" t="s">
        <v>661</v>
      </c>
      <c r="AA397" s="337" t="s">
        <v>665</v>
      </c>
      <c r="AB397" s="338" t="str">
        <f t="shared" si="122"/>
        <v>1. F</v>
      </c>
      <c r="AC397" s="338" t="str">
        <f t="shared" si="123"/>
        <v>3. ?</v>
      </c>
    </row>
    <row r="398" spans="1:29" ht="11.4" x14ac:dyDescent="0.2">
      <c r="A398" s="342" t="s">
        <v>646</v>
      </c>
      <c r="B398" s="342" t="s">
        <v>654</v>
      </c>
      <c r="C398" s="322">
        <v>4</v>
      </c>
      <c r="D398" s="330" t="b">
        <f t="shared" si="117"/>
        <v>0</v>
      </c>
      <c r="E398" s="339">
        <v>5</v>
      </c>
      <c r="F398" s="329">
        <v>41</v>
      </c>
      <c r="G398" s="332" t="s">
        <v>154</v>
      </c>
      <c r="H398" s="329" t="s">
        <v>671</v>
      </c>
      <c r="I398" s="329" t="s">
        <v>941</v>
      </c>
      <c r="J398" s="330">
        <f t="shared" si="118"/>
        <v>14</v>
      </c>
      <c r="K398" s="330">
        <f t="shared" si="118"/>
        <v>18</v>
      </c>
      <c r="M398" s="322" t="s">
        <v>69</v>
      </c>
      <c r="N398" s="322" t="s">
        <v>70</v>
      </c>
      <c r="O398" s="330" t="b">
        <f>SUMIF($N$335:$N$358,"=6",$F$335:$F$358)=12</f>
        <v>0</v>
      </c>
      <c r="P398" s="330" t="b">
        <f>SUMIF($N$335:$N$358,"=5",$F$335:$F$358)=12</f>
        <v>0</v>
      </c>
      <c r="Q398" s="334" t="str">
        <f t="shared" si="119"/>
        <v>NED</v>
      </c>
      <c r="R398" s="334" t="str">
        <f t="shared" si="119"/>
        <v>SVK</v>
      </c>
      <c r="S398" s="334" t="str">
        <f t="shared" si="120"/>
        <v>NED - SVK</v>
      </c>
      <c r="T398" s="330"/>
      <c r="U398" s="330">
        <f t="shared" si="121"/>
        <v>0</v>
      </c>
      <c r="V398" s="330">
        <f t="shared" si="121"/>
        <v>0</v>
      </c>
      <c r="X398" s="335" t="s">
        <v>1063</v>
      </c>
      <c r="Y398" s="335" t="s">
        <v>1064</v>
      </c>
      <c r="Z398" s="336" t="s">
        <v>646</v>
      </c>
      <c r="AA398" s="336" t="s">
        <v>654</v>
      </c>
      <c r="AB398" s="338" t="str">
        <f t="shared" si="122"/>
        <v>2. D</v>
      </c>
      <c r="AC398" s="338" t="str">
        <f t="shared" si="123"/>
        <v>2. E</v>
      </c>
    </row>
    <row r="399" spans="1:29" ht="11.4" x14ac:dyDescent="0.2">
      <c r="A399" s="340" t="s">
        <v>652</v>
      </c>
      <c r="B399" s="341" t="str">
        <f>"D"&amp;J389</f>
        <v>DB</v>
      </c>
      <c r="C399" s="322">
        <v>5</v>
      </c>
      <c r="D399" s="330" t="b">
        <f t="shared" si="117"/>
        <v>0</v>
      </c>
      <c r="E399" s="339">
        <v>7</v>
      </c>
      <c r="F399" s="329">
        <v>44</v>
      </c>
      <c r="G399" s="332" t="s">
        <v>155</v>
      </c>
      <c r="H399" s="329" t="s">
        <v>938</v>
      </c>
      <c r="I399" s="333" t="str">
        <f>J390</f>
        <v>B3</v>
      </c>
      <c r="J399" s="330">
        <f t="shared" si="118"/>
        <v>17</v>
      </c>
      <c r="K399" s="330">
        <f t="shared" si="118"/>
        <v>7</v>
      </c>
      <c r="M399" s="322" t="s">
        <v>64</v>
      </c>
      <c r="N399" s="322" t="s">
        <v>969</v>
      </c>
      <c r="O399" s="330" t="b">
        <f>SUMIF($N$335:$N$358,"=5",$F$335:$F$358)=12</f>
        <v>0</v>
      </c>
      <c r="P399" s="330" t="b">
        <f>SUMIF($N$335:$N$358,"=4",$F$335:$F$358)=12</f>
        <v>0</v>
      </c>
      <c r="Q399" s="334" t="str">
        <f t="shared" si="119"/>
        <v>BEL</v>
      </c>
      <c r="R399" s="334" t="str">
        <f t="shared" si="119"/>
        <v>ITA</v>
      </c>
      <c r="S399" s="334" t="str">
        <f t="shared" si="120"/>
        <v>BEL - ITA</v>
      </c>
      <c r="T399" s="330" t="str">
        <f>" ["&amp;HLOOKUP(M399,$H$370:$K$390,21,FALSE)&amp;"]"</f>
        <v xml:space="preserve"> [B3]</v>
      </c>
      <c r="U399" s="330">
        <f t="shared" si="121"/>
        <v>0</v>
      </c>
      <c r="V399" s="330">
        <f t="shared" si="121"/>
        <v>0</v>
      </c>
      <c r="X399" s="335" t="s">
        <v>810</v>
      </c>
      <c r="Y399" s="335" t="s">
        <v>1065</v>
      </c>
      <c r="Z399" s="336" t="s">
        <v>652</v>
      </c>
      <c r="AA399" s="337" t="s">
        <v>657</v>
      </c>
      <c r="AB399" s="338" t="str">
        <f t="shared" si="122"/>
        <v>1. E</v>
      </c>
      <c r="AC399" s="338" t="str">
        <f t="shared" si="123"/>
        <v>3. ?</v>
      </c>
    </row>
    <row r="400" spans="1:29" ht="11.4" x14ac:dyDescent="0.2">
      <c r="A400" s="342" t="s">
        <v>643</v>
      </c>
      <c r="B400" s="342" t="s">
        <v>663</v>
      </c>
      <c r="C400" s="322">
        <v>6</v>
      </c>
      <c r="D400" s="330" t="b">
        <f t="shared" si="117"/>
        <v>0</v>
      </c>
      <c r="E400" s="339">
        <v>8</v>
      </c>
      <c r="F400" s="329">
        <v>43</v>
      </c>
      <c r="G400" s="332" t="s">
        <v>156</v>
      </c>
      <c r="H400" s="329" t="s">
        <v>668</v>
      </c>
      <c r="I400" s="329" t="s">
        <v>945</v>
      </c>
      <c r="J400" s="330">
        <f t="shared" si="118"/>
        <v>13</v>
      </c>
      <c r="K400" s="330">
        <f t="shared" si="118"/>
        <v>22</v>
      </c>
      <c r="M400" s="322" t="s">
        <v>63</v>
      </c>
      <c r="N400" s="322" t="s">
        <v>71</v>
      </c>
      <c r="O400" s="330" t="b">
        <f>SUMIF($N$335:$N$358,"=3",$F$335:$F$358)=12</f>
        <v>0</v>
      </c>
      <c r="P400" s="330" t="b">
        <f>SUM($F$335:$F$358)=72</f>
        <v>0</v>
      </c>
      <c r="Q400" s="334" t="str">
        <f t="shared" si="119"/>
        <v>POL</v>
      </c>
      <c r="R400" s="334" t="str">
        <f t="shared" si="119"/>
        <v>GEO</v>
      </c>
      <c r="S400" s="334" t="str">
        <f t="shared" si="120"/>
        <v>POL - GEO</v>
      </c>
      <c r="T400" s="330"/>
      <c r="U400" s="330">
        <f t="shared" si="121"/>
        <v>0</v>
      </c>
      <c r="V400" s="330">
        <f t="shared" si="121"/>
        <v>0</v>
      </c>
      <c r="X400" s="335" t="s">
        <v>811</v>
      </c>
      <c r="Y400" s="335" t="s">
        <v>1066</v>
      </c>
      <c r="Z400" s="336" t="s">
        <v>643</v>
      </c>
      <c r="AA400" s="336" t="s">
        <v>663</v>
      </c>
      <c r="AB400" s="338" t="str">
        <f t="shared" si="122"/>
        <v>1. D</v>
      </c>
      <c r="AC400" s="338" t="str">
        <f t="shared" si="123"/>
        <v>2. F</v>
      </c>
    </row>
    <row r="401" spans="1:29" ht="11.4" x14ac:dyDescent="0.2">
      <c r="A401" s="321" t="s">
        <v>630</v>
      </c>
      <c r="B401" s="323" t="str">
        <f>"D"&amp;I389</f>
        <v>DD</v>
      </c>
      <c r="C401" s="322">
        <v>7</v>
      </c>
      <c r="D401" s="330" t="b">
        <f t="shared" si="117"/>
        <v>0</v>
      </c>
      <c r="E401" s="339">
        <v>3</v>
      </c>
      <c r="F401" s="329">
        <v>39</v>
      </c>
      <c r="G401" s="332" t="s">
        <v>157</v>
      </c>
      <c r="H401" s="329" t="s">
        <v>922</v>
      </c>
      <c r="I401" s="333" t="str">
        <f>I390</f>
        <v>D3</v>
      </c>
      <c r="J401" s="330">
        <f t="shared" si="118"/>
        <v>9</v>
      </c>
      <c r="K401" s="330">
        <f t="shared" si="118"/>
        <v>15</v>
      </c>
      <c r="M401" s="322" t="s">
        <v>62</v>
      </c>
      <c r="N401" s="322" t="s">
        <v>966</v>
      </c>
      <c r="O401" s="330" t="b">
        <f>SUMIF($N$335:$N$358,"=2",$F$335:$F$358)=12</f>
        <v>0</v>
      </c>
      <c r="P401" s="330" t="b">
        <f>SUMIF($N$335:$N$358,"=6",$F$335:$F$358)=12</f>
        <v>0</v>
      </c>
      <c r="Q401" s="334" t="str">
        <f t="shared" si="119"/>
        <v>SLO</v>
      </c>
      <c r="R401" s="334" t="str">
        <f t="shared" si="119"/>
        <v>AUT</v>
      </c>
      <c r="S401" s="334" t="str">
        <f t="shared" si="120"/>
        <v>SLO - AUT</v>
      </c>
      <c r="T401" s="330" t="str">
        <f>" ["&amp;HLOOKUP(M401,$H$370:$K$390,21,FALSE)&amp;"]"</f>
        <v xml:space="preserve"> [D3]</v>
      </c>
      <c r="U401" s="330">
        <f t="shared" si="121"/>
        <v>0</v>
      </c>
      <c r="V401" s="330">
        <f t="shared" si="121"/>
        <v>0</v>
      </c>
      <c r="X401" s="335" t="s">
        <v>812</v>
      </c>
      <c r="Y401" s="335" t="s">
        <v>1067</v>
      </c>
      <c r="Z401" s="336" t="s">
        <v>630</v>
      </c>
      <c r="AA401" s="337" t="s">
        <v>639</v>
      </c>
      <c r="AB401" s="338" t="str">
        <f t="shared" si="122"/>
        <v>1. C</v>
      </c>
      <c r="AC401" s="338" t="str">
        <f t="shared" si="123"/>
        <v>3. ?</v>
      </c>
    </row>
    <row r="402" spans="1:29" ht="12" thickBot="1" x14ac:dyDescent="0.25">
      <c r="A402" s="321" t="s">
        <v>603</v>
      </c>
      <c r="B402" s="321" t="s">
        <v>619</v>
      </c>
      <c r="C402" s="322">
        <v>8</v>
      </c>
      <c r="D402" s="330" t="b">
        <f t="shared" si="117"/>
        <v>0</v>
      </c>
      <c r="E402" s="343">
        <v>1</v>
      </c>
      <c r="F402" s="344">
        <v>37</v>
      </c>
      <c r="G402" s="345" t="s">
        <v>158</v>
      </c>
      <c r="H402" s="329" t="s">
        <v>901</v>
      </c>
      <c r="I402" s="329" t="s">
        <v>915</v>
      </c>
      <c r="J402" s="330">
        <f t="shared" si="118"/>
        <v>2</v>
      </c>
      <c r="K402" s="330">
        <f t="shared" si="118"/>
        <v>6</v>
      </c>
      <c r="M402" s="322" t="s">
        <v>66</v>
      </c>
      <c r="N402" s="322" t="s">
        <v>67</v>
      </c>
      <c r="O402" s="330" t="b">
        <f>SUMIF($N$335:$N$358,"=1",$F$335:$F$358)=12</f>
        <v>0</v>
      </c>
      <c r="P402" s="330" t="b">
        <f>SUM($F$335:$F$358)=72</f>
        <v>0</v>
      </c>
      <c r="Q402" s="334" t="str">
        <f t="shared" si="119"/>
        <v>SCO</v>
      </c>
      <c r="R402" s="334" t="str">
        <f t="shared" si="119"/>
        <v>CRO</v>
      </c>
      <c r="S402" s="334" t="str">
        <f t="shared" si="120"/>
        <v>SCO - CRO</v>
      </c>
      <c r="T402" s="330"/>
      <c r="U402" s="330">
        <f t="shared" si="121"/>
        <v>0</v>
      </c>
      <c r="V402" s="330">
        <f t="shared" si="121"/>
        <v>0</v>
      </c>
      <c r="X402" s="335" t="s">
        <v>1068</v>
      </c>
      <c r="Y402" s="335" t="s">
        <v>1069</v>
      </c>
      <c r="Z402" s="336" t="s">
        <v>603</v>
      </c>
      <c r="AA402" s="336" t="s">
        <v>619</v>
      </c>
      <c r="AB402" s="338" t="str">
        <f t="shared" si="122"/>
        <v>2. A</v>
      </c>
      <c r="AC402" s="338" t="str">
        <f t="shared" si="123"/>
        <v>2. B</v>
      </c>
    </row>
    <row r="405" spans="1:29" x14ac:dyDescent="0.2">
      <c r="B405" s="322" t="s">
        <v>1070</v>
      </c>
      <c r="E405" s="322" t="s">
        <v>289</v>
      </c>
      <c r="G405" s="322" t="s">
        <v>1071</v>
      </c>
      <c r="H405" s="322" t="s">
        <v>1072</v>
      </c>
      <c r="J405" s="322" t="s">
        <v>1055</v>
      </c>
    </row>
    <row r="406" spans="1:29" ht="11.4" x14ac:dyDescent="0.2">
      <c r="B406" s="322" t="str">
        <f>B72</f>
        <v>Deutschland</v>
      </c>
      <c r="C406" s="321">
        <f t="shared" ref="C406:C429" si="124">MATCH(B406,teams,0)</f>
        <v>1</v>
      </c>
      <c r="D406" s="322">
        <v>1</v>
      </c>
      <c r="E406" s="322" t="s">
        <v>37</v>
      </c>
      <c r="F406" s="322" t="s">
        <v>599</v>
      </c>
      <c r="G406" s="322">
        <f t="shared" ref="G406:G417" si="125">VLOOKUP(F406,$B$335:$C$358,2,FALSE)</f>
        <v>1</v>
      </c>
      <c r="H406" s="322">
        <f t="shared" ref="H406:H417" si="126">SUMIF($N$335:$N$358,"="&amp;D406,$F$335:$F$358)</f>
        <v>0</v>
      </c>
      <c r="J406" s="322">
        <f t="shared" ref="J406:J417" si="127">IF(H406=12,G406,-1)</f>
        <v>-1</v>
      </c>
      <c r="N406" s="322" t="s">
        <v>467</v>
      </c>
    </row>
    <row r="407" spans="1:29" ht="11.4" x14ac:dyDescent="0.2">
      <c r="B407" s="322" t="str">
        <f>B73</f>
        <v>Schottland</v>
      </c>
      <c r="C407" s="321">
        <f t="shared" si="124"/>
        <v>2</v>
      </c>
      <c r="D407" s="322">
        <v>1</v>
      </c>
      <c r="E407" s="322" t="s">
        <v>39</v>
      </c>
      <c r="F407" s="322" t="s">
        <v>603</v>
      </c>
      <c r="G407" s="322">
        <f t="shared" si="125"/>
        <v>2</v>
      </c>
      <c r="H407" s="322">
        <f t="shared" si="126"/>
        <v>0</v>
      </c>
      <c r="J407" s="322">
        <f t="shared" si="127"/>
        <v>-1</v>
      </c>
      <c r="K407" s="322">
        <v>1</v>
      </c>
      <c r="L407" s="322">
        <f t="shared" ref="L407:L414" si="128">VLOOKUP($K407,$E$395:$K$402,6,FALSE)</f>
        <v>2</v>
      </c>
      <c r="M407" s="322">
        <f t="shared" ref="M407:M414" si="129">VLOOKUP($K407,$E$395:$K$402,7,FALSE)</f>
        <v>6</v>
      </c>
      <c r="N407" s="322">
        <f>VLOOKUP(T407,Tippabgabe!$BT$99:$BU$155,2,FALSE)</f>
        <v>-1</v>
      </c>
      <c r="T407" s="322" t="s">
        <v>406</v>
      </c>
    </row>
    <row r="408" spans="1:29" ht="11.4" x14ac:dyDescent="0.2">
      <c r="B408" s="322" t="str">
        <f>B74</f>
        <v>Ungarn</v>
      </c>
      <c r="C408" s="321">
        <f t="shared" si="124"/>
        <v>3</v>
      </c>
      <c r="D408" s="322">
        <v>2</v>
      </c>
      <c r="E408" s="322" t="s">
        <v>40</v>
      </c>
      <c r="F408" s="322" t="s">
        <v>615</v>
      </c>
      <c r="G408" s="322">
        <f t="shared" si="125"/>
        <v>5</v>
      </c>
      <c r="H408" s="322">
        <f t="shared" si="126"/>
        <v>0</v>
      </c>
      <c r="J408" s="322">
        <f t="shared" si="127"/>
        <v>-1</v>
      </c>
      <c r="K408" s="322">
        <v>2</v>
      </c>
      <c r="L408" s="322">
        <f t="shared" si="128"/>
        <v>1</v>
      </c>
      <c r="M408" s="322">
        <f t="shared" si="129"/>
        <v>10</v>
      </c>
      <c r="N408" s="322">
        <f>VLOOKUP(T408,Tippabgabe!$BT$99:$BU$155,2,FALSE)</f>
        <v>-1</v>
      </c>
      <c r="T408" s="322" t="s">
        <v>410</v>
      </c>
    </row>
    <row r="409" spans="1:29" ht="11.4" x14ac:dyDescent="0.2">
      <c r="B409" s="322" t="str">
        <f>B75</f>
        <v>Schweiz</v>
      </c>
      <c r="C409" s="321">
        <f t="shared" si="124"/>
        <v>4</v>
      </c>
      <c r="D409" s="322">
        <v>2</v>
      </c>
      <c r="E409" s="322" t="s">
        <v>43</v>
      </c>
      <c r="F409" s="322" t="s">
        <v>619</v>
      </c>
      <c r="G409" s="322">
        <f t="shared" si="125"/>
        <v>6</v>
      </c>
      <c r="H409" s="322">
        <f t="shared" si="126"/>
        <v>0</v>
      </c>
      <c r="J409" s="322">
        <f t="shared" si="127"/>
        <v>-1</v>
      </c>
      <c r="K409" s="322">
        <v>3</v>
      </c>
      <c r="L409" s="322">
        <f t="shared" si="128"/>
        <v>9</v>
      </c>
      <c r="M409" s="322">
        <f t="shared" si="129"/>
        <v>15</v>
      </c>
      <c r="N409" s="322">
        <f>VLOOKUP(T409,Tippabgabe!$BT$99:$BU$155,2,FALSE)</f>
        <v>-1</v>
      </c>
      <c r="T409" s="322" t="s">
        <v>413</v>
      </c>
    </row>
    <row r="410" spans="1:29" ht="11.4" x14ac:dyDescent="0.2">
      <c r="B410" s="322" t="str">
        <f>AB72</f>
        <v>Spanien</v>
      </c>
      <c r="C410" s="321">
        <f t="shared" si="124"/>
        <v>5</v>
      </c>
      <c r="D410" s="322">
        <v>3</v>
      </c>
      <c r="E410" s="322" t="s">
        <v>45</v>
      </c>
      <c r="F410" s="322" t="s">
        <v>630</v>
      </c>
      <c r="G410" s="322">
        <f t="shared" si="125"/>
        <v>9</v>
      </c>
      <c r="H410" s="322">
        <f t="shared" si="126"/>
        <v>0</v>
      </c>
      <c r="J410" s="322">
        <f t="shared" si="127"/>
        <v>-1</v>
      </c>
      <c r="K410" s="322">
        <v>4</v>
      </c>
      <c r="L410" s="322">
        <f t="shared" si="128"/>
        <v>5</v>
      </c>
      <c r="M410" s="322">
        <f t="shared" si="129"/>
        <v>3</v>
      </c>
      <c r="N410" s="322">
        <f>VLOOKUP(T410,Tippabgabe!$BT$99:$BU$155,2,FALSE)</f>
        <v>-1</v>
      </c>
      <c r="T410" s="322" t="s">
        <v>415</v>
      </c>
    </row>
    <row r="411" spans="1:29" ht="11.4" x14ac:dyDescent="0.2">
      <c r="B411" s="322" t="str">
        <f>AB73</f>
        <v>Kroatien</v>
      </c>
      <c r="C411" s="321">
        <f t="shared" si="124"/>
        <v>6</v>
      </c>
      <c r="D411" s="322">
        <v>3</v>
      </c>
      <c r="E411" s="322" t="s">
        <v>47</v>
      </c>
      <c r="F411" s="322" t="s">
        <v>634</v>
      </c>
      <c r="G411" s="322">
        <f t="shared" si="125"/>
        <v>10</v>
      </c>
      <c r="H411" s="322">
        <f t="shared" si="126"/>
        <v>0</v>
      </c>
      <c r="J411" s="322">
        <f t="shared" si="127"/>
        <v>-1</v>
      </c>
      <c r="K411" s="322">
        <v>5</v>
      </c>
      <c r="L411" s="322">
        <f t="shared" si="128"/>
        <v>14</v>
      </c>
      <c r="M411" s="322">
        <f t="shared" si="129"/>
        <v>18</v>
      </c>
      <c r="N411" s="322">
        <f>VLOOKUP(T411,Tippabgabe!$BT$99:$BU$155,2,FALSE)</f>
        <v>-1</v>
      </c>
      <c r="T411" s="322" t="s">
        <v>417</v>
      </c>
    </row>
    <row r="412" spans="1:29" ht="11.4" x14ac:dyDescent="0.2">
      <c r="B412" s="322" t="str">
        <f>AB74</f>
        <v>Italien</v>
      </c>
      <c r="C412" s="321">
        <f t="shared" si="124"/>
        <v>7</v>
      </c>
      <c r="D412" s="322">
        <v>4</v>
      </c>
      <c r="E412" s="322" t="s">
        <v>49</v>
      </c>
      <c r="F412" s="322" t="s">
        <v>643</v>
      </c>
      <c r="G412" s="322">
        <f t="shared" si="125"/>
        <v>13</v>
      </c>
      <c r="H412" s="322">
        <f t="shared" si="126"/>
        <v>0</v>
      </c>
      <c r="J412" s="322">
        <f t="shared" si="127"/>
        <v>-1</v>
      </c>
      <c r="K412" s="322">
        <v>6</v>
      </c>
      <c r="L412" s="322">
        <f t="shared" si="128"/>
        <v>21</v>
      </c>
      <c r="M412" s="322">
        <f t="shared" si="129"/>
        <v>11</v>
      </c>
      <c r="N412" s="322">
        <f>VLOOKUP(T412,Tippabgabe!$BT$99:$BU$155,2,FALSE)</f>
        <v>-1</v>
      </c>
      <c r="T412" s="322" t="s">
        <v>419</v>
      </c>
    </row>
    <row r="413" spans="1:29" ht="11.4" x14ac:dyDescent="0.2">
      <c r="B413" s="322" t="str">
        <f>AB75</f>
        <v>Albanien</v>
      </c>
      <c r="C413" s="321">
        <f t="shared" si="124"/>
        <v>8</v>
      </c>
      <c r="D413" s="322">
        <v>4</v>
      </c>
      <c r="E413" s="322" t="s">
        <v>52</v>
      </c>
      <c r="F413" s="322" t="s">
        <v>646</v>
      </c>
      <c r="G413" s="322">
        <f t="shared" si="125"/>
        <v>14</v>
      </c>
      <c r="H413" s="322">
        <f t="shared" si="126"/>
        <v>0</v>
      </c>
      <c r="J413" s="322">
        <f t="shared" si="127"/>
        <v>-1</v>
      </c>
      <c r="K413" s="322">
        <v>7</v>
      </c>
      <c r="L413" s="322">
        <f t="shared" si="128"/>
        <v>17</v>
      </c>
      <c r="M413" s="322">
        <f t="shared" si="129"/>
        <v>7</v>
      </c>
      <c r="N413" s="322">
        <f>VLOOKUP(T413,Tippabgabe!$BT$99:$BU$155,2,FALSE)</f>
        <v>-1</v>
      </c>
      <c r="T413" s="322" t="s">
        <v>421</v>
      </c>
    </row>
    <row r="414" spans="1:29" ht="11.4" x14ac:dyDescent="0.2">
      <c r="B414" s="322" t="str">
        <f>B154</f>
        <v>Slowenien</v>
      </c>
      <c r="C414" s="321">
        <f t="shared" si="124"/>
        <v>9</v>
      </c>
      <c r="D414" s="322">
        <v>5</v>
      </c>
      <c r="E414" s="322" t="s">
        <v>53</v>
      </c>
      <c r="F414" s="322" t="s">
        <v>652</v>
      </c>
      <c r="G414" s="322">
        <f t="shared" si="125"/>
        <v>17</v>
      </c>
      <c r="H414" s="322">
        <f t="shared" si="126"/>
        <v>0</v>
      </c>
      <c r="J414" s="322">
        <f t="shared" si="127"/>
        <v>-1</v>
      </c>
      <c r="K414" s="322">
        <v>8</v>
      </c>
      <c r="L414" s="322">
        <f t="shared" si="128"/>
        <v>13</v>
      </c>
      <c r="M414" s="322">
        <f t="shared" si="129"/>
        <v>22</v>
      </c>
      <c r="N414" s="322">
        <f>VLOOKUP(T414,Tippabgabe!$BT$99:$BU$155,2,FALSE)</f>
        <v>-1</v>
      </c>
      <c r="O414" s="322" t="s">
        <v>1077</v>
      </c>
      <c r="Q414" s="322" t="s">
        <v>1093</v>
      </c>
      <c r="T414" s="322" t="s">
        <v>422</v>
      </c>
    </row>
    <row r="415" spans="1:29" ht="11.4" x14ac:dyDescent="0.2">
      <c r="B415" s="322" t="str">
        <f>B155</f>
        <v>Dänemark</v>
      </c>
      <c r="C415" s="321">
        <f t="shared" si="124"/>
        <v>10</v>
      </c>
      <c r="D415" s="322">
        <v>5</v>
      </c>
      <c r="E415" s="322" t="s">
        <v>55</v>
      </c>
      <c r="F415" s="322" t="s">
        <v>654</v>
      </c>
      <c r="G415" s="322">
        <f t="shared" si="125"/>
        <v>18</v>
      </c>
      <c r="H415" s="322">
        <f t="shared" si="126"/>
        <v>0</v>
      </c>
      <c r="J415" s="322">
        <f t="shared" si="127"/>
        <v>-1</v>
      </c>
      <c r="K415" s="322">
        <v>1</v>
      </c>
      <c r="L415" s="347">
        <f t="shared" ref="L415:M418" si="130">IF(Q415&lt;=0,-1,INDEX($L$407:$M$414,O415,Q415))</f>
        <v>-1</v>
      </c>
      <c r="M415" s="347">
        <f t="shared" si="130"/>
        <v>-1</v>
      </c>
      <c r="N415" s="347">
        <f>VLOOKUP(T415,Tippabgabe!$BT$99:$BU$155,2,FALSE)</f>
        <v>-1</v>
      </c>
      <c r="O415" s="340">
        <f>Tippabgabe!A130</f>
        <v>4</v>
      </c>
      <c r="P415" s="340">
        <f>Tippabgabe!B130</f>
        <v>2</v>
      </c>
      <c r="Q415" s="347">
        <f t="shared" ref="Q415:R418" si="131">INDEX($N$407:$N$414,O415)</f>
        <v>-1</v>
      </c>
      <c r="R415" s="347">
        <f t="shared" si="131"/>
        <v>-1</v>
      </c>
      <c r="T415" s="322" t="s">
        <v>423</v>
      </c>
    </row>
    <row r="416" spans="1:29" ht="11.4" x14ac:dyDescent="0.2">
      <c r="B416" s="322" t="str">
        <f>B156</f>
        <v>Serbien</v>
      </c>
      <c r="C416" s="321">
        <f t="shared" si="124"/>
        <v>11</v>
      </c>
      <c r="D416" s="322">
        <v>6</v>
      </c>
      <c r="E416" s="322" t="s">
        <v>56</v>
      </c>
      <c r="F416" s="322" t="s">
        <v>661</v>
      </c>
      <c r="G416" s="322">
        <f t="shared" si="125"/>
        <v>21</v>
      </c>
      <c r="H416" s="322">
        <f t="shared" si="126"/>
        <v>0</v>
      </c>
      <c r="J416" s="322">
        <f t="shared" si="127"/>
        <v>-1</v>
      </c>
      <c r="K416" s="322">
        <v>2</v>
      </c>
      <c r="L416" s="322">
        <f t="shared" si="130"/>
        <v>-1</v>
      </c>
      <c r="M416" s="322">
        <f t="shared" si="130"/>
        <v>-1</v>
      </c>
      <c r="N416" s="322">
        <f>VLOOKUP(T416,Tippabgabe!$BT$99:$BU$155,2,FALSE)</f>
        <v>-1</v>
      </c>
      <c r="O416" s="321">
        <f>Tippabgabe!A133</f>
        <v>6</v>
      </c>
      <c r="P416" s="321">
        <f>Tippabgabe!B133</f>
        <v>5</v>
      </c>
      <c r="Q416" s="322">
        <f t="shared" si="131"/>
        <v>-1</v>
      </c>
      <c r="R416" s="322">
        <f t="shared" si="131"/>
        <v>-1</v>
      </c>
      <c r="T416" s="322" t="s">
        <v>425</v>
      </c>
    </row>
    <row r="417" spans="2:20" ht="11.4" x14ac:dyDescent="0.2">
      <c r="B417" s="322" t="str">
        <f>B157</f>
        <v>England</v>
      </c>
      <c r="C417" s="321">
        <f t="shared" si="124"/>
        <v>12</v>
      </c>
      <c r="D417" s="322">
        <v>6</v>
      </c>
      <c r="E417" s="322" t="s">
        <v>58</v>
      </c>
      <c r="F417" s="322" t="s">
        <v>663</v>
      </c>
      <c r="G417" s="322">
        <f t="shared" si="125"/>
        <v>22</v>
      </c>
      <c r="H417" s="322">
        <f t="shared" si="126"/>
        <v>0</v>
      </c>
      <c r="J417" s="322">
        <f t="shared" si="127"/>
        <v>-1</v>
      </c>
      <c r="K417" s="322">
        <v>3</v>
      </c>
      <c r="L417" s="322">
        <f t="shared" si="130"/>
        <v>-1</v>
      </c>
      <c r="M417" s="322">
        <f t="shared" si="130"/>
        <v>-1</v>
      </c>
      <c r="N417" s="322">
        <f>VLOOKUP(T417,Tippabgabe!$BT$99:$BU$155,2,FALSE)</f>
        <v>-1</v>
      </c>
      <c r="O417" s="321">
        <f>Tippabgabe!A136</f>
        <v>3</v>
      </c>
      <c r="P417" s="321">
        <f>Tippabgabe!B136</f>
        <v>1</v>
      </c>
      <c r="Q417" s="322">
        <f t="shared" si="131"/>
        <v>-1</v>
      </c>
      <c r="R417" s="322">
        <f t="shared" si="131"/>
        <v>-1</v>
      </c>
      <c r="T417" s="322" t="s">
        <v>427</v>
      </c>
    </row>
    <row r="418" spans="2:20" ht="11.4" x14ac:dyDescent="0.2">
      <c r="B418" s="322" t="str">
        <f>AB154</f>
        <v>Polen</v>
      </c>
      <c r="C418" s="321">
        <f t="shared" si="124"/>
        <v>13</v>
      </c>
      <c r="E418" s="322" t="s">
        <v>606</v>
      </c>
      <c r="F418" s="322" t="s">
        <v>606</v>
      </c>
      <c r="G418" s="322">
        <f>H391</f>
        <v>3</v>
      </c>
      <c r="H418" s="322">
        <f>SUM(F335:F358)</f>
        <v>0</v>
      </c>
      <c r="J418" s="322">
        <f>IF(H418=72,G418,-1)</f>
        <v>-1</v>
      </c>
      <c r="K418" s="322">
        <v>4</v>
      </c>
      <c r="L418" s="322">
        <f t="shared" si="130"/>
        <v>-1</v>
      </c>
      <c r="M418" s="322">
        <f t="shared" si="130"/>
        <v>-1</v>
      </c>
      <c r="N418" s="322">
        <f>VLOOKUP(T418,Tippabgabe!$BT$99:$BU$155,2,FALSE)</f>
        <v>-1</v>
      </c>
      <c r="O418" s="342">
        <f>Tippabgabe!A139</f>
        <v>7</v>
      </c>
      <c r="P418" s="342">
        <f>Tippabgabe!B139</f>
        <v>8</v>
      </c>
      <c r="Q418" s="348">
        <f t="shared" si="131"/>
        <v>-1</v>
      </c>
      <c r="R418" s="348">
        <f t="shared" si="131"/>
        <v>-1</v>
      </c>
      <c r="T418" s="322" t="s">
        <v>428</v>
      </c>
    </row>
    <row r="419" spans="2:20" ht="11.4" x14ac:dyDescent="0.2">
      <c r="B419" s="322" t="str">
        <f>AB155</f>
        <v>Niederlande</v>
      </c>
      <c r="C419" s="321">
        <f t="shared" si="124"/>
        <v>14</v>
      </c>
      <c r="E419" s="322" t="s">
        <v>623</v>
      </c>
      <c r="F419" s="322" t="s">
        <v>623</v>
      </c>
      <c r="G419" s="322">
        <f>I391</f>
        <v>15</v>
      </c>
      <c r="H419" s="322">
        <f>H418</f>
        <v>0</v>
      </c>
      <c r="J419" s="322">
        <f>IF(H419=72,G419,-1)</f>
        <v>-1</v>
      </c>
      <c r="K419" s="322">
        <v>1</v>
      </c>
      <c r="L419" s="347">
        <f>IF(Q419=-1,-1,INDEX($L$415:$M$418,O419,Q419))</f>
        <v>-1</v>
      </c>
      <c r="M419" s="347">
        <f>IF(R419=-1,-1,INDEX($L$415:$M$418,P419,R419))</f>
        <v>-1</v>
      </c>
      <c r="N419" s="347">
        <f>VLOOKUP(T419,Tippabgabe!$BT$99:$BU$155,2,FALSE)</f>
        <v>-1</v>
      </c>
      <c r="O419" s="347">
        <f>Tippabgabe!$A$149</f>
        <v>1</v>
      </c>
      <c r="P419" s="347">
        <f>Tippabgabe!$B$149</f>
        <v>2</v>
      </c>
      <c r="Q419" s="347">
        <f>INDEX($N$415:$N$418,O419)</f>
        <v>-1</v>
      </c>
      <c r="R419" s="347">
        <f>INDEX($N$415:$N$418,P419)</f>
        <v>-1</v>
      </c>
      <c r="T419" s="322" t="s">
        <v>429</v>
      </c>
    </row>
    <row r="420" spans="2:20" ht="11.4" x14ac:dyDescent="0.2">
      <c r="B420" s="322" t="str">
        <f>AB156</f>
        <v>Österreich</v>
      </c>
      <c r="C420" s="321">
        <f t="shared" si="124"/>
        <v>15</v>
      </c>
      <c r="E420" s="322" t="s">
        <v>639</v>
      </c>
      <c r="F420" s="322" t="s">
        <v>639</v>
      </c>
      <c r="G420" s="322">
        <f>J391</f>
        <v>7</v>
      </c>
      <c r="H420" s="322">
        <f>H419</f>
        <v>0</v>
      </c>
      <c r="J420" s="322">
        <f>IF(H420=72,G420,-1)</f>
        <v>-1</v>
      </c>
      <c r="K420" s="322">
        <v>2</v>
      </c>
      <c r="L420" s="348">
        <f>IF(Q420=-1,-1,INDEX($L$415:$M$418,O420,Q420))</f>
        <v>-1</v>
      </c>
      <c r="M420" s="348">
        <f>IF(R420=-1,-1,INDEX($L$415:$M$418,P420,R420))</f>
        <v>-1</v>
      </c>
      <c r="N420" s="322">
        <f>VLOOKUP(T420,Tippabgabe!$BT$99:$BU$155,2,FALSE)</f>
        <v>-1</v>
      </c>
      <c r="O420" s="348">
        <f>Tippabgabe!$A$152</f>
        <v>4</v>
      </c>
      <c r="P420" s="348">
        <f>Tippabgabe!$B$152</f>
        <v>3</v>
      </c>
      <c r="Q420" s="348">
        <f>INDEX($N$415:$N$418,O420)</f>
        <v>-1</v>
      </c>
      <c r="R420" s="348">
        <f>INDEX($N$415:$N$418,P420)</f>
        <v>-1</v>
      </c>
      <c r="T420" s="322" t="s">
        <v>432</v>
      </c>
    </row>
    <row r="421" spans="2:20" ht="11.4" x14ac:dyDescent="0.2">
      <c r="B421" s="322" t="str">
        <f>AB157</f>
        <v>Frankreich</v>
      </c>
      <c r="C421" s="321">
        <f t="shared" si="124"/>
        <v>16</v>
      </c>
      <c r="E421" s="322" t="s">
        <v>648</v>
      </c>
      <c r="F421" s="322" t="s">
        <v>648</v>
      </c>
      <c r="G421" s="322">
        <f>K391</f>
        <v>11</v>
      </c>
      <c r="H421" s="322">
        <f>H420</f>
        <v>0</v>
      </c>
      <c r="J421" s="322">
        <f>IF(H421=72,G421,-1)</f>
        <v>-1</v>
      </c>
      <c r="K421" s="322">
        <v>1</v>
      </c>
      <c r="L421" s="347"/>
      <c r="M421" s="347"/>
      <c r="N421" s="347"/>
    </row>
    <row r="422" spans="2:20" ht="11.4" x14ac:dyDescent="0.2">
      <c r="B422" s="322" t="str">
        <f>B236</f>
        <v>Belgien</v>
      </c>
      <c r="C422" s="321">
        <f t="shared" si="124"/>
        <v>17</v>
      </c>
      <c r="K422" s="322">
        <v>2</v>
      </c>
      <c r="L422" s="322">
        <f>IF(Q422&lt;=0,-1,INDEX($L$419:$M$420,O422,Q422))</f>
        <v>-1</v>
      </c>
      <c r="M422" s="322">
        <f>IF(R422&lt;=0,-1,INDEX($L$419:$M$420,P422,R422))</f>
        <v>-1</v>
      </c>
      <c r="N422" s="322">
        <f>VLOOKUP(T422,Tippabgabe!$BT$99:$BU$155,2,FALSE)</f>
        <v>-1</v>
      </c>
      <c r="O422" s="322">
        <v>1</v>
      </c>
      <c r="P422" s="322">
        <v>2</v>
      </c>
      <c r="Q422" s="322">
        <f>INDEX($N$419:$N$420,O422)</f>
        <v>-1</v>
      </c>
      <c r="R422" s="322">
        <f>INDEX($N$419:$N$420,P422)</f>
        <v>-1</v>
      </c>
      <c r="T422" s="322" t="s">
        <v>437</v>
      </c>
    </row>
    <row r="423" spans="2:20" ht="11.4" x14ac:dyDescent="0.2">
      <c r="B423" s="322" t="str">
        <f>B237</f>
        <v>Slowakei</v>
      </c>
      <c r="C423" s="321">
        <f t="shared" si="124"/>
        <v>18</v>
      </c>
    </row>
    <row r="424" spans="2:20" ht="11.4" x14ac:dyDescent="0.2">
      <c r="B424" s="322" t="str">
        <f>B238</f>
        <v>Rumänien</v>
      </c>
      <c r="C424" s="321">
        <f t="shared" si="124"/>
        <v>19</v>
      </c>
    </row>
    <row r="425" spans="2:20" ht="11.4" x14ac:dyDescent="0.2">
      <c r="B425" s="322" t="str">
        <f>B239</f>
        <v>Ukraine</v>
      </c>
      <c r="C425" s="321">
        <f t="shared" si="124"/>
        <v>20</v>
      </c>
    </row>
    <row r="426" spans="2:20" ht="11.4" x14ac:dyDescent="0.2">
      <c r="B426" s="322" t="str">
        <f>AB236</f>
        <v>Türkei</v>
      </c>
      <c r="C426" s="321">
        <f t="shared" si="124"/>
        <v>21</v>
      </c>
    </row>
    <row r="427" spans="2:20" ht="11.4" x14ac:dyDescent="0.2">
      <c r="B427" s="322" t="str">
        <f>AB237</f>
        <v>Georgien</v>
      </c>
      <c r="C427" s="321">
        <f t="shared" si="124"/>
        <v>22</v>
      </c>
    </row>
    <row r="428" spans="2:20" ht="11.4" x14ac:dyDescent="0.2">
      <c r="B428" s="322" t="str">
        <f>AB238</f>
        <v>Portugal</v>
      </c>
      <c r="C428" s="321">
        <f t="shared" si="124"/>
        <v>23</v>
      </c>
    </row>
    <row r="429" spans="2:20" ht="11.4" x14ac:dyDescent="0.2">
      <c r="B429" s="322" t="str">
        <f>AB239</f>
        <v>Tschechien</v>
      </c>
      <c r="C429" s="321">
        <f t="shared" si="124"/>
        <v>24</v>
      </c>
    </row>
    <row r="432" spans="2:20" x14ac:dyDescent="0.2">
      <c r="B432" s="322" t="s">
        <v>690</v>
      </c>
    </row>
    <row r="433" spans="1:3" x14ac:dyDescent="0.2">
      <c r="A433" s="322">
        <v>1</v>
      </c>
      <c r="B433" s="322" t="s">
        <v>581</v>
      </c>
      <c r="C433" s="322" t="b">
        <f t="shared" ref="C433:C438" si="132">NOT(ISERROR(MATCH(A433,$N$371:$N$374,0)))</f>
        <v>1</v>
      </c>
    </row>
    <row r="434" spans="1:3" x14ac:dyDescent="0.2">
      <c r="A434" s="322">
        <v>2</v>
      </c>
      <c r="B434" s="322" t="s">
        <v>601</v>
      </c>
      <c r="C434" s="322" t="b">
        <f t="shared" si="132"/>
        <v>1</v>
      </c>
    </row>
    <row r="435" spans="1:3" x14ac:dyDescent="0.2">
      <c r="A435" s="322">
        <v>3</v>
      </c>
      <c r="B435" s="322" t="s">
        <v>613</v>
      </c>
      <c r="C435" s="322" t="b">
        <f t="shared" si="132"/>
        <v>1</v>
      </c>
    </row>
    <row r="436" spans="1:3" x14ac:dyDescent="0.2">
      <c r="A436" s="322">
        <v>4</v>
      </c>
      <c r="B436" s="322" t="s">
        <v>608</v>
      </c>
      <c r="C436" s="322" t="b">
        <f t="shared" si="132"/>
        <v>1</v>
      </c>
    </row>
    <row r="437" spans="1:3" x14ac:dyDescent="0.2">
      <c r="A437" s="322">
        <v>5</v>
      </c>
      <c r="B437" s="322" t="s">
        <v>487</v>
      </c>
      <c r="C437" s="322" t="b">
        <f t="shared" si="132"/>
        <v>0</v>
      </c>
    </row>
    <row r="438" spans="1:3" x14ac:dyDescent="0.2">
      <c r="A438" s="322">
        <v>6</v>
      </c>
      <c r="B438" s="322" t="s">
        <v>632</v>
      </c>
      <c r="C438" s="322" t="b">
        <f t="shared" si="132"/>
        <v>0</v>
      </c>
    </row>
  </sheetData>
  <mergeCells count="8">
    <mergeCell ref="E223:F223"/>
    <mergeCell ref="E305:F305"/>
    <mergeCell ref="AE223:AF223"/>
    <mergeCell ref="AE305:AF305"/>
    <mergeCell ref="E59:F59"/>
    <mergeCell ref="E141:F141"/>
    <mergeCell ref="AE59:AF59"/>
    <mergeCell ref="AE141:AF141"/>
  </mergeCells>
  <phoneticPr fontId="5" type="noConversion"/>
  <pageMargins left="0.78740157499999996" right="0.78740157499999996" top="0.984251969" bottom="0.984251969" header="0.4921259845" footer="0.4921259845"/>
  <pageSetup paperSize="9" orientation="portrait" horizontalDpi="4294967293" verticalDpi="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96</vt:i4>
      </vt:variant>
    </vt:vector>
  </HeadingPairs>
  <TitlesOfParts>
    <vt:vector size="100" baseType="lpstr">
      <vt:lpstr>Hinweise</vt:lpstr>
      <vt:lpstr>Hinweise Extratipps</vt:lpstr>
      <vt:lpstr>Eigene Hinweise</vt:lpstr>
      <vt:lpstr>Tippabgabe</vt:lpstr>
      <vt:lpstr>auswahl_ko</vt:lpstr>
      <vt:lpstr>auswahl_lo</vt:lpstr>
      <vt:lpstr>auswahl_win</vt:lpstr>
      <vt:lpstr>dritterreal</vt:lpstr>
      <vt:lpstr>drittertipp</vt:lpstr>
      <vt:lpstr>Hinweise!Druckbereich</vt:lpstr>
      <vt:lpstr>Tippabgabe!Druckbereich</vt:lpstr>
      <vt:lpstr>einsatzedit</vt:lpstr>
      <vt:lpstr>einsatzfehler</vt:lpstr>
      <vt:lpstr>einsatzkorr</vt:lpstr>
      <vt:lpstr>etauswahl_alle</vt:lpstr>
      <vt:lpstr>etauswahl_gra</vt:lpstr>
      <vt:lpstr>etauswahl_grb</vt:lpstr>
      <vt:lpstr>etauswahl_grc</vt:lpstr>
      <vt:lpstr>etauswahl_grd</vt:lpstr>
      <vt:lpstr>etauswahl_gre</vt:lpstr>
      <vt:lpstr>etauswahl_grf</vt:lpstr>
      <vt:lpstr>etauswahl_grg</vt:lpstr>
      <vt:lpstr>etauswahl_grh</vt:lpstr>
      <vt:lpstr>etauswahl_gru</vt:lpstr>
      <vt:lpstr>etauswahl_grua</vt:lpstr>
      <vt:lpstr>etauswahl_grub</vt:lpstr>
      <vt:lpstr>etauswahl_gruc</vt:lpstr>
      <vt:lpstr>etauswahl_grud</vt:lpstr>
      <vt:lpstr>etauswahl_grue</vt:lpstr>
      <vt:lpstr>etauswahl_gruf</vt:lpstr>
      <vt:lpstr>etauswahl_gruppen</vt:lpstr>
      <vt:lpstr>etauswahl_ru</vt:lpstr>
      <vt:lpstr>etauswahl_runden</vt:lpstr>
      <vt:lpstr>etauswahl_teams</vt:lpstr>
      <vt:lpstr>etauswahl_vgl</vt:lpstr>
      <vt:lpstr>fehler_ew</vt:lpstr>
      <vt:lpstr>fehler_hcw</vt:lpstr>
      <vt:lpstr>fehler_jok</vt:lpstr>
      <vt:lpstr>fehler_joker</vt:lpstr>
      <vt:lpstr>fehler_win</vt:lpstr>
      <vt:lpstr>fehlermantab1</vt:lpstr>
      <vt:lpstr>fehlermantab2</vt:lpstr>
      <vt:lpstr>gesperrt</vt:lpstr>
      <vt:lpstr>gesperrt_erg</vt:lpstr>
      <vt:lpstr>gesperrt_et</vt:lpstr>
      <vt:lpstr>grua_k</vt:lpstr>
      <vt:lpstr>grub_k</vt:lpstr>
      <vt:lpstr>gruc_k</vt:lpstr>
      <vt:lpstr>grud_k</vt:lpstr>
      <vt:lpstr>grue_k</vt:lpstr>
      <vt:lpstr>gruf_k</vt:lpstr>
      <vt:lpstr>jokertyp</vt:lpstr>
      <vt:lpstr>jokerwahl</vt:lpstr>
      <vt:lpstr>kuerzel</vt:lpstr>
      <vt:lpstr>mandra</vt:lpstr>
      <vt:lpstr>mandra2</vt:lpstr>
      <vt:lpstr>mandrb</vt:lpstr>
      <vt:lpstr>mandrb2</vt:lpstr>
      <vt:lpstr>mandrc</vt:lpstr>
      <vt:lpstr>mandrc2</vt:lpstr>
      <vt:lpstr>mandrd</vt:lpstr>
      <vt:lpstr>mandrd2</vt:lpstr>
      <vt:lpstr>mandre</vt:lpstr>
      <vt:lpstr>mandre2</vt:lpstr>
      <vt:lpstr>mandrf</vt:lpstr>
      <vt:lpstr>mandrf2</vt:lpstr>
      <vt:lpstr>mandrtipp</vt:lpstr>
      <vt:lpstr>manrealtab</vt:lpstr>
      <vt:lpstr>mantipptab</vt:lpstr>
      <vt:lpstr>markierung</vt:lpstr>
      <vt:lpstr>markierungdritter</vt:lpstr>
      <vt:lpstr>mspname</vt:lpstr>
      <vt:lpstr>neuet</vt:lpstr>
      <vt:lpstr>realtab</vt:lpstr>
      <vt:lpstr>sieger_pflicht</vt:lpstr>
      <vt:lpstr>siegerfehlt</vt:lpstr>
      <vt:lpstr>siegerspalte</vt:lpstr>
      <vt:lpstr>teamliste_k</vt:lpstr>
      <vt:lpstr>tabber!teams</vt:lpstr>
      <vt:lpstr>tabbermsp!teams</vt:lpstr>
      <vt:lpstr>teams</vt:lpstr>
      <vt:lpstr>teams_alpha</vt:lpstr>
      <vt:lpstr>tabber!teams_k</vt:lpstr>
      <vt:lpstr>tabbermsp!teams_k</vt:lpstr>
      <vt:lpstr>teams_k</vt:lpstr>
      <vt:lpstr>teams_kuerzel</vt:lpstr>
      <vt:lpstr>teamsmitk</vt:lpstr>
      <vt:lpstr>test_et</vt:lpstr>
      <vt:lpstr>test_et2</vt:lpstr>
      <vt:lpstr>test_kopaarungen</vt:lpstr>
      <vt:lpstr>test_siegererf</vt:lpstr>
      <vt:lpstr>testkoat</vt:lpstr>
      <vt:lpstr>testkoht</vt:lpstr>
      <vt:lpstr>testmanat</vt:lpstr>
      <vt:lpstr>testmandr</vt:lpstr>
      <vt:lpstr>testmandr2</vt:lpstr>
      <vt:lpstr>testmanht</vt:lpstr>
      <vt:lpstr>tipps_af</vt:lpstr>
      <vt:lpstr>werg</vt:lpstr>
      <vt:lpstr>zeichen_gesperrt</vt:lpstr>
    </vt:vector>
  </TitlesOfParts>
  <Company>no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kein Name</dc:creator>
  <cp:lastModifiedBy>Astrid Scharnhorst</cp:lastModifiedBy>
  <dcterms:created xsi:type="dcterms:W3CDTF">2020-10-21T12:17:20Z</dcterms:created>
  <dcterms:modified xsi:type="dcterms:W3CDTF">2024-06-10T19:15:51Z</dcterms:modified>
</cp:coreProperties>
</file>