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6a6fbc814668d8a2/Documents/FM/"/>
    </mc:Choice>
  </mc:AlternateContent>
  <xr:revisionPtr revIDLastSave="215" documentId="8_{280AD741-79A6-43F3-8F9B-A8436624D444}" xr6:coauthVersionLast="47" xr6:coauthVersionMax="47" xr10:uidLastSave="{E28725B1-AC72-42DF-AC86-E48C8EA6EED2}"/>
  <bookViews>
    <workbookView xWindow="-110" yWindow="-110" windowWidth="19420" windowHeight="10300" xr2:uid="{68F4F2A8-6615-430F-B638-C6BD621577AE}"/>
  </bookViews>
  <sheets>
    <sheet name="Jubiliant ING beta calculation" sheetId="5" r:id="rId1"/>
    <sheet name="Dividend Policy" sheetId="2" r:id="rId2"/>
    <sheet name="Leverage" sheetId="1" r:id="rId3"/>
    <sheet name="Working Capital"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3" i="5" l="1"/>
  <c r="O143" i="5"/>
  <c r="K143" i="5"/>
  <c r="O142" i="5"/>
  <c r="K142" i="5"/>
  <c r="O141" i="5"/>
  <c r="K141" i="5"/>
  <c r="O140" i="5"/>
  <c r="K140" i="5"/>
  <c r="O139" i="5"/>
  <c r="K139" i="5"/>
  <c r="O138" i="5"/>
  <c r="K138" i="5"/>
  <c r="O137" i="5"/>
  <c r="K137" i="5"/>
  <c r="O136" i="5"/>
  <c r="K136" i="5"/>
  <c r="O135" i="5"/>
  <c r="K135" i="5"/>
  <c r="O134" i="5"/>
  <c r="K134" i="5"/>
  <c r="O133" i="5"/>
  <c r="K133" i="5"/>
  <c r="O132" i="5"/>
  <c r="K132" i="5"/>
  <c r="O131" i="5"/>
  <c r="K131" i="5"/>
  <c r="O130" i="5"/>
  <c r="K130" i="5"/>
  <c r="O129" i="5"/>
  <c r="K129" i="5"/>
  <c r="O128" i="5"/>
  <c r="K128" i="5"/>
  <c r="O127" i="5"/>
  <c r="K127" i="5"/>
  <c r="O126" i="5"/>
  <c r="K126" i="5"/>
  <c r="O125" i="5"/>
  <c r="K125" i="5"/>
  <c r="O124" i="5"/>
  <c r="K124" i="5"/>
  <c r="O123" i="5"/>
  <c r="K123" i="5"/>
  <c r="O122" i="5"/>
  <c r="K122" i="5"/>
  <c r="O121" i="5"/>
  <c r="K121" i="5"/>
  <c r="O120" i="5"/>
  <c r="K120" i="5"/>
  <c r="O119" i="5"/>
  <c r="K119" i="5"/>
  <c r="O118" i="5"/>
  <c r="K118" i="5"/>
  <c r="O117" i="5"/>
  <c r="K117" i="5"/>
  <c r="O116" i="5"/>
  <c r="K116" i="5"/>
  <c r="O115" i="5"/>
  <c r="K115" i="5"/>
  <c r="O114" i="5"/>
  <c r="K114" i="5"/>
  <c r="O113" i="5"/>
  <c r="K113" i="5"/>
  <c r="O112" i="5"/>
  <c r="K112" i="5"/>
  <c r="O111" i="5"/>
  <c r="K111" i="5"/>
  <c r="O110" i="5"/>
  <c r="K110" i="5"/>
  <c r="O109" i="5"/>
  <c r="K109" i="5"/>
  <c r="O108" i="5"/>
  <c r="K108" i="5"/>
  <c r="O107" i="5"/>
  <c r="K107" i="5"/>
  <c r="O106" i="5"/>
  <c r="K106" i="5"/>
  <c r="O105" i="5"/>
  <c r="K105" i="5"/>
  <c r="O104" i="5"/>
  <c r="K104" i="5"/>
  <c r="O103" i="5"/>
  <c r="K103" i="5"/>
  <c r="O102" i="5"/>
  <c r="K102" i="5"/>
  <c r="O101" i="5"/>
  <c r="K101" i="5"/>
  <c r="O100" i="5"/>
  <c r="K100" i="5"/>
  <c r="O99" i="5"/>
  <c r="K99" i="5"/>
  <c r="O98" i="5"/>
  <c r="K98" i="5"/>
  <c r="O97" i="5"/>
  <c r="K97" i="5"/>
  <c r="O96" i="5"/>
  <c r="K96" i="5"/>
  <c r="O95" i="5"/>
  <c r="K95" i="5"/>
  <c r="O94" i="5"/>
  <c r="K94" i="5"/>
  <c r="O93" i="5"/>
  <c r="K93" i="5"/>
  <c r="O92" i="5"/>
  <c r="K92" i="5"/>
  <c r="O91" i="5"/>
  <c r="K91" i="5"/>
  <c r="O90" i="5"/>
  <c r="K90" i="5"/>
  <c r="O89" i="5"/>
  <c r="K89" i="5"/>
  <c r="O88" i="5"/>
  <c r="K88" i="5"/>
  <c r="O87" i="5"/>
  <c r="K87" i="5"/>
  <c r="O86" i="5"/>
  <c r="K86" i="5"/>
  <c r="O85" i="5"/>
  <c r="K85" i="5"/>
  <c r="O84" i="5"/>
  <c r="K84" i="5"/>
  <c r="O83" i="5"/>
  <c r="K83" i="5"/>
  <c r="O82" i="5"/>
  <c r="K82" i="5"/>
  <c r="O81" i="5"/>
  <c r="K81" i="5"/>
  <c r="O80" i="5"/>
  <c r="K80" i="5"/>
  <c r="O79" i="5"/>
  <c r="K79" i="5"/>
  <c r="O78" i="5"/>
  <c r="K78" i="5"/>
  <c r="O77" i="5"/>
  <c r="K77" i="5"/>
  <c r="O76" i="5"/>
  <c r="K76" i="5"/>
  <c r="O75" i="5"/>
  <c r="K75" i="5"/>
  <c r="O74" i="5"/>
  <c r="K74" i="5"/>
  <c r="O73" i="5"/>
  <c r="K73" i="5"/>
  <c r="O72" i="5"/>
  <c r="K72" i="5"/>
  <c r="O71" i="5"/>
  <c r="K71" i="5"/>
  <c r="O70" i="5"/>
  <c r="K70" i="5"/>
  <c r="O69" i="5"/>
  <c r="K69" i="5"/>
  <c r="O68" i="5"/>
  <c r="K68" i="5"/>
  <c r="O67" i="5"/>
  <c r="K67" i="5"/>
  <c r="O66" i="5"/>
  <c r="K66" i="5"/>
  <c r="O65" i="5"/>
  <c r="K65" i="5"/>
  <c r="O64" i="5"/>
  <c r="K64" i="5"/>
  <c r="O63" i="5"/>
  <c r="K63" i="5"/>
  <c r="O62" i="5"/>
  <c r="K62" i="5"/>
  <c r="O61" i="5"/>
  <c r="K61" i="5"/>
  <c r="O60" i="5"/>
  <c r="K60" i="5"/>
  <c r="O59" i="5"/>
  <c r="K59" i="5"/>
  <c r="O58" i="5"/>
  <c r="K58" i="5"/>
  <c r="O57" i="5"/>
  <c r="K57" i="5"/>
  <c r="O56" i="5"/>
  <c r="K56" i="5"/>
  <c r="O55" i="5"/>
  <c r="K55" i="5"/>
  <c r="O54" i="5"/>
  <c r="K54" i="5"/>
  <c r="O53" i="5"/>
  <c r="K53" i="5"/>
  <c r="O52" i="5"/>
  <c r="K52" i="5"/>
  <c r="O51" i="5"/>
  <c r="K51" i="5"/>
  <c r="O50" i="5"/>
  <c r="K50" i="5"/>
  <c r="O49" i="5"/>
  <c r="K49" i="5"/>
  <c r="O48" i="5"/>
  <c r="K48" i="5"/>
  <c r="O47" i="5"/>
  <c r="K47" i="5"/>
  <c r="O46" i="5"/>
  <c r="K46" i="5"/>
  <c r="O45" i="5"/>
  <c r="K45" i="5"/>
  <c r="O44" i="5"/>
  <c r="K44" i="5"/>
  <c r="O43" i="5"/>
  <c r="K43" i="5"/>
  <c r="O42" i="5"/>
  <c r="K42" i="5"/>
  <c r="O41" i="5"/>
  <c r="K41" i="5"/>
  <c r="O40" i="5"/>
  <c r="K40" i="5"/>
  <c r="O39" i="5"/>
  <c r="K39" i="5"/>
  <c r="O38" i="5"/>
  <c r="K38" i="5"/>
  <c r="O37" i="5"/>
  <c r="K37" i="5"/>
  <c r="O36" i="5"/>
  <c r="K36" i="5"/>
  <c r="G36" i="5"/>
  <c r="C36" i="5"/>
  <c r="O35" i="5"/>
  <c r="K35" i="5"/>
  <c r="G35" i="5"/>
  <c r="C35" i="5"/>
  <c r="O34" i="5"/>
  <c r="K34" i="5"/>
  <c r="G34" i="5"/>
  <c r="C34" i="5"/>
  <c r="O33" i="5"/>
  <c r="K33" i="5"/>
  <c r="G33" i="5"/>
  <c r="C33" i="5"/>
  <c r="O32" i="5"/>
  <c r="K32" i="5"/>
  <c r="G32" i="5"/>
  <c r="C32" i="5"/>
  <c r="O31" i="5"/>
  <c r="K31" i="5"/>
  <c r="G31" i="5"/>
  <c r="C31" i="5"/>
  <c r="O30" i="5"/>
  <c r="K30" i="5"/>
  <c r="G30" i="5"/>
  <c r="C30" i="5"/>
  <c r="O29" i="5"/>
  <c r="K29" i="5"/>
  <c r="G29" i="5"/>
  <c r="C29" i="5"/>
  <c r="O28" i="5"/>
  <c r="K28" i="5"/>
  <c r="G28" i="5"/>
  <c r="C28" i="5"/>
  <c r="O27" i="5"/>
  <c r="K27" i="5"/>
  <c r="G27" i="5"/>
  <c r="C27" i="5"/>
  <c r="O26" i="5"/>
  <c r="K26" i="5"/>
  <c r="G26" i="5"/>
  <c r="C26" i="5"/>
  <c r="O25" i="5"/>
  <c r="K25" i="5"/>
  <c r="G25" i="5"/>
  <c r="C25" i="5"/>
  <c r="S24" i="5"/>
  <c r="S25" i="5" s="1"/>
  <c r="O24" i="5"/>
  <c r="K24" i="5"/>
  <c r="G24" i="5"/>
  <c r="C24" i="5"/>
  <c r="O23" i="5"/>
  <c r="K23" i="5"/>
  <c r="G23" i="5"/>
  <c r="C23" i="5"/>
  <c r="O22" i="5"/>
  <c r="K22" i="5"/>
  <c r="G22" i="5"/>
  <c r="C22" i="5"/>
  <c r="O21" i="5"/>
  <c r="K21" i="5"/>
  <c r="G21" i="5"/>
  <c r="C21" i="5"/>
  <c r="O20" i="5"/>
  <c r="K20" i="5"/>
  <c r="G20" i="5"/>
  <c r="C20" i="5"/>
  <c r="O19" i="5"/>
  <c r="K19" i="5"/>
  <c r="G19" i="5"/>
  <c r="C19" i="5"/>
  <c r="O18" i="5"/>
  <c r="K18" i="5"/>
  <c r="G18" i="5"/>
  <c r="C18" i="5"/>
  <c r="O17" i="5"/>
  <c r="K17" i="5"/>
  <c r="G17" i="5"/>
  <c r="C17" i="5"/>
  <c r="O16" i="5"/>
  <c r="K16" i="5"/>
  <c r="G16" i="5"/>
  <c r="C16" i="5"/>
  <c r="O15" i="5"/>
  <c r="K15" i="5"/>
  <c r="G15" i="5"/>
  <c r="C15" i="5"/>
  <c r="W14" i="5"/>
  <c r="S14" i="5"/>
  <c r="O14" i="5"/>
  <c r="K14" i="5"/>
  <c r="G14" i="5"/>
  <c r="C14" i="5"/>
  <c r="W13" i="5"/>
  <c r="S13" i="5"/>
  <c r="O13" i="5"/>
  <c r="K13" i="5"/>
  <c r="G13" i="5"/>
  <c r="C13" i="5"/>
  <c r="O12" i="5"/>
  <c r="K12" i="5"/>
  <c r="G12" i="5"/>
  <c r="C12" i="5"/>
  <c r="O11" i="5"/>
  <c r="K11" i="5"/>
  <c r="J149" i="5" s="1"/>
  <c r="G11" i="5"/>
  <c r="C11" i="5"/>
  <c r="O10" i="5"/>
  <c r="K10" i="5"/>
  <c r="G10" i="5"/>
  <c r="C10" i="5"/>
  <c r="O9" i="5"/>
  <c r="K9" i="5"/>
  <c r="G9" i="5"/>
  <c r="C9" i="5"/>
  <c r="S3" i="5" s="1"/>
  <c r="O8" i="5"/>
  <c r="K8" i="5"/>
  <c r="G8" i="5"/>
  <c r="C8" i="5"/>
  <c r="S7" i="5"/>
  <c r="O7" i="5"/>
  <c r="K7" i="5"/>
  <c r="G7" i="5"/>
  <c r="C7" i="5"/>
  <c r="W6" i="5"/>
  <c r="S6" i="5"/>
  <c r="O6" i="5"/>
  <c r="W3" i="5" s="1"/>
  <c r="W10" i="5" s="1"/>
  <c r="W16" i="5" s="1"/>
  <c r="K6" i="5"/>
  <c r="G6" i="5"/>
  <c r="C6" i="5"/>
  <c r="O5" i="5"/>
  <c r="N152" i="5" s="1"/>
  <c r="N153" i="5" s="1"/>
  <c r="K5" i="5"/>
  <c r="J154" i="5" s="1"/>
  <c r="G5" i="5"/>
  <c r="F43" i="5" s="1"/>
  <c r="F44" i="5" s="1"/>
  <c r="C5" i="5"/>
  <c r="B43" i="5" s="1"/>
  <c r="B44" i="5" s="1"/>
  <c r="E10" i="1"/>
  <c r="B9" i="1"/>
  <c r="E9" i="1"/>
  <c r="E8" i="1"/>
  <c r="B8" i="1"/>
  <c r="E4" i="1"/>
  <c r="E5" i="1"/>
  <c r="E3" i="1"/>
  <c r="C3" i="1"/>
  <c r="J151" i="5" l="1"/>
  <c r="J150" i="5"/>
  <c r="S27" i="5"/>
  <c r="S10" i="5"/>
  <c r="S16" i="5" s="1"/>
  <c r="N149" i="5"/>
  <c r="J152" i="5"/>
  <c r="J153" i="5" s="1"/>
  <c r="B39" i="5"/>
  <c r="B46" i="5"/>
  <c r="F39" i="5"/>
  <c r="F41" i="5" l="1"/>
  <c r="F40" i="5"/>
  <c r="B41" i="5"/>
  <c r="B40" i="5"/>
  <c r="N151" i="5"/>
  <c r="N150" i="5"/>
  <c r="D9" i="2" l="1"/>
  <c r="C9" i="2"/>
  <c r="B9" i="2"/>
  <c r="D7" i="2"/>
  <c r="D6" i="2"/>
  <c r="B6" i="2"/>
  <c r="C6" i="3" l="1"/>
  <c r="D6" i="3"/>
  <c r="B6" i="3"/>
  <c r="B5" i="3" l="1"/>
  <c r="C5" i="3"/>
  <c r="D5" i="3"/>
  <c r="C6" i="2"/>
  <c r="B7" i="2"/>
  <c r="C7" i="2"/>
  <c r="C4" i="1"/>
  <c r="C5" i="1"/>
  <c r="B10" i="1" l="1"/>
</calcChain>
</file>

<file path=xl/sharedStrings.xml><?xml version="1.0" encoding="utf-8"?>
<sst xmlns="http://schemas.openxmlformats.org/spreadsheetml/2006/main" count="111" uniqueCount="68">
  <si>
    <t>Degree of combined leverage</t>
  </si>
  <si>
    <t>Degree of financial leverage</t>
  </si>
  <si>
    <t>Degree of operating leverage</t>
  </si>
  <si>
    <t xml:space="preserve">EPS </t>
  </si>
  <si>
    <t>Sales</t>
  </si>
  <si>
    <t xml:space="preserve">EBIT </t>
  </si>
  <si>
    <t xml:space="preserve">% Change </t>
  </si>
  <si>
    <t xml:space="preserve">Particulars </t>
  </si>
  <si>
    <t>LEVERAGE</t>
  </si>
  <si>
    <t>Div Yeild</t>
  </si>
  <si>
    <t xml:space="preserve">Retention Ratio </t>
  </si>
  <si>
    <t xml:space="preserve">Retained Amount </t>
  </si>
  <si>
    <t xml:space="preserve">Div Amount </t>
  </si>
  <si>
    <t xml:space="preserve">Div Payout Ratio </t>
  </si>
  <si>
    <t>EPS</t>
  </si>
  <si>
    <t>Particulars</t>
  </si>
  <si>
    <t>DIVIDEND POLICY</t>
  </si>
  <si>
    <t>Working Capital</t>
  </si>
  <si>
    <t>Total Current Liabilties</t>
  </si>
  <si>
    <t>Total Current Assets</t>
  </si>
  <si>
    <t>2021</t>
  </si>
  <si>
    <t>2022</t>
  </si>
  <si>
    <t>2023</t>
  </si>
  <si>
    <t>Working Capital Calculations</t>
  </si>
  <si>
    <t>Current Ratio</t>
  </si>
  <si>
    <t>Note:</t>
  </si>
  <si>
    <t>``</t>
  </si>
  <si>
    <t xml:space="preserve">Jubilant Ingrevia has only 3 years of data available on their official website </t>
  </si>
  <si>
    <t>The company has adopted aggressive approach to run their financials as the current ratio is less than 2</t>
  </si>
  <si>
    <t>Since the dividend amount for both the years is same dividend yeild remains constant.
 As the dividend given by the company is less hence the retention ratio for the company is quite good as they can use the revenue to generate positive cash for the business in the long run. Also, as the retention ratio is high the company would use the cash for the expansion of the company in the form of capital expenditure.</t>
  </si>
  <si>
    <t>MONTHLY</t>
  </si>
  <si>
    <t>WEEKLY</t>
  </si>
  <si>
    <t>NIFTY 50</t>
  </si>
  <si>
    <t>JUBILIENGREA.IN</t>
  </si>
  <si>
    <t>Date</t>
  </si>
  <si>
    <t>Adj Close</t>
  </si>
  <si>
    <t>Returns</t>
  </si>
  <si>
    <t>Regression beta (levered beta)</t>
  </si>
  <si>
    <t>Market value of Equity</t>
  </si>
  <si>
    <t>Market value of Debt</t>
  </si>
  <si>
    <t>Ratio</t>
  </si>
  <si>
    <t>total capital</t>
  </si>
  <si>
    <t>Marginal tax rate</t>
  </si>
  <si>
    <t>Unlevered Beta</t>
  </si>
  <si>
    <t>Cash</t>
  </si>
  <si>
    <t>Firm Value</t>
  </si>
  <si>
    <t>Cash/Firm Value</t>
  </si>
  <si>
    <t>Pure Play beta</t>
  </si>
  <si>
    <t>Is the product discretionary?</t>
  </si>
  <si>
    <t>Yes</t>
  </si>
  <si>
    <t>Does the company have high financial leverage?</t>
  </si>
  <si>
    <t>No</t>
  </si>
  <si>
    <t>Does the company have high operatng leverage?</t>
  </si>
  <si>
    <t>Risk free rate</t>
  </si>
  <si>
    <t>Ke</t>
  </si>
  <si>
    <t>Kd</t>
  </si>
  <si>
    <t xml:space="preserve">Kd after tax </t>
  </si>
  <si>
    <t>Cost of capital (WACC)</t>
  </si>
  <si>
    <t xml:space="preserve">Monthly Returns </t>
  </si>
  <si>
    <t>Annualised Return (AM)</t>
  </si>
  <si>
    <t>Annualised Return (GM)</t>
  </si>
  <si>
    <t>Monthly S.D</t>
  </si>
  <si>
    <t>Annualised S.D</t>
  </si>
  <si>
    <t xml:space="preserve">Weekly Returns </t>
  </si>
  <si>
    <t>Weekly S.D</t>
  </si>
  <si>
    <t>Beta Calculation</t>
  </si>
  <si>
    <t>Mar 23-22</t>
  </si>
  <si>
    <t>Mar 22-21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</si>
</sst>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0"/>
      <color rgb="FF000000"/>
      <name val="Calibri"/>
      <family val="2"/>
      <scheme val="minor"/>
    </font>
    <font>
      <b/>
      <sz val="16"/>
      <color rgb="FF000000"/>
      <name val="Calibri"/>
      <family val="2"/>
      <scheme val="minor"/>
    </font>
    <font>
      <sz val="10"/>
      <color rgb="FF000000"/>
      <name val="Calibri"/>
      <family val="2"/>
      <scheme val="minor"/>
    </font>
    <font>
      <b/>
      <sz val="14"/>
      <color rgb="FF000000"/>
      <name val="Calibri"/>
      <family val="2"/>
      <scheme val="minor"/>
    </font>
    <font>
      <sz val="14"/>
      <color rgb="FF000000"/>
      <name val="Calibri"/>
      <family val="2"/>
      <scheme val="minor"/>
    </font>
    <font>
      <b/>
      <sz val="10"/>
      <name val="Calibri"/>
      <family val="2"/>
    </font>
    <font>
      <b/>
      <sz val="12"/>
      <name val="Calibri"/>
      <family val="2"/>
    </font>
    <font>
      <b/>
      <sz val="11"/>
      <name val="Calibri"/>
      <family val="2"/>
    </font>
    <font>
      <sz val="10"/>
      <name val="Calibri"/>
      <family val="2"/>
    </font>
    <font>
      <b/>
      <sz val="12"/>
      <color theme="1"/>
      <name val="Calibri"/>
      <family val="2"/>
      <scheme val="minor"/>
    </font>
    <font>
      <b/>
      <sz val="12"/>
      <name val="Arial"/>
      <family val="2"/>
    </font>
    <font>
      <sz val="20"/>
      <color rgb="FF000000"/>
      <name val="Calibri"/>
      <family val="2"/>
    </font>
    <font>
      <sz val="10"/>
      <color rgb="FF000000"/>
      <name val="Calibri"/>
      <family val="2"/>
    </font>
    <font>
      <b/>
      <sz val="16"/>
      <color rgb="FF000000"/>
      <name val="Calibri"/>
      <family val="2"/>
    </font>
    <font>
      <b/>
      <sz val="10"/>
      <color rgb="FF000000"/>
      <name val="Calibri"/>
      <family val="2"/>
    </font>
    <font>
      <b/>
      <sz val="14"/>
      <color rgb="FF000000"/>
      <name val="Calibri"/>
      <family val="2"/>
    </font>
    <font>
      <sz val="14"/>
      <color rgb="FF000000"/>
      <name val="Calibri"/>
      <family val="2"/>
    </font>
    <font>
      <b/>
      <sz val="12"/>
      <color rgb="FF000000"/>
      <name val="Calibri"/>
      <family val="2"/>
    </font>
    <font>
      <b/>
      <sz val="11"/>
      <color rgb="FF000000"/>
      <name val="Calibri"/>
      <family val="2"/>
    </font>
    <font>
      <sz val="14"/>
      <color rgb="FF22222F"/>
      <name val="Calibri"/>
      <family val="2"/>
    </font>
    <font>
      <sz val="11"/>
      <name val="Calibri"/>
      <family val="2"/>
    </font>
  </fonts>
  <fills count="12">
    <fill>
      <patternFill patternType="none"/>
    </fill>
    <fill>
      <patternFill patternType="gray125"/>
    </fill>
    <fill>
      <patternFill patternType="solid">
        <fgColor theme="5" tint="0.59999389629810485"/>
        <bgColor indexed="65"/>
      </patternFill>
    </fill>
    <fill>
      <patternFill patternType="solid">
        <fgColor theme="7"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ADB9CA"/>
        <bgColor rgb="FFADB9CA"/>
      </patternFill>
    </fill>
    <fill>
      <patternFill patternType="solid">
        <fgColor rgb="FFFFC000"/>
        <bgColor rgb="FFFFC000"/>
      </patternFill>
    </fill>
    <fill>
      <patternFill patternType="solid">
        <fgColor rgb="FFD9E2F3"/>
        <bgColor rgb="FFD9E2F3"/>
      </patternFill>
    </fill>
    <fill>
      <patternFill patternType="solid">
        <fgColor theme="5"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style="thin">
        <color rgb="FF000000"/>
      </top>
      <bottom/>
      <diagonal/>
    </border>
  </borders>
  <cellStyleXfs count="3">
    <xf numFmtId="0" fontId="0" fillId="0" borderId="0"/>
    <xf numFmtId="0" fontId="1" fillId="2" borderId="0" applyNumberFormat="0" applyBorder="0" applyAlignment="0" applyProtection="0"/>
    <xf numFmtId="9" fontId="1" fillId="0" borderId="0" applyFont="0" applyFill="0" applyBorder="0" applyAlignment="0" applyProtection="0"/>
  </cellStyleXfs>
  <cellXfs count="89">
    <xf numFmtId="0" fontId="0" fillId="0" borderId="0" xfId="0"/>
    <xf numFmtId="0" fontId="1" fillId="2" borderId="1" xfId="1" applyBorder="1"/>
    <xf numFmtId="0" fontId="4" fillId="0" borderId="0" xfId="0" applyFont="1"/>
    <xf numFmtId="0" fontId="2" fillId="0" borderId="0" xfId="0" applyFont="1" applyAlignment="1">
      <alignment horizontal="center"/>
    </xf>
    <xf numFmtId="17" fontId="2" fillId="2" borderId="1" xfId="1" applyNumberFormat="1" applyFont="1" applyBorder="1"/>
    <xf numFmtId="0" fontId="2" fillId="2" borderId="1" xfId="1" applyFont="1" applyBorder="1"/>
    <xf numFmtId="0" fontId="4" fillId="0" borderId="0" xfId="0" applyFont="1" applyAlignment="1">
      <alignment horizontal="center"/>
    </xf>
    <xf numFmtId="0" fontId="3" fillId="0" borderId="0" xfId="0" applyFont="1"/>
    <xf numFmtId="0" fontId="5" fillId="0" borderId="0" xfId="0" applyFont="1"/>
    <xf numFmtId="0" fontId="6" fillId="0" borderId="0" xfId="0" applyFont="1"/>
    <xf numFmtId="0" fontId="2" fillId="3" borderId="0" xfId="0" applyFont="1" applyFill="1" applyAlignment="1">
      <alignment horizontal="center" wrapText="1"/>
    </xf>
    <xf numFmtId="0" fontId="3" fillId="4" borderId="5" xfId="0" applyFont="1" applyFill="1" applyBorder="1"/>
    <xf numFmtId="4" fontId="2" fillId="4" borderId="1" xfId="0" applyNumberFormat="1" applyFont="1" applyFill="1" applyBorder="1"/>
    <xf numFmtId="4" fontId="2" fillId="4" borderId="6" xfId="0" applyNumberFormat="1" applyFont="1" applyFill="1" applyBorder="1"/>
    <xf numFmtId="0" fontId="3" fillId="4" borderId="7" xfId="0" applyFont="1" applyFill="1" applyBorder="1"/>
    <xf numFmtId="4" fontId="2" fillId="4" borderId="8" xfId="0" applyNumberFormat="1" applyFont="1" applyFill="1" applyBorder="1"/>
    <xf numFmtId="4" fontId="2" fillId="4" borderId="9" xfId="0" applyNumberFormat="1" applyFont="1" applyFill="1" applyBorder="1"/>
    <xf numFmtId="0" fontId="3" fillId="5" borderId="5" xfId="0" applyFont="1" applyFill="1" applyBorder="1"/>
    <xf numFmtId="4" fontId="2" fillId="5" borderId="1" xfId="0" applyNumberFormat="1" applyFont="1" applyFill="1" applyBorder="1"/>
    <xf numFmtId="4" fontId="2" fillId="5" borderId="6" xfId="0" applyNumberFormat="1" applyFont="1" applyFill="1" applyBorder="1"/>
    <xf numFmtId="0" fontId="6" fillId="0" borderId="3" xfId="0" applyFont="1" applyBorder="1"/>
    <xf numFmtId="0" fontId="6" fillId="0" borderId="4" xfId="0" applyFont="1" applyBorder="1"/>
    <xf numFmtId="0" fontId="7" fillId="0" borderId="2" xfId="0" applyFont="1" applyBorder="1"/>
    <xf numFmtId="17" fontId="2" fillId="6" borderId="1" xfId="0" applyNumberFormat="1" applyFont="1" applyFill="1" applyBorder="1"/>
    <xf numFmtId="0" fontId="0" fillId="6" borderId="1" xfId="0" applyFill="1" applyBorder="1"/>
    <xf numFmtId="0" fontId="2" fillId="7" borderId="1" xfId="0" applyFont="1" applyFill="1" applyBorder="1"/>
    <xf numFmtId="2" fontId="3" fillId="7" borderId="1" xfId="0" applyNumberFormat="1" applyFont="1" applyFill="1" applyBorder="1"/>
    <xf numFmtId="0" fontId="8" fillId="0" borderId="0" xfId="0" applyFont="1"/>
    <xf numFmtId="0" fontId="11" fillId="0" borderId="0" xfId="0" applyFont="1"/>
    <xf numFmtId="165" fontId="11" fillId="0" borderId="0" xfId="0" applyNumberFormat="1" applyFont="1"/>
    <xf numFmtId="0" fontId="12" fillId="0" borderId="0" xfId="0" applyFont="1"/>
    <xf numFmtId="0" fontId="2" fillId="2" borderId="0" xfId="1" applyFont="1" applyBorder="1"/>
    <xf numFmtId="9" fontId="2" fillId="2" borderId="1" xfId="1" applyNumberFormat="1" applyFont="1" applyBorder="1"/>
    <xf numFmtId="9" fontId="1" fillId="2" borderId="1" xfId="1" applyNumberFormat="1" applyBorder="1"/>
    <xf numFmtId="2" fontId="2" fillId="7" borderId="1" xfId="0" applyNumberFormat="1" applyFont="1" applyFill="1" applyBorder="1"/>
    <xf numFmtId="0" fontId="13" fillId="0" borderId="0" xfId="0" applyFont="1"/>
    <xf numFmtId="0" fontId="14" fillId="8" borderId="0" xfId="0" applyFont="1" applyFill="1"/>
    <xf numFmtId="0" fontId="15" fillId="0" borderId="10" xfId="0" applyFont="1" applyBorder="1" applyAlignment="1">
      <alignment horizontal="center"/>
    </xf>
    <xf numFmtId="0" fontId="16" fillId="0" borderId="11" xfId="0" applyFont="1" applyBorder="1" applyAlignment="1">
      <alignment horizontal="center"/>
    </xf>
    <xf numFmtId="0" fontId="17" fillId="0" borderId="12" xfId="0" applyFont="1" applyBorder="1" applyAlignment="1">
      <alignment horizontal="center"/>
    </xf>
    <xf numFmtId="0" fontId="15" fillId="0" borderId="10" xfId="0" applyFont="1" applyBorder="1"/>
    <xf numFmtId="0" fontId="16" fillId="0" borderId="11" xfId="0" applyFont="1" applyBorder="1"/>
    <xf numFmtId="0" fontId="15" fillId="0" borderId="12" xfId="0" applyFont="1" applyBorder="1"/>
    <xf numFmtId="0" fontId="18" fillId="9" borderId="0" xfId="0" applyFont="1" applyFill="1"/>
    <xf numFmtId="0" fontId="19" fillId="9" borderId="0" xfId="0" applyFont="1" applyFill="1"/>
    <xf numFmtId="0" fontId="10" fillId="0" borderId="13" xfId="0" applyFont="1" applyBorder="1"/>
    <xf numFmtId="0" fontId="20" fillId="0" borderId="14" xfId="0" applyFont="1" applyBorder="1"/>
    <xf numFmtId="0" fontId="9" fillId="0" borderId="14" xfId="0" applyFont="1" applyBorder="1"/>
    <xf numFmtId="0" fontId="10" fillId="0" borderId="14" xfId="0" applyFont="1" applyBorder="1"/>
    <xf numFmtId="0" fontId="21" fillId="0" borderId="14" xfId="0" applyFont="1" applyBorder="1"/>
    <xf numFmtId="0" fontId="19" fillId="0" borderId="0" xfId="0" applyFont="1"/>
    <xf numFmtId="165" fontId="11" fillId="0" borderId="14" xfId="0" applyNumberFormat="1" applyFont="1" applyBorder="1"/>
    <xf numFmtId="0" fontId="11" fillId="0" borderId="14" xfId="0" applyFont="1" applyBorder="1"/>
    <xf numFmtId="14" fontId="15" fillId="0" borderId="14" xfId="0" applyNumberFormat="1" applyFont="1" applyBorder="1"/>
    <xf numFmtId="0" fontId="15" fillId="0" borderId="14" xfId="0" applyFont="1" applyBorder="1"/>
    <xf numFmtId="3" fontId="19" fillId="0" borderId="0" xfId="0" applyNumberFormat="1" applyFont="1"/>
    <xf numFmtId="3" fontId="15" fillId="0" borderId="0" xfId="0" applyNumberFormat="1" applyFont="1"/>
    <xf numFmtId="10" fontId="11" fillId="0" borderId="14" xfId="0" applyNumberFormat="1" applyFont="1" applyBorder="1"/>
    <xf numFmtId="10" fontId="15" fillId="0" borderId="14" xfId="0" applyNumberFormat="1" applyFont="1" applyBorder="1"/>
    <xf numFmtId="1" fontId="19" fillId="0" borderId="0" xfId="0" applyNumberFormat="1" applyFont="1"/>
    <xf numFmtId="166" fontId="19" fillId="0" borderId="0" xfId="0" applyNumberFormat="1" applyFont="1"/>
    <xf numFmtId="10" fontId="19" fillId="0" borderId="0" xfId="0" applyNumberFormat="1" applyFont="1"/>
    <xf numFmtId="2" fontId="18" fillId="9" borderId="0" xfId="0" applyNumberFormat="1" applyFont="1" applyFill="1"/>
    <xf numFmtId="0" fontId="22" fillId="0" borderId="0" xfId="0" applyFont="1"/>
    <xf numFmtId="0" fontId="18" fillId="0" borderId="0" xfId="0" applyFont="1"/>
    <xf numFmtId="9" fontId="18" fillId="0" borderId="0" xfId="0" applyNumberFormat="1" applyFont="1"/>
    <xf numFmtId="0" fontId="15" fillId="0" borderId="0" xfId="0" applyFont="1"/>
    <xf numFmtId="0" fontId="15" fillId="0" borderId="15" xfId="0" applyFont="1" applyBorder="1"/>
    <xf numFmtId="0" fontId="23" fillId="10" borderId="14" xfId="0" applyFont="1" applyFill="1" applyBorder="1"/>
    <xf numFmtId="10" fontId="23" fillId="10" borderId="14" xfId="0" applyNumberFormat="1" applyFont="1" applyFill="1" applyBorder="1"/>
    <xf numFmtId="0" fontId="10" fillId="10" borderId="14" xfId="0" applyFont="1" applyFill="1" applyBorder="1"/>
    <xf numFmtId="2" fontId="10" fillId="10" borderId="14" xfId="0" applyNumberFormat="1" applyFont="1" applyFill="1" applyBorder="1"/>
    <xf numFmtId="0" fontId="15" fillId="0" borderId="16" xfId="0" applyFont="1" applyBorder="1"/>
    <xf numFmtId="165" fontId="11" fillId="0" borderId="17" xfId="0" applyNumberFormat="1" applyFont="1" applyBorder="1"/>
    <xf numFmtId="0" fontId="11" fillId="0" borderId="17" xfId="0" applyFont="1" applyBorder="1"/>
    <xf numFmtId="10" fontId="15" fillId="0" borderId="17" xfId="0" applyNumberFormat="1" applyFont="1" applyBorder="1"/>
    <xf numFmtId="10" fontId="15" fillId="0" borderId="0" xfId="0" applyNumberFormat="1" applyFont="1"/>
    <xf numFmtId="10" fontId="10" fillId="10" borderId="14" xfId="0" applyNumberFormat="1" applyFont="1" applyFill="1" applyBorder="1"/>
    <xf numFmtId="166" fontId="10" fillId="10" borderId="14" xfId="0" applyNumberFormat="1" applyFont="1" applyFill="1" applyBorder="1"/>
    <xf numFmtId="0" fontId="18" fillId="11" borderId="1" xfId="0" applyFont="1" applyFill="1" applyBorder="1"/>
    <xf numFmtId="10" fontId="18" fillId="11" borderId="1" xfId="0" applyNumberFormat="1" applyFont="1" applyFill="1" applyBorder="1"/>
    <xf numFmtId="9" fontId="18" fillId="11" borderId="1" xfId="0" applyNumberFormat="1" applyFont="1" applyFill="1" applyBorder="1"/>
    <xf numFmtId="0" fontId="2" fillId="4" borderId="1" xfId="1" applyFont="1" applyFill="1" applyBorder="1"/>
    <xf numFmtId="17" fontId="2" fillId="4" borderId="1" xfId="1" applyNumberFormat="1" applyFont="1" applyFill="1" applyBorder="1"/>
    <xf numFmtId="9" fontId="2" fillId="6" borderId="1" xfId="0" applyNumberFormat="1" applyFont="1" applyFill="1" applyBorder="1"/>
    <xf numFmtId="10" fontId="2" fillId="2" borderId="1" xfId="1" applyNumberFormat="1" applyFont="1" applyBorder="1"/>
    <xf numFmtId="10" fontId="2" fillId="6" borderId="1" xfId="2" applyNumberFormat="1" applyFont="1" applyFill="1" applyBorder="1"/>
    <xf numFmtId="164" fontId="2" fillId="6" borderId="1" xfId="0" applyNumberFormat="1" applyFont="1" applyFill="1" applyBorder="1"/>
    <xf numFmtId="0" fontId="3" fillId="0" borderId="0" xfId="0" applyFont="1" applyAlignment="1">
      <alignment horizontal="center"/>
    </xf>
  </cellXfs>
  <cellStyles count="3">
    <cellStyle name="40% - Accent2" xfId="1" builtinId="35"/>
    <cellStyle name="Normal" xfId="0" builtinId="0"/>
    <cellStyle name="Percent" xfId="2" builtinId="5"/>
  </cellStyles>
  <dxfs count="9">
    <dxf>
      <font>
        <b/>
      </font>
      <numFmt numFmtId="4" formatCode="#,##0.00"/>
      <fill>
        <patternFill patternType="solid">
          <fgColor indexed="64"/>
          <bgColor theme="4"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numFmt numFmtId="4" formatCode="#,##0.00"/>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4" formatCode="#,##0.00"/>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rgb="FF000000"/>
        <name val="Calibri"/>
        <family val="2"/>
        <scheme val="minor"/>
      </font>
      <fill>
        <patternFill patternType="solid">
          <fgColor indexed="64"/>
          <bgColor theme="4"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4" tint="0.59999389629810485"/>
        </patternFill>
      </fill>
    </dxf>
    <dxf>
      <border>
        <bottom style="thin">
          <color indexed="64"/>
        </bottom>
      </border>
    </dxf>
    <dxf>
      <font>
        <b/>
        <i val="0"/>
        <strike val="0"/>
        <condense val="0"/>
        <extend val="0"/>
        <outline val="0"/>
        <shadow val="0"/>
        <u val="none"/>
        <vertAlign val="baseline"/>
        <sz val="10"/>
        <color rgb="FF000000"/>
        <name val="Calibri"/>
        <family val="2"/>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156422-64ED-4A65-BE6D-0DED9695877D}" name="Table3" displayName="Table3" ref="A2:D6" totalsRowShown="0" headerRowDxfId="8" dataDxfId="6" headerRowBorderDxfId="7" tableBorderDxfId="5" totalsRowBorderDxfId="4">
  <tableColumns count="4">
    <tableColumn id="1" xr3:uid="{8C7C6CEA-5091-46A4-9656-1607C6DC92BE}" name="Particulars" dataDxfId="3"/>
    <tableColumn id="2" xr3:uid="{8CF6404A-8E13-42D3-9671-8A9492B8FBB9}" name="2023" dataDxfId="2"/>
    <tableColumn id="3" xr3:uid="{D7EC590B-3BC9-4B30-AE3F-24A316B8225E}" name="2022" dataDxfId="1"/>
    <tableColumn id="4" xr3:uid="{9D348355-3C85-427C-B101-4F930B915F1E}" name="2021"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7094B-B225-4612-90FF-55878FA054CA}">
  <dimension ref="A1:W154"/>
  <sheetViews>
    <sheetView tabSelected="1" topLeftCell="J12" zoomScale="71" workbookViewId="0">
      <selection activeCell="U28" sqref="U28"/>
    </sheetView>
  </sheetViews>
  <sheetFormatPr defaultRowHeight="14.5" x14ac:dyDescent="0.35"/>
  <cols>
    <col min="1" max="1" width="23.1796875" bestFit="1" customWidth="1"/>
    <col min="2" max="2" width="22.6328125" bestFit="1" customWidth="1"/>
    <col min="3" max="3" width="10.1796875" bestFit="1" customWidth="1"/>
    <col min="5" max="5" width="23.1796875" bestFit="1" customWidth="1"/>
    <col min="6" max="6" width="13.36328125" bestFit="1" customWidth="1"/>
    <col min="7" max="7" width="11.1796875" bestFit="1" customWidth="1"/>
    <col min="9" max="9" width="24" bestFit="1" customWidth="1"/>
    <col min="10" max="10" width="8.81640625" bestFit="1" customWidth="1"/>
    <col min="11" max="11" width="10.1796875" bestFit="1" customWidth="1"/>
    <col min="13" max="13" width="24" bestFit="1" customWidth="1"/>
    <col min="14" max="14" width="8.81640625" bestFit="1" customWidth="1"/>
    <col min="15" max="15" width="11.1796875" bestFit="1" customWidth="1"/>
    <col min="18" max="18" width="52.26953125" bestFit="1" customWidth="1"/>
    <col min="19" max="19" width="8.81640625" bestFit="1" customWidth="1"/>
    <col min="22" max="22" width="32.90625" bestFit="1" customWidth="1"/>
  </cols>
  <sheetData>
    <row r="1" spans="1:23" ht="26" x14ac:dyDescent="0.6">
      <c r="C1" s="36" t="s">
        <v>30</v>
      </c>
      <c r="D1" s="36"/>
      <c r="L1" s="36" t="s">
        <v>31</v>
      </c>
      <c r="M1" s="36"/>
    </row>
    <row r="2" spans="1:23" ht="21" x14ac:dyDescent="0.5">
      <c r="A2" s="37"/>
      <c r="B2" s="38" t="s">
        <v>33</v>
      </c>
      <c r="C2" s="39"/>
      <c r="E2" s="40"/>
      <c r="F2" s="41" t="s">
        <v>32</v>
      </c>
      <c r="G2" s="42"/>
      <c r="I2" s="37"/>
      <c r="J2" s="38" t="s">
        <v>33</v>
      </c>
      <c r="K2" s="39"/>
      <c r="M2" s="40"/>
      <c r="N2" s="41" t="s">
        <v>32</v>
      </c>
      <c r="O2" s="42"/>
      <c r="R2" s="43" t="s">
        <v>30</v>
      </c>
      <c r="S2" s="43"/>
      <c r="V2" s="43" t="s">
        <v>31</v>
      </c>
      <c r="W2" s="44"/>
    </row>
    <row r="3" spans="1:23" ht="18.5" x14ac:dyDescent="0.45">
      <c r="A3" s="45" t="s">
        <v>34</v>
      </c>
      <c r="B3" s="45" t="s">
        <v>35</v>
      </c>
      <c r="C3" s="45" t="s">
        <v>36</v>
      </c>
      <c r="D3" s="27"/>
      <c r="E3" s="46" t="s">
        <v>34</v>
      </c>
      <c r="F3" s="46" t="s">
        <v>35</v>
      </c>
      <c r="G3" s="47" t="s">
        <v>36</v>
      </c>
      <c r="I3" s="48" t="s">
        <v>34</v>
      </c>
      <c r="J3" s="48" t="s">
        <v>35</v>
      </c>
      <c r="K3" s="49" t="s">
        <v>36</v>
      </c>
      <c r="M3" s="47" t="s">
        <v>34</v>
      </c>
      <c r="N3" s="47" t="s">
        <v>35</v>
      </c>
      <c r="O3" s="46" t="s">
        <v>36</v>
      </c>
      <c r="R3" s="50" t="s">
        <v>37</v>
      </c>
      <c r="S3" s="50">
        <f>SLOPE(C5:C36,G5:G36)</f>
        <v>1.1730620014859994</v>
      </c>
      <c r="V3" s="50" t="s">
        <v>37</v>
      </c>
      <c r="W3" s="50">
        <f>SLOPE(K5:K143,O5:O143)</f>
        <v>1.4981069101593305E-2</v>
      </c>
    </row>
    <row r="4" spans="1:23" ht="18.5" x14ac:dyDescent="0.45">
      <c r="A4" s="51">
        <v>44287</v>
      </c>
      <c r="B4" s="52">
        <v>401.52590900000001</v>
      </c>
      <c r="C4" s="52"/>
      <c r="D4" s="28"/>
      <c r="E4" s="53">
        <v>44287</v>
      </c>
      <c r="F4" s="54">
        <v>14631.099609000001</v>
      </c>
      <c r="G4" s="54"/>
      <c r="I4" s="51">
        <v>44277</v>
      </c>
      <c r="J4" s="52">
        <v>248.65921</v>
      </c>
      <c r="K4" s="54"/>
      <c r="M4" s="53">
        <v>44284</v>
      </c>
      <c r="N4" s="54">
        <v>14867.349609000001</v>
      </c>
      <c r="O4" s="54"/>
      <c r="R4" s="50" t="s">
        <v>38</v>
      </c>
      <c r="S4" s="55">
        <v>7303</v>
      </c>
      <c r="U4" s="56"/>
      <c r="V4" s="50" t="s">
        <v>38</v>
      </c>
      <c r="W4" s="50">
        <v>7303</v>
      </c>
    </row>
    <row r="5" spans="1:23" ht="18.5" x14ac:dyDescent="0.45">
      <c r="A5" s="51">
        <v>44317</v>
      </c>
      <c r="B5" s="52">
        <v>475.09576399999997</v>
      </c>
      <c r="C5" s="57">
        <f t="shared" ref="C5:C36" si="0">+(B5-B4)/B4</f>
        <v>0.18322567324042832</v>
      </c>
      <c r="D5" s="28"/>
      <c r="E5" s="53">
        <v>44317</v>
      </c>
      <c r="F5" s="54">
        <v>15582.799805000001</v>
      </c>
      <c r="G5" s="58">
        <f t="shared" ref="G5:G36" si="1">+(F5-F4)/F4</f>
        <v>6.5046388954565132E-2</v>
      </c>
      <c r="I5" s="51">
        <v>44284</v>
      </c>
      <c r="J5" s="52">
        <v>266.91708399999999</v>
      </c>
      <c r="K5" s="58">
        <f t="shared" ref="K5:K143" si="2">+(J5-J4)/J4</f>
        <v>7.3425287565258443E-2</v>
      </c>
      <c r="M5" s="53">
        <v>44291</v>
      </c>
      <c r="N5" s="54">
        <v>14834.849609000001</v>
      </c>
      <c r="O5" s="58">
        <f t="shared" ref="O5:O143" si="3">+(N5-N4)/N4</f>
        <v>-2.1859982347039188E-3</v>
      </c>
      <c r="R5" s="50" t="s">
        <v>39</v>
      </c>
      <c r="S5" s="59">
        <v>765</v>
      </c>
      <c r="U5" s="56"/>
      <c r="V5" s="50" t="s">
        <v>39</v>
      </c>
      <c r="W5" s="50">
        <v>765</v>
      </c>
    </row>
    <row r="6" spans="1:23" ht="18.5" x14ac:dyDescent="0.45">
      <c r="A6" s="51">
        <v>44348</v>
      </c>
      <c r="B6" s="52">
        <v>512.44366500000001</v>
      </c>
      <c r="C6" s="57">
        <f t="shared" si="0"/>
        <v>7.8611311297652489E-2</v>
      </c>
      <c r="D6" s="28"/>
      <c r="E6" s="53">
        <v>44348</v>
      </c>
      <c r="F6" s="54">
        <v>15721.5</v>
      </c>
      <c r="G6" s="58">
        <f t="shared" si="1"/>
        <v>8.9008520121971382E-3</v>
      </c>
      <c r="I6" s="51">
        <v>44291</v>
      </c>
      <c r="J6" s="52">
        <v>326.83029199999999</v>
      </c>
      <c r="K6" s="58">
        <f t="shared" si="2"/>
        <v>0.22446374395428356</v>
      </c>
      <c r="M6" s="53">
        <v>44298</v>
      </c>
      <c r="N6" s="54">
        <v>14617.849609000001</v>
      </c>
      <c r="O6" s="58">
        <f t="shared" si="3"/>
        <v>-1.4627718225626671E-2</v>
      </c>
      <c r="R6" s="50" t="s">
        <v>40</v>
      </c>
      <c r="S6" s="60">
        <f>+S5/S4</f>
        <v>0.10475147199780913</v>
      </c>
      <c r="V6" s="43" t="s">
        <v>40</v>
      </c>
      <c r="W6" s="43">
        <f>+W5/W4</f>
        <v>0.10475147199780913</v>
      </c>
    </row>
    <row r="7" spans="1:23" ht="18.5" x14ac:dyDescent="0.45">
      <c r="A7" s="51">
        <v>44378</v>
      </c>
      <c r="B7" s="52">
        <v>580.82495100000006</v>
      </c>
      <c r="C7" s="57">
        <f t="shared" si="0"/>
        <v>0.13344156766968726</v>
      </c>
      <c r="D7" s="28"/>
      <c r="E7" s="53">
        <v>44378</v>
      </c>
      <c r="F7" s="54">
        <v>15763.049805000001</v>
      </c>
      <c r="G7" s="58">
        <f t="shared" si="1"/>
        <v>2.6428651846198237E-3</v>
      </c>
      <c r="I7" s="51">
        <v>44298</v>
      </c>
      <c r="J7" s="52">
        <v>294.71991000000003</v>
      </c>
      <c r="K7" s="58">
        <f t="shared" si="2"/>
        <v>-9.8247875995533362E-2</v>
      </c>
      <c r="M7" s="53">
        <v>44305</v>
      </c>
      <c r="N7" s="54">
        <v>14341.349609000001</v>
      </c>
      <c r="O7" s="58">
        <f t="shared" si="3"/>
        <v>-1.8915230857879595E-2</v>
      </c>
      <c r="R7" s="50" t="s">
        <v>41</v>
      </c>
      <c r="S7" s="55">
        <f>S4+S5</f>
        <v>8068</v>
      </c>
      <c r="V7" s="50"/>
      <c r="W7" s="50"/>
    </row>
    <row r="8" spans="1:23" ht="18.5" x14ac:dyDescent="0.45">
      <c r="A8" s="51">
        <v>44409</v>
      </c>
      <c r="B8" s="52">
        <v>729.82458499999996</v>
      </c>
      <c r="C8" s="57">
        <f t="shared" si="0"/>
        <v>0.25653104905956403</v>
      </c>
      <c r="D8" s="28"/>
      <c r="E8" s="53">
        <v>44409</v>
      </c>
      <c r="F8" s="54">
        <v>17132.199218999998</v>
      </c>
      <c r="G8" s="58">
        <f t="shared" si="1"/>
        <v>8.6858154414110073E-2</v>
      </c>
      <c r="I8" s="51">
        <v>44305</v>
      </c>
      <c r="J8" s="52">
        <v>323.354919</v>
      </c>
      <c r="K8" s="58">
        <f t="shared" si="2"/>
        <v>9.7160076494322914E-2</v>
      </c>
      <c r="M8" s="53">
        <v>44312</v>
      </c>
      <c r="N8" s="54">
        <v>14631.099609000001</v>
      </c>
      <c r="O8" s="58">
        <f t="shared" si="3"/>
        <v>2.0203816788495668E-2</v>
      </c>
      <c r="R8" s="50" t="s">
        <v>42</v>
      </c>
      <c r="S8" s="61">
        <v>0.3</v>
      </c>
      <c r="V8" s="50" t="s">
        <v>42</v>
      </c>
      <c r="W8" s="50">
        <v>0.3</v>
      </c>
    </row>
    <row r="9" spans="1:23" ht="18.5" x14ac:dyDescent="0.45">
      <c r="A9" s="51">
        <v>44440</v>
      </c>
      <c r="B9" s="52">
        <v>740.28381300000001</v>
      </c>
      <c r="C9" s="57">
        <f t="shared" si="0"/>
        <v>1.4331153286649084E-2</v>
      </c>
      <c r="D9" s="28"/>
      <c r="E9" s="53">
        <v>44440</v>
      </c>
      <c r="F9" s="54">
        <v>17618.150390999999</v>
      </c>
      <c r="G9" s="58">
        <f t="shared" si="1"/>
        <v>2.8364786434485891E-2</v>
      </c>
      <c r="I9" s="51">
        <v>44312</v>
      </c>
      <c r="J9" s="52">
        <v>401.52590900000001</v>
      </c>
      <c r="K9" s="58">
        <f t="shared" si="2"/>
        <v>0.24174980928618567</v>
      </c>
      <c r="M9" s="53">
        <v>44319</v>
      </c>
      <c r="N9" s="54">
        <v>14823.150390999999</v>
      </c>
      <c r="O9" s="58">
        <f t="shared" si="3"/>
        <v>1.3126202891945497E-2</v>
      </c>
      <c r="R9" s="50"/>
      <c r="S9" s="50"/>
      <c r="U9" s="56"/>
      <c r="V9" s="50"/>
      <c r="W9" s="50"/>
    </row>
    <row r="10" spans="1:23" ht="18.5" x14ac:dyDescent="0.45">
      <c r="A10" s="51">
        <v>44470</v>
      </c>
      <c r="B10" s="52">
        <v>655.603027</v>
      </c>
      <c r="C10" s="57">
        <f t="shared" si="0"/>
        <v>-0.1143896226189671</v>
      </c>
      <c r="D10" s="28"/>
      <c r="E10" s="53">
        <v>44470</v>
      </c>
      <c r="F10" s="54">
        <v>17671.650390999999</v>
      </c>
      <c r="G10" s="58">
        <f t="shared" si="1"/>
        <v>3.0366411236522179E-3</v>
      </c>
      <c r="I10" s="51">
        <v>44319</v>
      </c>
      <c r="J10" s="52">
        <v>407.93817100000001</v>
      </c>
      <c r="K10" s="58">
        <f t="shared" si="2"/>
        <v>1.5969734097532415E-2</v>
      </c>
      <c r="M10" s="53">
        <v>44326</v>
      </c>
      <c r="N10" s="54">
        <v>14677.799805000001</v>
      </c>
      <c r="O10" s="58">
        <f t="shared" si="3"/>
        <v>-9.8056473938394027E-3</v>
      </c>
      <c r="R10" s="43" t="s">
        <v>43</v>
      </c>
      <c r="S10" s="62">
        <f>S3/(1+(S6*(100%-S8)))</f>
        <v>1.0929223444348093</v>
      </c>
      <c r="V10" s="43" t="s">
        <v>43</v>
      </c>
      <c r="W10" s="43">
        <f>W3/(1+(W6*(100%-W8)))</f>
        <v>1.3957612763785916E-2</v>
      </c>
    </row>
    <row r="11" spans="1:23" ht="18.5" x14ac:dyDescent="0.45">
      <c r="A11" s="51">
        <v>44501</v>
      </c>
      <c r="B11" s="52">
        <v>540.60553000000004</v>
      </c>
      <c r="C11" s="57">
        <f t="shared" si="0"/>
        <v>-0.17540720872846116</v>
      </c>
      <c r="D11" s="28"/>
      <c r="E11" s="53">
        <v>44501</v>
      </c>
      <c r="F11" s="54">
        <v>16983.199218999998</v>
      </c>
      <c r="G11" s="58">
        <f t="shared" si="1"/>
        <v>-3.8957944321409983E-2</v>
      </c>
      <c r="I11" s="51">
        <v>44326</v>
      </c>
      <c r="J11" s="52">
        <v>415.47628800000001</v>
      </c>
      <c r="K11" s="58">
        <f t="shared" si="2"/>
        <v>1.8478577235176159E-2</v>
      </c>
      <c r="M11" s="53">
        <v>44333</v>
      </c>
      <c r="N11" s="54">
        <v>15175.299805000001</v>
      </c>
      <c r="O11" s="58">
        <f t="shared" si="3"/>
        <v>3.3894725817865859E-2</v>
      </c>
      <c r="R11" s="50"/>
      <c r="S11" s="50"/>
      <c r="V11" s="50"/>
      <c r="W11" s="50"/>
    </row>
    <row r="12" spans="1:23" ht="18.5" x14ac:dyDescent="0.45">
      <c r="A12" s="51">
        <v>44531</v>
      </c>
      <c r="B12" s="52">
        <v>561.95941200000004</v>
      </c>
      <c r="C12" s="57">
        <f t="shared" si="0"/>
        <v>3.9499932603353126E-2</v>
      </c>
      <c r="D12" s="28"/>
      <c r="E12" s="53">
        <v>44531</v>
      </c>
      <c r="F12" s="54">
        <v>17354.050781000002</v>
      </c>
      <c r="G12" s="58">
        <f t="shared" si="1"/>
        <v>2.183637824757495E-2</v>
      </c>
      <c r="I12" s="51">
        <v>44333</v>
      </c>
      <c r="J12" s="52">
        <v>427.76242100000002</v>
      </c>
      <c r="K12" s="58">
        <f t="shared" si="2"/>
        <v>2.9571201425579324E-2</v>
      </c>
      <c r="M12" s="53">
        <v>44340</v>
      </c>
      <c r="N12" s="54">
        <v>15435.650390999999</v>
      </c>
      <c r="O12" s="58">
        <f t="shared" si="3"/>
        <v>1.7156207082921527E-2</v>
      </c>
      <c r="R12" s="50" t="s">
        <v>44</v>
      </c>
      <c r="S12" s="63">
        <v>56</v>
      </c>
      <c r="V12" s="50" t="s">
        <v>44</v>
      </c>
      <c r="W12" s="50">
        <v>56</v>
      </c>
    </row>
    <row r="13" spans="1:23" ht="18.5" x14ac:dyDescent="0.45">
      <c r="A13" s="51">
        <v>44562</v>
      </c>
      <c r="B13" s="52">
        <v>560.63696300000004</v>
      </c>
      <c r="C13" s="57">
        <f t="shared" si="0"/>
        <v>-2.3532820551816045E-3</v>
      </c>
      <c r="D13" s="28"/>
      <c r="E13" s="53">
        <v>44562</v>
      </c>
      <c r="F13" s="54">
        <v>17339.849609000001</v>
      </c>
      <c r="G13" s="58">
        <f t="shared" si="1"/>
        <v>-8.1832029761887267E-4</v>
      </c>
      <c r="I13" s="51">
        <v>44340</v>
      </c>
      <c r="J13" s="52">
        <v>473.72521999999998</v>
      </c>
      <c r="K13" s="58">
        <f t="shared" si="2"/>
        <v>0.10744936147628537</v>
      </c>
      <c r="M13" s="53">
        <v>44347</v>
      </c>
      <c r="N13" s="54">
        <v>15670.25</v>
      </c>
      <c r="O13" s="58">
        <f t="shared" si="3"/>
        <v>1.5198556786229611E-2</v>
      </c>
      <c r="R13" s="50" t="s">
        <v>45</v>
      </c>
      <c r="S13" s="59">
        <f>+S4+S5</f>
        <v>8068</v>
      </c>
      <c r="V13" s="50" t="s">
        <v>45</v>
      </c>
      <c r="W13" s="50">
        <f>+W4+W5</f>
        <v>8068</v>
      </c>
    </row>
    <row r="14" spans="1:23" ht="18.5" x14ac:dyDescent="0.45">
      <c r="A14" s="51">
        <v>44593</v>
      </c>
      <c r="B14" s="52">
        <v>487.51470899999998</v>
      </c>
      <c r="C14" s="57">
        <f t="shared" si="0"/>
        <v>-0.13042710136113528</v>
      </c>
      <c r="D14" s="28"/>
      <c r="E14" s="53">
        <v>44593</v>
      </c>
      <c r="F14" s="54">
        <v>16793.900390999999</v>
      </c>
      <c r="G14" s="58">
        <f t="shared" si="1"/>
        <v>-3.1485233742548406E-2</v>
      </c>
      <c r="I14" s="51">
        <v>44347</v>
      </c>
      <c r="J14" s="52">
        <v>559.82580600000006</v>
      </c>
      <c r="K14" s="58">
        <f t="shared" si="2"/>
        <v>0.18175216848281811</v>
      </c>
      <c r="M14" s="53">
        <v>44354</v>
      </c>
      <c r="N14" s="54">
        <v>15799.349609000001</v>
      </c>
      <c r="O14" s="58">
        <f t="shared" si="3"/>
        <v>8.2385162329893132E-3</v>
      </c>
      <c r="R14" s="50" t="s">
        <v>46</v>
      </c>
      <c r="S14" s="50">
        <f>+S12/S13</f>
        <v>6.9410014873574613E-3</v>
      </c>
      <c r="V14" s="43" t="s">
        <v>46</v>
      </c>
      <c r="W14" s="43">
        <f>+W12/W13</f>
        <v>6.9410014873574613E-3</v>
      </c>
    </row>
    <row r="15" spans="1:23" ht="18.5" x14ac:dyDescent="0.45">
      <c r="A15" s="51">
        <v>44621</v>
      </c>
      <c r="B15" s="52">
        <v>442.55633499999999</v>
      </c>
      <c r="C15" s="57">
        <f t="shared" si="0"/>
        <v>-9.2219523165197451E-2</v>
      </c>
      <c r="D15" s="28"/>
      <c r="E15" s="53">
        <v>44621</v>
      </c>
      <c r="F15" s="54">
        <v>17464.75</v>
      </c>
      <c r="G15" s="58">
        <f t="shared" si="1"/>
        <v>3.9946027627954434E-2</v>
      </c>
      <c r="I15" s="51">
        <v>44354</v>
      </c>
      <c r="J15" s="52">
        <v>564.13348399999995</v>
      </c>
      <c r="K15" s="58">
        <f t="shared" si="2"/>
        <v>7.6946756541621374E-3</v>
      </c>
      <c r="M15" s="53">
        <v>44361</v>
      </c>
      <c r="N15" s="54">
        <v>15683.349609000001</v>
      </c>
      <c r="O15" s="58">
        <f t="shared" si="3"/>
        <v>-7.3420743809556139E-3</v>
      </c>
      <c r="R15" s="50"/>
      <c r="S15" s="50"/>
      <c r="V15" s="50"/>
      <c r="W15" s="50"/>
    </row>
    <row r="16" spans="1:23" ht="18.5" x14ac:dyDescent="0.45">
      <c r="A16" s="51">
        <v>44652</v>
      </c>
      <c r="B16" s="52">
        <v>494.99212599999998</v>
      </c>
      <c r="C16" s="57">
        <f t="shared" si="0"/>
        <v>0.11848387844227785</v>
      </c>
      <c r="D16" s="28"/>
      <c r="E16" s="53">
        <v>44652</v>
      </c>
      <c r="F16" s="54">
        <v>17102.550781000002</v>
      </c>
      <c r="G16" s="58">
        <f t="shared" si="1"/>
        <v>-2.0738872242660116E-2</v>
      </c>
      <c r="I16" s="51">
        <v>44361</v>
      </c>
      <c r="J16" s="52">
        <v>540.44219999999996</v>
      </c>
      <c r="K16" s="58">
        <f t="shared" si="2"/>
        <v>-4.1995883371461068E-2</v>
      </c>
      <c r="M16" s="53">
        <v>44368</v>
      </c>
      <c r="N16" s="54">
        <v>15860.349609000001</v>
      </c>
      <c r="O16" s="58">
        <f t="shared" si="3"/>
        <v>1.1285854387791451E-2</v>
      </c>
      <c r="R16" s="43" t="s">
        <v>47</v>
      </c>
      <c r="S16" s="62">
        <f>+S10/(1-S14)</f>
        <v>1.1005613423489817</v>
      </c>
      <c r="V16" s="43" t="s">
        <v>47</v>
      </c>
      <c r="W16" s="43">
        <f>+W10/(1-W14)</f>
        <v>1.4055169717701543E-2</v>
      </c>
    </row>
    <row r="17" spans="1:23" ht="18.5" x14ac:dyDescent="0.45">
      <c r="A17" s="51">
        <v>44682</v>
      </c>
      <c r="B17" s="52">
        <v>497.89428700000002</v>
      </c>
      <c r="C17" s="57">
        <f t="shared" si="0"/>
        <v>5.8630447790194449E-3</v>
      </c>
      <c r="D17" s="28"/>
      <c r="E17" s="53">
        <v>44682</v>
      </c>
      <c r="F17" s="54">
        <v>16584.550781000002</v>
      </c>
      <c r="G17" s="58">
        <f t="shared" si="1"/>
        <v>-3.0287879663860998E-2</v>
      </c>
      <c r="I17" s="51">
        <v>44368</v>
      </c>
      <c r="J17" s="52">
        <v>538.09277299999997</v>
      </c>
      <c r="K17" s="58">
        <f t="shared" si="2"/>
        <v>-4.3472308417070163E-3</v>
      </c>
      <c r="M17" s="53">
        <v>44375</v>
      </c>
      <c r="N17" s="54">
        <v>15722.200194999999</v>
      </c>
      <c r="O17" s="58">
        <f t="shared" si="3"/>
        <v>-8.7103637313018668E-3</v>
      </c>
      <c r="R17" s="50"/>
      <c r="S17" s="50"/>
    </row>
    <row r="18" spans="1:23" ht="18.5" x14ac:dyDescent="0.45">
      <c r="A18" s="51">
        <v>44713</v>
      </c>
      <c r="B18" s="52">
        <v>477.97265599999997</v>
      </c>
      <c r="C18" s="57">
        <f t="shared" si="0"/>
        <v>-4.0011768602599064E-2</v>
      </c>
      <c r="D18" s="28"/>
      <c r="E18" s="53">
        <v>44713</v>
      </c>
      <c r="F18" s="54">
        <v>15780.25</v>
      </c>
      <c r="G18" s="58">
        <f t="shared" si="1"/>
        <v>-4.8496989253483093E-2</v>
      </c>
      <c r="I18" s="51">
        <v>44375</v>
      </c>
      <c r="J18" s="52">
        <v>531.827271</v>
      </c>
      <c r="K18" s="58">
        <f t="shared" si="2"/>
        <v>-1.1643906616824178E-2</v>
      </c>
      <c r="M18" s="53">
        <v>44382</v>
      </c>
      <c r="N18" s="54">
        <v>15689.799805000001</v>
      </c>
      <c r="O18" s="58">
        <f t="shared" si="3"/>
        <v>-2.0608050780515381E-3</v>
      </c>
      <c r="R18" s="50" t="s">
        <v>48</v>
      </c>
      <c r="S18" s="64" t="s">
        <v>49</v>
      </c>
    </row>
    <row r="19" spans="1:23" ht="18.5" x14ac:dyDescent="0.45">
      <c r="A19" s="51">
        <v>44743</v>
      </c>
      <c r="B19" s="52">
        <v>521.25915499999996</v>
      </c>
      <c r="C19" s="57">
        <f t="shared" si="0"/>
        <v>9.0562709930419108E-2</v>
      </c>
      <c r="D19" s="28"/>
      <c r="E19" s="53">
        <v>44743</v>
      </c>
      <c r="F19" s="54">
        <v>17158.25</v>
      </c>
      <c r="G19" s="58">
        <f t="shared" si="1"/>
        <v>8.7324345305049039E-2</v>
      </c>
      <c r="I19" s="51">
        <v>44382</v>
      </c>
      <c r="J19" s="52">
        <v>551.99408000000005</v>
      </c>
      <c r="K19" s="58">
        <f t="shared" si="2"/>
        <v>3.7919847476193182E-2</v>
      </c>
      <c r="M19" s="53">
        <v>44389</v>
      </c>
      <c r="N19" s="54">
        <v>15923.400390999999</v>
      </c>
      <c r="O19" s="58">
        <f t="shared" si="3"/>
        <v>1.4888691309213211E-2</v>
      </c>
      <c r="R19" s="50" t="s">
        <v>50</v>
      </c>
      <c r="S19" s="64" t="s">
        <v>51</v>
      </c>
    </row>
    <row r="20" spans="1:23" ht="18.5" x14ac:dyDescent="0.45">
      <c r="A20" s="51">
        <v>44774</v>
      </c>
      <c r="B20" s="52">
        <v>463.36340300000001</v>
      </c>
      <c r="C20" s="57">
        <f t="shared" si="0"/>
        <v>-0.11106903628388064</v>
      </c>
      <c r="D20" s="28"/>
      <c r="E20" s="53">
        <v>44774</v>
      </c>
      <c r="F20" s="54">
        <v>17759.300781000002</v>
      </c>
      <c r="G20" s="58">
        <f t="shared" si="1"/>
        <v>3.5029841679658572E-2</v>
      </c>
      <c r="I20" s="51">
        <v>44389</v>
      </c>
      <c r="J20" s="52">
        <v>550.77038600000003</v>
      </c>
      <c r="K20" s="58">
        <f t="shared" si="2"/>
        <v>-2.2168607315499163E-3</v>
      </c>
      <c r="M20" s="53">
        <v>44396</v>
      </c>
      <c r="N20" s="54">
        <v>15856.049805000001</v>
      </c>
      <c r="O20" s="58">
        <f t="shared" si="3"/>
        <v>-4.2296610237889647E-3</v>
      </c>
      <c r="R20" s="50" t="s">
        <v>52</v>
      </c>
      <c r="S20" s="64" t="s">
        <v>51</v>
      </c>
    </row>
    <row r="21" spans="1:23" ht="18.5" x14ac:dyDescent="0.45">
      <c r="A21" s="51">
        <v>44805</v>
      </c>
      <c r="B21" s="52">
        <v>509.80883799999998</v>
      </c>
      <c r="C21" s="57">
        <f t="shared" si="0"/>
        <v>0.10023544090727418</v>
      </c>
      <c r="D21" s="28"/>
      <c r="E21" s="53">
        <v>44805</v>
      </c>
      <c r="F21" s="54">
        <v>17094.349609000001</v>
      </c>
      <c r="G21" s="58">
        <f t="shared" si="1"/>
        <v>-3.7442418493829829E-2</v>
      </c>
      <c r="I21" s="51">
        <v>44396</v>
      </c>
      <c r="J21" s="52">
        <v>616.31268299999999</v>
      </c>
      <c r="K21" s="58">
        <f t="shared" si="2"/>
        <v>0.11900112763143361</v>
      </c>
      <c r="M21" s="53">
        <v>44403</v>
      </c>
      <c r="N21" s="54">
        <v>15763.049805000001</v>
      </c>
      <c r="O21" s="58">
        <f t="shared" si="3"/>
        <v>-5.865269165001844E-3</v>
      </c>
      <c r="R21" s="50"/>
      <c r="S21" s="50"/>
    </row>
    <row r="22" spans="1:23" ht="18.5" x14ac:dyDescent="0.45">
      <c r="A22" s="51">
        <v>44835</v>
      </c>
      <c r="B22" s="52">
        <v>509.01763899999997</v>
      </c>
      <c r="C22" s="57">
        <f t="shared" si="0"/>
        <v>-1.551952302560918E-3</v>
      </c>
      <c r="D22" s="28"/>
      <c r="E22" s="53">
        <v>44835</v>
      </c>
      <c r="F22" s="54">
        <v>18012.199218999998</v>
      </c>
      <c r="G22" s="58">
        <f t="shared" si="1"/>
        <v>5.3693157738903326E-2</v>
      </c>
      <c r="I22" s="51">
        <v>44403</v>
      </c>
      <c r="J22" s="52">
        <v>580.82488999999998</v>
      </c>
      <c r="K22" s="58">
        <f t="shared" si="2"/>
        <v>-5.7580825413583142E-2</v>
      </c>
      <c r="M22" s="53">
        <v>44410</v>
      </c>
      <c r="N22" s="54">
        <v>16238.200194999999</v>
      </c>
      <c r="O22" s="58">
        <f t="shared" si="3"/>
        <v>3.0143303223547663E-2</v>
      </c>
      <c r="R22" s="79" t="s">
        <v>53</v>
      </c>
      <c r="S22" s="80">
        <v>5.9200000000000003E-2</v>
      </c>
    </row>
    <row r="23" spans="1:23" ht="18.5" x14ac:dyDescent="0.45">
      <c r="A23" s="51">
        <v>44866</v>
      </c>
      <c r="B23" s="52">
        <v>531.46704099999999</v>
      </c>
      <c r="C23" s="57">
        <f t="shared" si="0"/>
        <v>4.4103387151972588E-2</v>
      </c>
      <c r="D23" s="28"/>
      <c r="E23" s="53">
        <v>44866</v>
      </c>
      <c r="F23" s="54">
        <v>18758.349609000001</v>
      </c>
      <c r="G23" s="58">
        <f t="shared" si="1"/>
        <v>4.1424724484111455E-2</v>
      </c>
      <c r="I23" s="51">
        <v>44410</v>
      </c>
      <c r="J23" s="52">
        <v>600.35540800000001</v>
      </c>
      <c r="K23" s="58">
        <f t="shared" si="2"/>
        <v>3.3625483921668767E-2</v>
      </c>
      <c r="M23" s="53">
        <v>44417</v>
      </c>
      <c r="N23" s="54">
        <v>16529.099609000001</v>
      </c>
      <c r="O23" s="58">
        <f t="shared" si="3"/>
        <v>1.7914510876000527E-2</v>
      </c>
      <c r="R23" s="79" t="s">
        <v>54</v>
      </c>
      <c r="S23" s="81">
        <f>5.92%%+S3*(54.8%-5.92%)</f>
        <v>0.57398470632635645</v>
      </c>
    </row>
    <row r="24" spans="1:23" ht="18.5" x14ac:dyDescent="0.45">
      <c r="A24" s="51">
        <v>44896</v>
      </c>
      <c r="B24" s="52">
        <v>522.71472200000005</v>
      </c>
      <c r="C24" s="57">
        <f t="shared" si="0"/>
        <v>-1.6468225355107096E-2</v>
      </c>
      <c r="D24" s="28"/>
      <c r="E24" s="53">
        <v>44896</v>
      </c>
      <c r="F24" s="54">
        <v>18105.300781000002</v>
      </c>
      <c r="G24" s="58">
        <f t="shared" si="1"/>
        <v>-3.4813767821379932E-2</v>
      </c>
      <c r="I24" s="51">
        <v>44417</v>
      </c>
      <c r="J24" s="52">
        <v>704.628784</v>
      </c>
      <c r="K24" s="58">
        <f t="shared" si="2"/>
        <v>0.17368607763086891</v>
      </c>
      <c r="M24" s="53">
        <v>44424</v>
      </c>
      <c r="N24" s="54">
        <v>16450.5</v>
      </c>
      <c r="O24" s="58">
        <f t="shared" si="3"/>
        <v>-4.7552262893499498E-3</v>
      </c>
      <c r="R24" s="79" t="s">
        <v>55</v>
      </c>
      <c r="S24" s="81">
        <f>36/S5</f>
        <v>4.7058823529411764E-2</v>
      </c>
    </row>
    <row r="25" spans="1:23" ht="18.5" x14ac:dyDescent="0.45">
      <c r="A25" s="51">
        <v>44927</v>
      </c>
      <c r="B25" s="52">
        <v>484.54089399999998</v>
      </c>
      <c r="C25" s="57">
        <f t="shared" si="0"/>
        <v>-7.3029946151009814E-2</v>
      </c>
      <c r="D25" s="28"/>
      <c r="E25" s="53">
        <v>44927</v>
      </c>
      <c r="F25" s="54">
        <v>17662.150390999999</v>
      </c>
      <c r="G25" s="58">
        <f t="shared" si="1"/>
        <v>-2.4476278818027247E-2</v>
      </c>
      <c r="I25" s="51">
        <v>44424</v>
      </c>
      <c r="J25" s="52">
        <v>685.62573199999997</v>
      </c>
      <c r="K25" s="58">
        <f t="shared" si="2"/>
        <v>-2.6968884086915224E-2</v>
      </c>
      <c r="M25" s="53">
        <v>44431</v>
      </c>
      <c r="N25" s="54">
        <v>16705.199218999998</v>
      </c>
      <c r="O25" s="58">
        <f t="shared" si="3"/>
        <v>1.548276459682066E-2</v>
      </c>
      <c r="R25" s="79" t="s">
        <v>56</v>
      </c>
      <c r="S25" s="81">
        <f>S24*(1-S8)</f>
        <v>3.2941176470588231E-2</v>
      </c>
    </row>
    <row r="26" spans="1:23" ht="18.5" x14ac:dyDescent="0.45">
      <c r="A26" s="51">
        <v>44958</v>
      </c>
      <c r="B26" s="52">
        <v>441.02667200000002</v>
      </c>
      <c r="C26" s="57">
        <f t="shared" si="0"/>
        <v>-8.9805055752425228E-2</v>
      </c>
      <c r="D26" s="28"/>
      <c r="E26" s="53">
        <v>44958</v>
      </c>
      <c r="F26" s="54">
        <v>17303.949218999998</v>
      </c>
      <c r="G26" s="58">
        <f t="shared" si="1"/>
        <v>-2.0280722566065765E-2</v>
      </c>
      <c r="I26" s="51">
        <v>44431</v>
      </c>
      <c r="J26" s="52">
        <v>700.75958300000002</v>
      </c>
      <c r="K26" s="58">
        <f t="shared" si="2"/>
        <v>2.2073049907059279E-2</v>
      </c>
      <c r="M26" s="53">
        <v>44438</v>
      </c>
      <c r="N26" s="54">
        <v>17323.599609000001</v>
      </c>
      <c r="O26" s="58">
        <f t="shared" si="3"/>
        <v>3.7018438504860945E-2</v>
      </c>
      <c r="R26" s="50"/>
      <c r="S26" s="50"/>
    </row>
    <row r="27" spans="1:23" ht="18.5" x14ac:dyDescent="0.45">
      <c r="A27" s="51">
        <v>44986</v>
      </c>
      <c r="B27" s="52">
        <v>357.87200899999999</v>
      </c>
      <c r="C27" s="57">
        <f t="shared" si="0"/>
        <v>-0.18854792301541351</v>
      </c>
      <c r="D27" s="28"/>
      <c r="E27" s="53">
        <v>44986</v>
      </c>
      <c r="F27" s="54">
        <v>17359.75</v>
      </c>
      <c r="G27" s="58">
        <f t="shared" si="1"/>
        <v>3.2247425309553978E-3</v>
      </c>
      <c r="I27" s="51">
        <v>44438</v>
      </c>
      <c r="J27" s="52">
        <v>735.63098100000002</v>
      </c>
      <c r="K27" s="58">
        <f t="shared" si="2"/>
        <v>4.9762284877665382E-2</v>
      </c>
      <c r="M27" s="53">
        <v>44445</v>
      </c>
      <c r="N27" s="54">
        <v>17369.25</v>
      </c>
      <c r="O27" s="58">
        <f t="shared" si="3"/>
        <v>2.6351562048503368E-3</v>
      </c>
      <c r="R27" s="43" t="s">
        <v>57</v>
      </c>
      <c r="S27" s="65">
        <f>(S23*S4/S7)+(S25*S5/S7)+0</f>
        <v>0.52268347921435065</v>
      </c>
    </row>
    <row r="28" spans="1:23" x14ac:dyDescent="0.35">
      <c r="A28" s="51">
        <v>45017</v>
      </c>
      <c r="B28" s="52">
        <v>419.01696800000002</v>
      </c>
      <c r="C28" s="57">
        <f t="shared" si="0"/>
        <v>0.17085705912249771</v>
      </c>
      <c r="D28" s="28"/>
      <c r="E28" s="53">
        <v>45017</v>
      </c>
      <c r="F28" s="54">
        <v>18065</v>
      </c>
      <c r="G28" s="58">
        <f t="shared" si="1"/>
        <v>4.0625585045867593E-2</v>
      </c>
      <c r="I28" s="51">
        <v>44445</v>
      </c>
      <c r="J28" s="52">
        <v>689.15203899999995</v>
      </c>
      <c r="K28" s="58">
        <f t="shared" si="2"/>
        <v>-6.3182415097332717E-2</v>
      </c>
      <c r="M28" s="53">
        <v>44452</v>
      </c>
      <c r="N28" s="54">
        <v>17585.150390999999</v>
      </c>
      <c r="O28" s="58">
        <f t="shared" si="3"/>
        <v>1.2430035321041451E-2</v>
      </c>
      <c r="U28" s="66"/>
      <c r="W28" s="66"/>
    </row>
    <row r="29" spans="1:23" x14ac:dyDescent="0.35">
      <c r="A29" s="51">
        <v>45047</v>
      </c>
      <c r="B29" s="52">
        <v>389.93585200000001</v>
      </c>
      <c r="C29" s="57">
        <f t="shared" si="0"/>
        <v>-6.9403194192365042E-2</v>
      </c>
      <c r="D29" s="28"/>
      <c r="E29" s="53">
        <v>45047</v>
      </c>
      <c r="F29" s="54">
        <v>18534.400390999999</v>
      </c>
      <c r="G29" s="58">
        <f t="shared" si="1"/>
        <v>2.5983968502629351E-2</v>
      </c>
      <c r="I29" s="51">
        <v>44452</v>
      </c>
      <c r="J29" s="52">
        <v>739.50018299999999</v>
      </c>
      <c r="K29" s="58">
        <f t="shared" si="2"/>
        <v>7.3058107864061694E-2</v>
      </c>
      <c r="M29" s="53">
        <v>44459</v>
      </c>
      <c r="N29" s="54">
        <v>17853.199218999998</v>
      </c>
      <c r="O29" s="58">
        <f t="shared" si="3"/>
        <v>1.524290791036881E-2</v>
      </c>
      <c r="U29" s="66"/>
      <c r="W29" s="66"/>
    </row>
    <row r="30" spans="1:23" x14ac:dyDescent="0.35">
      <c r="A30" s="51">
        <v>45078</v>
      </c>
      <c r="B30" s="52">
        <v>424.03781099999998</v>
      </c>
      <c r="C30" s="57">
        <f t="shared" si="0"/>
        <v>8.7455305340838382E-2</v>
      </c>
      <c r="D30" s="28"/>
      <c r="E30" s="53">
        <v>45078</v>
      </c>
      <c r="F30" s="54">
        <v>19189.050781000002</v>
      </c>
      <c r="G30" s="58">
        <f t="shared" si="1"/>
        <v>3.5320829171138983E-2</v>
      </c>
      <c r="I30" s="51">
        <v>44459</v>
      </c>
      <c r="J30" s="52">
        <v>747.38537599999995</v>
      </c>
      <c r="K30" s="58">
        <f t="shared" si="2"/>
        <v>1.0662868220006862E-2</v>
      </c>
      <c r="M30" s="53">
        <v>44466</v>
      </c>
      <c r="N30" s="54">
        <v>17532.050781000002</v>
      </c>
      <c r="O30" s="58">
        <f t="shared" si="3"/>
        <v>-1.7988285128091728E-2</v>
      </c>
      <c r="U30" s="66"/>
      <c r="W30" s="66"/>
    </row>
    <row r="31" spans="1:23" x14ac:dyDescent="0.35">
      <c r="A31" s="51">
        <v>45108</v>
      </c>
      <c r="B31" s="52">
        <v>412.35565200000002</v>
      </c>
      <c r="C31" s="57">
        <f t="shared" si="0"/>
        <v>-2.7549804986612282E-2</v>
      </c>
      <c r="D31" s="28"/>
      <c r="E31" s="53">
        <v>45108</v>
      </c>
      <c r="F31" s="54">
        <v>19753.800781000002</v>
      </c>
      <c r="G31" s="58">
        <f t="shared" si="1"/>
        <v>2.9430846082245301E-2</v>
      </c>
      <c r="I31" s="51">
        <v>44466</v>
      </c>
      <c r="J31" s="52">
        <v>732.69244400000002</v>
      </c>
      <c r="K31" s="58">
        <f t="shared" si="2"/>
        <v>-1.9659110910941784E-2</v>
      </c>
      <c r="M31" s="53">
        <v>44473</v>
      </c>
      <c r="N31" s="54">
        <v>17895.199218999998</v>
      </c>
      <c r="O31" s="58">
        <f t="shared" si="3"/>
        <v>2.071340327131331E-2</v>
      </c>
      <c r="U31" s="66"/>
      <c r="W31" s="66"/>
    </row>
    <row r="32" spans="1:23" x14ac:dyDescent="0.35">
      <c r="A32" s="51">
        <v>45139</v>
      </c>
      <c r="B32" s="52">
        <v>512.12628199999995</v>
      </c>
      <c r="C32" s="57">
        <f t="shared" si="0"/>
        <v>0.24195286160404059</v>
      </c>
      <c r="D32" s="28"/>
      <c r="E32" s="53">
        <v>45139</v>
      </c>
      <c r="F32" s="54">
        <v>19253.800781000002</v>
      </c>
      <c r="G32" s="58">
        <f t="shared" si="1"/>
        <v>-2.5311584618233067E-2</v>
      </c>
      <c r="I32" s="51">
        <v>44473</v>
      </c>
      <c r="J32" s="52">
        <v>754.53607199999999</v>
      </c>
      <c r="K32" s="58">
        <f t="shared" si="2"/>
        <v>2.9812820070517838E-2</v>
      </c>
      <c r="M32" s="53">
        <v>44480</v>
      </c>
      <c r="N32" s="54">
        <v>18338.550781000002</v>
      </c>
      <c r="O32" s="58">
        <f t="shared" si="3"/>
        <v>2.4774888313580809E-2</v>
      </c>
      <c r="U32" s="66"/>
      <c r="W32" s="66"/>
    </row>
    <row r="33" spans="1:23" x14ac:dyDescent="0.35">
      <c r="A33" s="51">
        <v>45170</v>
      </c>
      <c r="B33" s="52">
        <v>479.04998799999998</v>
      </c>
      <c r="C33" s="57">
        <f t="shared" si="0"/>
        <v>-6.4586206884027803E-2</v>
      </c>
      <c r="D33" s="28"/>
      <c r="E33" s="53">
        <v>45170</v>
      </c>
      <c r="F33" s="54">
        <v>19638.300781000002</v>
      </c>
      <c r="G33" s="58">
        <f t="shared" si="1"/>
        <v>1.9970083017553163E-2</v>
      </c>
      <c r="I33" s="51">
        <v>44480</v>
      </c>
      <c r="J33" s="52">
        <v>776.86938499999997</v>
      </c>
      <c r="K33" s="58">
        <f t="shared" si="2"/>
        <v>2.9598734677856429E-2</v>
      </c>
      <c r="M33" s="53">
        <v>44487</v>
      </c>
      <c r="N33" s="54">
        <v>18114.900390999999</v>
      </c>
      <c r="O33" s="58">
        <f t="shared" si="3"/>
        <v>-1.2195641447944713E-2</v>
      </c>
      <c r="U33" s="66"/>
      <c r="W33" s="66"/>
    </row>
    <row r="34" spans="1:23" x14ac:dyDescent="0.35">
      <c r="A34" s="51">
        <v>45200</v>
      </c>
      <c r="B34" s="52">
        <v>419.79998799999998</v>
      </c>
      <c r="C34" s="57">
        <f t="shared" si="0"/>
        <v>-0.12368229095958146</v>
      </c>
      <c r="D34" s="28"/>
      <c r="E34" s="53">
        <v>45200</v>
      </c>
      <c r="F34" s="54">
        <v>19079.599609000001</v>
      </c>
      <c r="G34" s="58">
        <f t="shared" si="1"/>
        <v>-2.8449567924967455E-2</v>
      </c>
      <c r="I34" s="51">
        <v>44487</v>
      </c>
      <c r="J34" s="52">
        <v>663.58618200000001</v>
      </c>
      <c r="K34" s="58">
        <f t="shared" si="2"/>
        <v>-0.14582014066624593</v>
      </c>
      <c r="M34" s="53">
        <v>44494</v>
      </c>
      <c r="N34" s="54">
        <v>17671.650390999999</v>
      </c>
      <c r="O34" s="58">
        <f t="shared" si="3"/>
        <v>-2.446880691765875E-2</v>
      </c>
      <c r="U34" s="66"/>
      <c r="W34" s="66"/>
    </row>
    <row r="35" spans="1:23" x14ac:dyDescent="0.35">
      <c r="A35" s="51">
        <v>45231</v>
      </c>
      <c r="B35" s="52">
        <v>430.54998799999998</v>
      </c>
      <c r="C35" s="57">
        <f t="shared" si="0"/>
        <v>2.5607432842518329E-2</v>
      </c>
      <c r="D35" s="28"/>
      <c r="E35" s="53">
        <v>45231</v>
      </c>
      <c r="F35" s="54">
        <v>20133.150390999999</v>
      </c>
      <c r="G35" s="58">
        <f t="shared" si="1"/>
        <v>5.5218704982835702E-2</v>
      </c>
      <c r="I35" s="51">
        <v>44494</v>
      </c>
      <c r="J35" s="52">
        <v>655.60296600000004</v>
      </c>
      <c r="K35" s="58">
        <f t="shared" si="2"/>
        <v>-1.2030413255350109E-2</v>
      </c>
      <c r="M35" s="53">
        <v>44501</v>
      </c>
      <c r="N35" s="54">
        <v>17916.800781000002</v>
      </c>
      <c r="O35" s="58">
        <f t="shared" si="3"/>
        <v>1.387252376409932E-2</v>
      </c>
    </row>
    <row r="36" spans="1:23" x14ac:dyDescent="0.35">
      <c r="A36" s="51">
        <v>45261</v>
      </c>
      <c r="B36" s="52">
        <v>462.35000600000001</v>
      </c>
      <c r="C36" s="57">
        <f t="shared" si="0"/>
        <v>7.3859061401251327E-2</v>
      </c>
      <c r="D36" s="28"/>
      <c r="E36" s="53">
        <v>45261</v>
      </c>
      <c r="F36" s="54">
        <v>20926.349609000001</v>
      </c>
      <c r="G36" s="58">
        <f t="shared" si="1"/>
        <v>3.9397670140813162E-2</v>
      </c>
      <c r="I36" s="51">
        <v>44501</v>
      </c>
      <c r="J36" s="52">
        <v>623.22943099999998</v>
      </c>
      <c r="K36" s="58">
        <f t="shared" si="2"/>
        <v>-4.9379787278143676E-2</v>
      </c>
      <c r="M36" s="53">
        <v>44508</v>
      </c>
      <c r="N36" s="54">
        <v>18102.75</v>
      </c>
      <c r="O36" s="58">
        <f t="shared" si="3"/>
        <v>1.0378483372834587E-2</v>
      </c>
    </row>
    <row r="37" spans="1:23" x14ac:dyDescent="0.35">
      <c r="B37" s="67"/>
      <c r="I37" s="51">
        <v>44508</v>
      </c>
      <c r="J37" s="52">
        <v>636.20819100000006</v>
      </c>
      <c r="K37" s="58">
        <f t="shared" si="2"/>
        <v>2.0825011391350803E-2</v>
      </c>
      <c r="M37" s="53">
        <v>44515</v>
      </c>
      <c r="N37" s="54">
        <v>17764.800781000002</v>
      </c>
      <c r="O37" s="58">
        <f t="shared" si="3"/>
        <v>-1.8668391211279958E-2</v>
      </c>
    </row>
    <row r="38" spans="1:23" x14ac:dyDescent="0.35">
      <c r="I38" s="51">
        <v>44515</v>
      </c>
      <c r="J38" s="52">
        <v>580.71746800000005</v>
      </c>
      <c r="K38" s="58">
        <f t="shared" si="2"/>
        <v>-8.722101316045458E-2</v>
      </c>
      <c r="M38" s="53">
        <v>44522</v>
      </c>
      <c r="N38" s="54">
        <v>17026.449218999998</v>
      </c>
      <c r="O38" s="58">
        <f t="shared" si="3"/>
        <v>-4.1562614245001447E-2</v>
      </c>
    </row>
    <row r="39" spans="1:23" x14ac:dyDescent="0.35">
      <c r="A39" s="68" t="s">
        <v>58</v>
      </c>
      <c r="B39" s="69">
        <f>AVERAGE(C5:C36)</f>
        <v>1.0753710195778697E-2</v>
      </c>
      <c r="E39" s="68" t="s">
        <v>58</v>
      </c>
      <c r="F39" s="69">
        <f>AVERAGE(G5:G36)</f>
        <v>1.1928656653651122E-2</v>
      </c>
      <c r="I39" s="51">
        <v>44522</v>
      </c>
      <c r="J39" s="52">
        <v>573.27307099999996</v>
      </c>
      <c r="K39" s="58">
        <f t="shared" si="2"/>
        <v>-1.2819309578612666E-2</v>
      </c>
      <c r="M39" s="53">
        <v>44529</v>
      </c>
      <c r="N39" s="54">
        <v>17196.699218999998</v>
      </c>
      <c r="O39" s="58">
        <f t="shared" si="3"/>
        <v>9.9991488424971305E-3</v>
      </c>
    </row>
    <row r="40" spans="1:23" x14ac:dyDescent="0.35">
      <c r="A40" s="68" t="s">
        <v>59</v>
      </c>
      <c r="B40" s="69">
        <f>B39*12</f>
        <v>0.12904452234934435</v>
      </c>
      <c r="E40" s="68" t="s">
        <v>59</v>
      </c>
      <c r="F40" s="69">
        <f>+F39*12</f>
        <v>0.14314387984381347</v>
      </c>
      <c r="I40" s="51">
        <v>44529</v>
      </c>
      <c r="J40" s="52">
        <v>574.54644800000005</v>
      </c>
      <c r="K40" s="58">
        <f t="shared" si="2"/>
        <v>2.2212398670303076E-3</v>
      </c>
      <c r="M40" s="53">
        <v>44536</v>
      </c>
      <c r="N40" s="54">
        <v>17511.300781000002</v>
      </c>
      <c r="O40" s="58">
        <f t="shared" si="3"/>
        <v>1.8294299271828386E-2</v>
      </c>
    </row>
    <row r="41" spans="1:23" x14ac:dyDescent="0.35">
      <c r="A41" s="68" t="s">
        <v>60</v>
      </c>
      <c r="B41" s="69">
        <f>((1+B39)^12)-1</f>
        <v>0.13695723646066305</v>
      </c>
      <c r="E41" s="68" t="s">
        <v>60</v>
      </c>
      <c r="F41" s="69">
        <f>((1+F39)^12)-1</f>
        <v>0.15291884404169753</v>
      </c>
      <c r="I41" s="51">
        <v>44536</v>
      </c>
      <c r="J41" s="52">
        <v>586.74169900000004</v>
      </c>
      <c r="K41" s="58">
        <f t="shared" si="2"/>
        <v>2.1225874848677131E-2</v>
      </c>
      <c r="M41" s="53">
        <v>44543</v>
      </c>
      <c r="N41" s="54">
        <v>16985.199218999998</v>
      </c>
      <c r="O41" s="58">
        <f t="shared" si="3"/>
        <v>-3.0043545512668642E-2</v>
      </c>
    </row>
    <row r="42" spans="1:23" x14ac:dyDescent="0.35">
      <c r="A42" s="68"/>
      <c r="B42" s="68"/>
      <c r="E42" s="68"/>
      <c r="F42" s="69"/>
      <c r="I42" s="51">
        <v>44543</v>
      </c>
      <c r="J42" s="52">
        <v>547.46227999999996</v>
      </c>
      <c r="K42" s="58">
        <f t="shared" si="2"/>
        <v>-6.6944993115275533E-2</v>
      </c>
      <c r="M42" s="53">
        <v>44550</v>
      </c>
      <c r="N42" s="54">
        <v>17003.75</v>
      </c>
      <c r="O42" s="58">
        <f t="shared" si="3"/>
        <v>1.0921732951622047E-3</v>
      </c>
    </row>
    <row r="43" spans="1:23" x14ac:dyDescent="0.35">
      <c r="A43" s="68" t="s">
        <v>61</v>
      </c>
      <c r="B43" s="69">
        <f>_xlfn.STDEV.P(C5:C35)</f>
        <v>0.11509571717656708</v>
      </c>
      <c r="E43" s="68" t="s">
        <v>61</v>
      </c>
      <c r="F43" s="69">
        <f>_xlfn.STDEV.P(G5:G36)</f>
        <v>3.7240532991346643E-2</v>
      </c>
      <c r="I43" s="51">
        <v>44550</v>
      </c>
      <c r="J43" s="52">
        <v>517.53747599999997</v>
      </c>
      <c r="K43" s="58">
        <f t="shared" si="2"/>
        <v>-5.4660942120067155E-2</v>
      </c>
      <c r="M43" s="53">
        <v>44557</v>
      </c>
      <c r="N43" s="54">
        <v>17354.050781000002</v>
      </c>
      <c r="O43" s="58">
        <f t="shared" si="3"/>
        <v>2.0601383871204984E-2</v>
      </c>
    </row>
    <row r="44" spans="1:23" x14ac:dyDescent="0.35">
      <c r="A44" s="68" t="s">
        <v>62</v>
      </c>
      <c r="B44" s="69">
        <f>+B43*SQRT(12)</f>
        <v>0.39870325976678422</v>
      </c>
      <c r="E44" s="68" t="s">
        <v>62</v>
      </c>
      <c r="F44" s="69">
        <f>+F43*SQRT(12)</f>
        <v>0.12900499048391473</v>
      </c>
      <c r="I44" s="51">
        <v>44557</v>
      </c>
      <c r="J44" s="52">
        <v>561.95935099999997</v>
      </c>
      <c r="K44" s="58">
        <f t="shared" si="2"/>
        <v>8.5833156167419267E-2</v>
      </c>
      <c r="M44" s="53">
        <v>44564</v>
      </c>
      <c r="N44" s="54">
        <v>17812.699218999998</v>
      </c>
      <c r="O44" s="58">
        <f t="shared" si="3"/>
        <v>2.6428898001275042E-2</v>
      </c>
    </row>
    <row r="45" spans="1:23" x14ac:dyDescent="0.35">
      <c r="A45" s="68"/>
      <c r="B45" s="68"/>
      <c r="I45" s="51">
        <v>44564</v>
      </c>
      <c r="J45" s="52">
        <v>557.60046399999999</v>
      </c>
      <c r="K45" s="58">
        <f t="shared" si="2"/>
        <v>-7.7565877180322635E-3</v>
      </c>
      <c r="M45" s="53">
        <v>44571</v>
      </c>
      <c r="N45" s="54">
        <v>18255.75</v>
      </c>
      <c r="O45" s="58">
        <f t="shared" si="3"/>
        <v>2.4872748119354058E-2</v>
      </c>
    </row>
    <row r="46" spans="1:23" x14ac:dyDescent="0.35">
      <c r="A46" s="70" t="s">
        <v>65</v>
      </c>
      <c r="B46" s="71">
        <f>SLOPE(C5:C36,G5:G36)</f>
        <v>1.1730620014859994</v>
      </c>
      <c r="I46" s="51">
        <v>44571</v>
      </c>
      <c r="J46" s="52">
        <v>622.88653599999998</v>
      </c>
      <c r="K46" s="58">
        <f t="shared" si="2"/>
        <v>0.11708396282826621</v>
      </c>
      <c r="M46" s="53">
        <v>44578</v>
      </c>
      <c r="N46" s="54">
        <v>17617.150390999999</v>
      </c>
      <c r="O46" s="58">
        <f t="shared" si="3"/>
        <v>-3.498073806882767E-2</v>
      </c>
    </row>
    <row r="47" spans="1:23" x14ac:dyDescent="0.35">
      <c r="I47" s="51">
        <v>44578</v>
      </c>
      <c r="J47" s="52">
        <v>556.27807600000006</v>
      </c>
      <c r="K47" s="58">
        <f t="shared" si="2"/>
        <v>-0.10693514171576174</v>
      </c>
      <c r="M47" s="53">
        <v>44585</v>
      </c>
      <c r="N47" s="54">
        <v>17101.949218999998</v>
      </c>
      <c r="O47" s="58">
        <f t="shared" si="3"/>
        <v>-2.9244296640800641E-2</v>
      </c>
    </row>
    <row r="48" spans="1:23" x14ac:dyDescent="0.35">
      <c r="I48" s="51">
        <v>44585</v>
      </c>
      <c r="J48" s="52">
        <v>540.80145300000004</v>
      </c>
      <c r="K48" s="58">
        <f t="shared" si="2"/>
        <v>-2.7821738205623649E-2</v>
      </c>
      <c r="M48" s="53">
        <v>44592</v>
      </c>
      <c r="N48" s="54">
        <v>17516.300781000002</v>
      </c>
      <c r="O48" s="58">
        <f t="shared" si="3"/>
        <v>2.4228323724623468E-2</v>
      </c>
    </row>
    <row r="49" spans="3:15" x14ac:dyDescent="0.35">
      <c r="I49" s="51">
        <v>44592</v>
      </c>
      <c r="J49" s="52">
        <v>583.90093999999999</v>
      </c>
      <c r="K49" s="58">
        <f t="shared" si="2"/>
        <v>7.9695582844523077E-2</v>
      </c>
      <c r="M49" s="53">
        <v>44599</v>
      </c>
      <c r="N49" s="54">
        <v>17374.75</v>
      </c>
      <c r="O49" s="58">
        <f t="shared" si="3"/>
        <v>-8.0810887395552384E-3</v>
      </c>
    </row>
    <row r="50" spans="3:15" x14ac:dyDescent="0.35">
      <c r="I50" s="51">
        <v>44599</v>
      </c>
      <c r="J50" s="52">
        <v>542.36871299999996</v>
      </c>
      <c r="K50" s="58">
        <f t="shared" si="2"/>
        <v>-7.11288921713331E-2</v>
      </c>
      <c r="M50" s="53">
        <v>44606</v>
      </c>
      <c r="N50" s="54">
        <v>17276.300781000002</v>
      </c>
      <c r="O50" s="58">
        <f t="shared" si="3"/>
        <v>-5.666223629116866E-3</v>
      </c>
    </row>
    <row r="51" spans="3:15" x14ac:dyDescent="0.35">
      <c r="I51" s="51">
        <v>44606</v>
      </c>
      <c r="J51" s="52">
        <v>511.568939</v>
      </c>
      <c r="K51" s="58">
        <f t="shared" si="2"/>
        <v>-5.6787519747659117E-2</v>
      </c>
      <c r="M51" s="53">
        <v>44613</v>
      </c>
      <c r="N51" s="54">
        <v>16658.400390999999</v>
      </c>
      <c r="O51" s="58">
        <f t="shared" si="3"/>
        <v>-3.5765780987070582E-2</v>
      </c>
    </row>
    <row r="52" spans="3:15" x14ac:dyDescent="0.35">
      <c r="I52" s="51">
        <v>44613</v>
      </c>
      <c r="J52" s="52">
        <v>500.452179</v>
      </c>
      <c r="K52" s="58">
        <f t="shared" si="2"/>
        <v>-2.1730717313937623E-2</v>
      </c>
      <c r="M52" s="53">
        <v>44620</v>
      </c>
      <c r="N52" s="54">
        <v>16245.349609000001</v>
      </c>
      <c r="O52" s="58">
        <f t="shared" si="3"/>
        <v>-2.4795344829336468E-2</v>
      </c>
    </row>
    <row r="53" spans="3:15" x14ac:dyDescent="0.35">
      <c r="I53" s="51">
        <v>44620</v>
      </c>
      <c r="J53" s="52">
        <v>459.03472900000003</v>
      </c>
      <c r="K53" s="58">
        <f t="shared" si="2"/>
        <v>-8.2760055281925302E-2</v>
      </c>
      <c r="M53" s="53">
        <v>44627</v>
      </c>
      <c r="N53" s="54">
        <v>16630.449218999998</v>
      </c>
      <c r="O53" s="58">
        <f t="shared" si="3"/>
        <v>2.370522144913708E-2</v>
      </c>
    </row>
    <row r="54" spans="3:15" x14ac:dyDescent="0.35">
      <c r="I54" s="51">
        <v>44627</v>
      </c>
      <c r="J54" s="52">
        <v>456.624481</v>
      </c>
      <c r="K54" s="58">
        <f t="shared" si="2"/>
        <v>-5.2506876881640565E-3</v>
      </c>
      <c r="M54" s="53">
        <v>44634</v>
      </c>
      <c r="N54" s="54">
        <v>17287.050781000002</v>
      </c>
      <c r="O54" s="58">
        <f t="shared" si="3"/>
        <v>3.9481889716475468E-2</v>
      </c>
    </row>
    <row r="55" spans="3:15" x14ac:dyDescent="0.35">
      <c r="I55" s="51">
        <v>44634</v>
      </c>
      <c r="J55" s="52">
        <v>511.716522</v>
      </c>
      <c r="K55" s="58">
        <f t="shared" si="2"/>
        <v>0.12065065122953843</v>
      </c>
      <c r="M55" s="53">
        <v>44641</v>
      </c>
      <c r="N55" s="54">
        <v>17153</v>
      </c>
      <c r="O55" s="58">
        <f t="shared" si="3"/>
        <v>-7.7544043051771096E-3</v>
      </c>
    </row>
    <row r="56" spans="3:15" x14ac:dyDescent="0.35">
      <c r="I56" s="51">
        <v>44641</v>
      </c>
      <c r="J56" s="52">
        <v>464.49475100000001</v>
      </c>
      <c r="K56" s="58">
        <f t="shared" si="2"/>
        <v>-9.2281114581639387E-2</v>
      </c>
      <c r="M56" s="53">
        <v>44648</v>
      </c>
      <c r="N56" s="54">
        <v>17670.449218999998</v>
      </c>
      <c r="O56" s="58">
        <f t="shared" si="3"/>
        <v>3.0166689150585801E-2</v>
      </c>
    </row>
    <row r="57" spans="3:15" x14ac:dyDescent="0.35">
      <c r="I57" s="51">
        <v>44648</v>
      </c>
      <c r="J57" s="52">
        <v>479.44830300000001</v>
      </c>
      <c r="K57" s="58">
        <f t="shared" si="2"/>
        <v>3.2193156042790251E-2</v>
      </c>
      <c r="M57" s="53">
        <v>44655</v>
      </c>
      <c r="N57" s="54">
        <v>17784.349609000001</v>
      </c>
      <c r="O57" s="58">
        <f t="shared" si="3"/>
        <v>6.4458117950692562E-3</v>
      </c>
    </row>
    <row r="58" spans="3:15" x14ac:dyDescent="0.35">
      <c r="I58" s="51">
        <v>44655</v>
      </c>
      <c r="J58" s="52">
        <v>508.86352499999998</v>
      </c>
      <c r="K58" s="58">
        <f t="shared" si="2"/>
        <v>6.1352228834565238E-2</v>
      </c>
      <c r="M58" s="53">
        <v>44662</v>
      </c>
      <c r="N58" s="54">
        <v>17475.650390999999</v>
      </c>
      <c r="O58" s="58">
        <f t="shared" si="3"/>
        <v>-1.7357914390289556E-2</v>
      </c>
    </row>
    <row r="59" spans="3:15" x14ac:dyDescent="0.35">
      <c r="I59" s="51">
        <v>44662</v>
      </c>
      <c r="J59" s="52">
        <v>485.54779100000002</v>
      </c>
      <c r="K59" s="58">
        <f t="shared" si="2"/>
        <v>-4.5819228249853364E-2</v>
      </c>
      <c r="M59" s="53">
        <v>44669</v>
      </c>
      <c r="N59" s="54">
        <v>17171.949218999998</v>
      </c>
      <c r="O59" s="58">
        <f t="shared" si="3"/>
        <v>-1.7378533285170764E-2</v>
      </c>
    </row>
    <row r="60" spans="3:15" x14ac:dyDescent="0.35">
      <c r="C60" s="72"/>
      <c r="I60" s="51">
        <v>44669</v>
      </c>
      <c r="J60" s="52">
        <v>508.02734400000003</v>
      </c>
      <c r="K60" s="58">
        <f t="shared" si="2"/>
        <v>4.6297302586224741E-2</v>
      </c>
      <c r="M60" s="53">
        <v>44676</v>
      </c>
      <c r="N60" s="54">
        <v>17102.550781000002</v>
      </c>
      <c r="O60" s="58">
        <f t="shared" si="3"/>
        <v>-4.0413838356341191E-3</v>
      </c>
    </row>
    <row r="61" spans="3:15" x14ac:dyDescent="0.35">
      <c r="I61" s="51">
        <v>44676</v>
      </c>
      <c r="J61" s="52">
        <v>494.99212599999998</v>
      </c>
      <c r="K61" s="58">
        <f t="shared" si="2"/>
        <v>-2.5658496838705677E-2</v>
      </c>
      <c r="M61" s="53">
        <v>44683</v>
      </c>
      <c r="N61" s="54">
        <v>16411.25</v>
      </c>
      <c r="O61" s="58">
        <f t="shared" si="3"/>
        <v>-4.0420916730620038E-2</v>
      </c>
    </row>
    <row r="62" spans="3:15" x14ac:dyDescent="0.35">
      <c r="I62" s="51">
        <v>44683</v>
      </c>
      <c r="J62" s="52">
        <v>463.85531600000002</v>
      </c>
      <c r="K62" s="58">
        <f t="shared" si="2"/>
        <v>-6.2903647077408198E-2</v>
      </c>
      <c r="M62" s="53">
        <v>44690</v>
      </c>
      <c r="N62" s="54">
        <v>15782.150390999999</v>
      </c>
      <c r="O62" s="58">
        <f t="shared" si="3"/>
        <v>-3.8333436453652267E-2</v>
      </c>
    </row>
    <row r="63" spans="3:15" x14ac:dyDescent="0.35">
      <c r="I63" s="51">
        <v>44690</v>
      </c>
      <c r="J63" s="52">
        <v>425.93035900000001</v>
      </c>
      <c r="K63" s="58">
        <f t="shared" si="2"/>
        <v>-8.1760315537700995E-2</v>
      </c>
      <c r="M63" s="53">
        <v>44697</v>
      </c>
      <c r="N63" s="54">
        <v>16266.150390999999</v>
      </c>
      <c r="O63" s="58">
        <f t="shared" si="3"/>
        <v>3.0667557209187922E-2</v>
      </c>
    </row>
    <row r="64" spans="3:15" x14ac:dyDescent="0.35">
      <c r="I64" s="51">
        <v>44697</v>
      </c>
      <c r="J64" s="52">
        <v>440.88388099999997</v>
      </c>
      <c r="K64" s="58">
        <f t="shared" si="2"/>
        <v>3.5107903637364254E-2</v>
      </c>
      <c r="M64" s="53">
        <v>44704</v>
      </c>
      <c r="N64" s="54">
        <v>16352.450194999999</v>
      </c>
      <c r="O64" s="58">
        <f t="shared" si="3"/>
        <v>5.3054842064997497E-3</v>
      </c>
    </row>
    <row r="65" spans="9:15" x14ac:dyDescent="0.35">
      <c r="I65" s="51">
        <v>44704</v>
      </c>
      <c r="J65" s="52">
        <v>461.24826000000002</v>
      </c>
      <c r="K65" s="58">
        <f t="shared" si="2"/>
        <v>4.6189892344918916E-2</v>
      </c>
      <c r="M65" s="53">
        <v>44711</v>
      </c>
      <c r="N65" s="54">
        <v>16584.300781000002</v>
      </c>
      <c r="O65" s="58">
        <f t="shared" si="3"/>
        <v>1.4178339223494103E-2</v>
      </c>
    </row>
    <row r="66" spans="9:15" x14ac:dyDescent="0.35">
      <c r="I66" s="51">
        <v>44711</v>
      </c>
      <c r="J66" s="52">
        <v>490.17156999999997</v>
      </c>
      <c r="K66" s="58">
        <f t="shared" si="2"/>
        <v>6.2706599695357024E-2</v>
      </c>
      <c r="M66" s="53">
        <v>44718</v>
      </c>
      <c r="N66" s="54">
        <v>16201.799805000001</v>
      </c>
      <c r="O66" s="58">
        <f t="shared" si="3"/>
        <v>-2.3064039964724826E-2</v>
      </c>
    </row>
    <row r="67" spans="9:15" x14ac:dyDescent="0.35">
      <c r="I67" s="51">
        <v>44718</v>
      </c>
      <c r="J67" s="52">
        <v>472.906158</v>
      </c>
      <c r="K67" s="58">
        <f t="shared" si="2"/>
        <v>-3.5223201541452046E-2</v>
      </c>
      <c r="M67" s="53">
        <v>44725</v>
      </c>
      <c r="N67" s="54">
        <v>15293.5</v>
      </c>
      <c r="O67" s="58">
        <f t="shared" si="3"/>
        <v>-5.6061660798925078E-2</v>
      </c>
    </row>
    <row r="68" spans="9:15" x14ac:dyDescent="0.35">
      <c r="I68" s="51">
        <v>44725</v>
      </c>
      <c r="J68" s="52">
        <v>434.78439300000002</v>
      </c>
      <c r="K68" s="58">
        <f t="shared" si="2"/>
        <v>-8.0611690829367422E-2</v>
      </c>
      <c r="M68" s="53">
        <v>44732</v>
      </c>
      <c r="N68" s="54">
        <v>15699.25</v>
      </c>
      <c r="O68" s="58">
        <f t="shared" si="3"/>
        <v>2.6530879131657241E-2</v>
      </c>
    </row>
    <row r="69" spans="9:15" x14ac:dyDescent="0.35">
      <c r="I69" s="51">
        <v>44732</v>
      </c>
      <c r="J69" s="52">
        <v>484.90832499999999</v>
      </c>
      <c r="K69" s="58">
        <f t="shared" si="2"/>
        <v>0.11528457048365111</v>
      </c>
      <c r="M69" s="53">
        <v>44739</v>
      </c>
      <c r="N69" s="54">
        <v>15752.049805000001</v>
      </c>
      <c r="O69" s="58">
        <f t="shared" si="3"/>
        <v>3.3632055671449631E-3</v>
      </c>
    </row>
    <row r="70" spans="9:15" x14ac:dyDescent="0.35">
      <c r="I70" s="51">
        <v>44739</v>
      </c>
      <c r="J70" s="52">
        <v>469.56124899999998</v>
      </c>
      <c r="K70" s="58">
        <f t="shared" si="2"/>
        <v>-3.164943806646342E-2</v>
      </c>
      <c r="M70" s="53">
        <v>44746</v>
      </c>
      <c r="N70" s="54">
        <v>16220.599609000001</v>
      </c>
      <c r="O70" s="58">
        <f t="shared" si="3"/>
        <v>2.9745322659611804E-2</v>
      </c>
    </row>
    <row r="71" spans="9:15" x14ac:dyDescent="0.35">
      <c r="I71" s="51">
        <v>44746</v>
      </c>
      <c r="J71" s="52">
        <v>485.351044</v>
      </c>
      <c r="K71" s="58">
        <f t="shared" si="2"/>
        <v>3.3626699463864887E-2</v>
      </c>
      <c r="M71" s="53">
        <v>44753</v>
      </c>
      <c r="N71" s="54">
        <v>16049.200194999999</v>
      </c>
      <c r="O71" s="58">
        <f t="shared" si="3"/>
        <v>-1.0566774233481502E-2</v>
      </c>
    </row>
    <row r="72" spans="9:15" x14ac:dyDescent="0.35">
      <c r="I72" s="51">
        <v>44753</v>
      </c>
      <c r="J72" s="52">
        <v>490.51589999999999</v>
      </c>
      <c r="K72" s="58">
        <f t="shared" si="2"/>
        <v>1.0641485299864702E-2</v>
      </c>
      <c r="M72" s="53">
        <v>44760</v>
      </c>
      <c r="N72" s="54">
        <v>16719.449218999998</v>
      </c>
      <c r="O72" s="58">
        <f t="shared" si="3"/>
        <v>4.1762144895470213E-2</v>
      </c>
    </row>
    <row r="73" spans="9:15" x14ac:dyDescent="0.35">
      <c r="I73" s="51">
        <v>44760</v>
      </c>
      <c r="J73" s="52">
        <v>532.91711399999997</v>
      </c>
      <c r="K73" s="58">
        <f t="shared" si="2"/>
        <v>8.6442078635983022E-2</v>
      </c>
      <c r="M73" s="53">
        <v>44767</v>
      </c>
      <c r="N73" s="54">
        <v>17158.25</v>
      </c>
      <c r="O73" s="58">
        <f t="shared" si="3"/>
        <v>2.6244930395275708E-2</v>
      </c>
    </row>
    <row r="74" spans="9:15" x14ac:dyDescent="0.35">
      <c r="I74" s="51">
        <v>44767</v>
      </c>
      <c r="J74" s="52">
        <v>521.25915499999996</v>
      </c>
      <c r="K74" s="58">
        <f t="shared" si="2"/>
        <v>-2.1875745202658298E-2</v>
      </c>
      <c r="M74" s="53">
        <v>44774</v>
      </c>
      <c r="N74" s="54">
        <v>17397.5</v>
      </c>
      <c r="O74" s="58">
        <f t="shared" si="3"/>
        <v>1.3943729692713418E-2</v>
      </c>
    </row>
    <row r="75" spans="9:15" x14ac:dyDescent="0.35">
      <c r="I75" s="51">
        <v>44774</v>
      </c>
      <c r="J75" s="52">
        <v>482.940765</v>
      </c>
      <c r="K75" s="58">
        <f t="shared" si="2"/>
        <v>-7.3511207683249161E-2</v>
      </c>
      <c r="M75" s="53">
        <v>44781</v>
      </c>
      <c r="N75" s="54">
        <v>17698.150390999999</v>
      </c>
      <c r="O75" s="58">
        <f t="shared" si="3"/>
        <v>1.7281241040379321E-2</v>
      </c>
    </row>
    <row r="76" spans="9:15" x14ac:dyDescent="0.35">
      <c r="I76" s="51">
        <v>44781</v>
      </c>
      <c r="J76" s="52">
        <v>469.216949</v>
      </c>
      <c r="K76" s="58">
        <f t="shared" si="2"/>
        <v>-2.8417182798805563E-2</v>
      </c>
      <c r="M76" s="53">
        <v>44788</v>
      </c>
      <c r="N76" s="54">
        <v>17758.449218999998</v>
      </c>
      <c r="O76" s="58">
        <f t="shared" si="3"/>
        <v>3.4070694771959151E-3</v>
      </c>
    </row>
    <row r="77" spans="9:15" x14ac:dyDescent="0.35">
      <c r="I77" s="51">
        <v>44788</v>
      </c>
      <c r="J77" s="52">
        <v>477.775848</v>
      </c>
      <c r="K77" s="58">
        <f t="shared" si="2"/>
        <v>1.8240813803168898E-2</v>
      </c>
      <c r="M77" s="53">
        <v>44795</v>
      </c>
      <c r="N77" s="54">
        <v>17558.900390999999</v>
      </c>
      <c r="O77" s="58">
        <f t="shared" si="3"/>
        <v>-1.1236838619134555E-2</v>
      </c>
    </row>
    <row r="78" spans="9:15" x14ac:dyDescent="0.35">
      <c r="I78" s="51">
        <v>44795</v>
      </c>
      <c r="J78" s="52">
        <v>470.10232500000001</v>
      </c>
      <c r="K78" s="58">
        <f t="shared" si="2"/>
        <v>-1.606092696422777E-2</v>
      </c>
      <c r="M78" s="53">
        <v>44802</v>
      </c>
      <c r="N78" s="54">
        <v>17539.449218999998</v>
      </c>
      <c r="O78" s="58">
        <f t="shared" si="3"/>
        <v>-1.107767090584491E-3</v>
      </c>
    </row>
    <row r="79" spans="9:15" x14ac:dyDescent="0.35">
      <c r="I79" s="51">
        <v>44802</v>
      </c>
      <c r="J79" s="52">
        <v>463.52551299999999</v>
      </c>
      <c r="K79" s="58">
        <f t="shared" si="2"/>
        <v>-1.3990171182412293E-2</v>
      </c>
      <c r="M79" s="53">
        <v>44809</v>
      </c>
      <c r="N79" s="54">
        <v>17833.349609000001</v>
      </c>
      <c r="O79" s="58">
        <f t="shared" si="3"/>
        <v>1.6756534730955428E-2</v>
      </c>
    </row>
    <row r="80" spans="9:15" x14ac:dyDescent="0.35">
      <c r="I80" s="51">
        <v>44809</v>
      </c>
      <c r="J80" s="52">
        <v>479.05215500000003</v>
      </c>
      <c r="K80" s="58">
        <f t="shared" si="2"/>
        <v>3.3496844433674219E-2</v>
      </c>
      <c r="M80" s="53">
        <v>44816</v>
      </c>
      <c r="N80" s="54">
        <v>17530.849609000001</v>
      </c>
      <c r="O80" s="58">
        <f t="shared" si="3"/>
        <v>-1.6962601341440453E-2</v>
      </c>
    </row>
    <row r="81" spans="9:15" x14ac:dyDescent="0.35">
      <c r="I81" s="51">
        <v>44816</v>
      </c>
      <c r="J81" s="52">
        <v>494.28213499999998</v>
      </c>
      <c r="K81" s="58">
        <f t="shared" si="2"/>
        <v>3.1791903743758246E-2</v>
      </c>
      <c r="M81" s="53">
        <v>44823</v>
      </c>
      <c r="N81" s="54">
        <v>17327.349609000001</v>
      </c>
      <c r="O81" s="58">
        <f t="shared" si="3"/>
        <v>-1.1608108251383722E-2</v>
      </c>
    </row>
    <row r="82" spans="9:15" x14ac:dyDescent="0.35">
      <c r="I82" s="51">
        <v>44823</v>
      </c>
      <c r="J82" s="52">
        <v>506.29803500000003</v>
      </c>
      <c r="K82" s="58">
        <f t="shared" si="2"/>
        <v>2.430980031273039E-2</v>
      </c>
      <c r="M82" s="53">
        <v>44830</v>
      </c>
      <c r="N82" s="54">
        <v>17094.349609000001</v>
      </c>
      <c r="O82" s="58">
        <f t="shared" si="3"/>
        <v>-1.3446949779265575E-2</v>
      </c>
    </row>
    <row r="83" spans="9:15" x14ac:dyDescent="0.35">
      <c r="I83" s="51">
        <v>44830</v>
      </c>
      <c r="J83" s="52">
        <v>509.80883799999998</v>
      </c>
      <c r="K83" s="58">
        <f t="shared" si="2"/>
        <v>6.9342615560416959E-3</v>
      </c>
      <c r="M83" s="53">
        <v>44837</v>
      </c>
      <c r="N83" s="54">
        <v>17314.650390999999</v>
      </c>
      <c r="O83" s="58">
        <f t="shared" si="3"/>
        <v>1.2887345060733538E-2</v>
      </c>
    </row>
    <row r="84" spans="9:15" x14ac:dyDescent="0.35">
      <c r="I84" s="51">
        <v>44837</v>
      </c>
      <c r="J84" s="52">
        <v>539.823669</v>
      </c>
      <c r="K84" s="58">
        <f t="shared" si="2"/>
        <v>5.8874677649272171E-2</v>
      </c>
      <c r="M84" s="53">
        <v>44844</v>
      </c>
      <c r="N84" s="54">
        <v>17185.699218999998</v>
      </c>
      <c r="O84" s="58">
        <f t="shared" si="3"/>
        <v>-7.4475180894803756E-3</v>
      </c>
    </row>
    <row r="85" spans="9:15" x14ac:dyDescent="0.35">
      <c r="I85" s="51">
        <v>44844</v>
      </c>
      <c r="J85" s="52">
        <v>523.60479699999996</v>
      </c>
      <c r="K85" s="58">
        <f t="shared" si="2"/>
        <v>-3.004475893034626E-2</v>
      </c>
      <c r="M85" s="53">
        <v>44851</v>
      </c>
      <c r="N85" s="54">
        <v>17576.300781000002</v>
      </c>
      <c r="O85" s="58">
        <f t="shared" si="3"/>
        <v>2.2728290366455732E-2</v>
      </c>
    </row>
    <row r="86" spans="9:15" x14ac:dyDescent="0.35">
      <c r="I86" s="51">
        <v>44851</v>
      </c>
      <c r="J86" s="52">
        <v>513.61633300000005</v>
      </c>
      <c r="K86" s="58">
        <f t="shared" si="2"/>
        <v>-1.9076341655441153E-2</v>
      </c>
      <c r="M86" s="53">
        <v>44858</v>
      </c>
      <c r="N86" s="54">
        <v>17786.800781000002</v>
      </c>
      <c r="O86" s="58">
        <f t="shared" si="3"/>
        <v>1.1976353990684474E-2</v>
      </c>
    </row>
    <row r="87" spans="9:15" x14ac:dyDescent="0.35">
      <c r="I87" s="51">
        <v>44858</v>
      </c>
      <c r="J87" s="52">
        <v>508.96820100000002</v>
      </c>
      <c r="K87" s="58">
        <f t="shared" si="2"/>
        <v>-9.0498134528755967E-3</v>
      </c>
      <c r="M87" s="53">
        <v>44865</v>
      </c>
      <c r="N87" s="54">
        <v>18117.150390999999</v>
      </c>
      <c r="O87" s="58">
        <f t="shared" si="3"/>
        <v>1.8572739081492356E-2</v>
      </c>
    </row>
    <row r="88" spans="9:15" x14ac:dyDescent="0.35">
      <c r="I88" s="51">
        <v>44865</v>
      </c>
      <c r="J88" s="52">
        <v>524.64324999999997</v>
      </c>
      <c r="K88" s="58">
        <f t="shared" si="2"/>
        <v>3.079769810609434E-2</v>
      </c>
      <c r="M88" s="53">
        <v>44872</v>
      </c>
      <c r="N88" s="54">
        <v>18349.699218999998</v>
      </c>
      <c r="O88" s="58">
        <f t="shared" si="3"/>
        <v>1.2835839134807956E-2</v>
      </c>
    </row>
    <row r="89" spans="9:15" x14ac:dyDescent="0.35">
      <c r="I89" s="51">
        <v>44872</v>
      </c>
      <c r="J89" s="52">
        <v>569.44311500000003</v>
      </c>
      <c r="K89" s="58">
        <f t="shared" si="2"/>
        <v>8.5391101477051451E-2</v>
      </c>
      <c r="M89" s="53">
        <v>44879</v>
      </c>
      <c r="N89" s="54">
        <v>18307.650390999999</v>
      </c>
      <c r="O89" s="58">
        <f t="shared" si="3"/>
        <v>-2.291526825489327E-3</v>
      </c>
    </row>
    <row r="90" spans="9:15" x14ac:dyDescent="0.35">
      <c r="I90" s="51">
        <v>44879</v>
      </c>
      <c r="J90" s="52">
        <v>561.92700200000002</v>
      </c>
      <c r="K90" s="58">
        <f t="shared" si="2"/>
        <v>-1.3199058522289831E-2</v>
      </c>
      <c r="M90" s="53">
        <v>44886</v>
      </c>
      <c r="N90" s="54">
        <v>18512.75</v>
      </c>
      <c r="O90" s="58">
        <f t="shared" si="3"/>
        <v>1.1202945469224566E-2</v>
      </c>
    </row>
    <row r="91" spans="9:15" x14ac:dyDescent="0.35">
      <c r="I91" s="51">
        <v>44886</v>
      </c>
      <c r="J91" s="52">
        <v>533.64269999999999</v>
      </c>
      <c r="K91" s="58">
        <f t="shared" si="2"/>
        <v>-5.0334477430931543E-2</v>
      </c>
      <c r="M91" s="53">
        <v>44893</v>
      </c>
      <c r="N91" s="54">
        <v>18696.099609000001</v>
      </c>
      <c r="O91" s="58">
        <f t="shared" si="3"/>
        <v>9.9039639707769397E-3</v>
      </c>
    </row>
    <row r="92" spans="9:15" x14ac:dyDescent="0.35">
      <c r="I92" s="51">
        <v>44893</v>
      </c>
      <c r="J92" s="52">
        <v>523.50591999999995</v>
      </c>
      <c r="K92" s="58">
        <f t="shared" si="2"/>
        <v>-1.8995443955290767E-2</v>
      </c>
      <c r="M92" s="53">
        <v>44900</v>
      </c>
      <c r="N92" s="54">
        <v>18496.599609000001</v>
      </c>
      <c r="O92" s="58">
        <f t="shared" si="3"/>
        <v>-1.0670674855838055E-2</v>
      </c>
    </row>
    <row r="93" spans="9:15" x14ac:dyDescent="0.35">
      <c r="I93" s="51">
        <v>44900</v>
      </c>
      <c r="J93" s="52">
        <v>525.088257</v>
      </c>
      <c r="K93" s="58">
        <f t="shared" si="2"/>
        <v>3.0225770894817244E-3</v>
      </c>
      <c r="M93" s="53">
        <v>44907</v>
      </c>
      <c r="N93" s="54">
        <v>18269</v>
      </c>
      <c r="O93" s="58">
        <f t="shared" si="3"/>
        <v>-1.2304943276668879E-2</v>
      </c>
    </row>
    <row r="94" spans="9:15" x14ac:dyDescent="0.35">
      <c r="I94" s="51">
        <v>44907</v>
      </c>
      <c r="J94" s="52">
        <v>543.18615699999998</v>
      </c>
      <c r="K94" s="58">
        <f t="shared" si="2"/>
        <v>3.4466396379532784E-2</v>
      </c>
      <c r="M94" s="53">
        <v>44914</v>
      </c>
      <c r="N94" s="54">
        <v>17806.800781000002</v>
      </c>
      <c r="O94" s="58">
        <f t="shared" si="3"/>
        <v>-2.5299645246045117E-2</v>
      </c>
    </row>
    <row r="95" spans="9:15" x14ac:dyDescent="0.35">
      <c r="I95" s="51">
        <v>44914</v>
      </c>
      <c r="J95" s="52">
        <v>519.05554199999995</v>
      </c>
      <c r="K95" s="58">
        <f t="shared" si="2"/>
        <v>-4.4424208329005767E-2</v>
      </c>
      <c r="M95" s="53">
        <v>44921</v>
      </c>
      <c r="N95" s="54">
        <v>18105.300781000002</v>
      </c>
      <c r="O95" s="58">
        <f t="shared" si="3"/>
        <v>1.6763258244484987E-2</v>
      </c>
    </row>
    <row r="96" spans="9:15" x14ac:dyDescent="0.35">
      <c r="I96" s="51">
        <v>44921</v>
      </c>
      <c r="J96" s="52">
        <v>522.71472200000005</v>
      </c>
      <c r="K96" s="58">
        <f t="shared" si="2"/>
        <v>7.049688720981051E-3</v>
      </c>
      <c r="M96" s="53">
        <v>44928</v>
      </c>
      <c r="N96" s="54">
        <v>17859.449218999998</v>
      </c>
      <c r="O96" s="58">
        <f t="shared" si="3"/>
        <v>-1.3578982474458757E-2</v>
      </c>
    </row>
    <row r="97" spans="9:15" x14ac:dyDescent="0.35">
      <c r="I97" s="51">
        <v>44928</v>
      </c>
      <c r="J97" s="52">
        <v>525.28601100000003</v>
      </c>
      <c r="K97" s="58">
        <f t="shared" si="2"/>
        <v>4.9191057603309258E-3</v>
      </c>
      <c r="M97" s="53">
        <v>44935</v>
      </c>
      <c r="N97" s="54">
        <v>17956.599609000001</v>
      </c>
      <c r="O97" s="58">
        <f t="shared" si="3"/>
        <v>5.4397192661825126E-3</v>
      </c>
    </row>
    <row r="98" spans="9:15" x14ac:dyDescent="0.35">
      <c r="I98" s="51">
        <v>44935</v>
      </c>
      <c r="J98" s="52">
        <v>512.72625700000003</v>
      </c>
      <c r="K98" s="58">
        <f t="shared" si="2"/>
        <v>-2.3910315022647722E-2</v>
      </c>
      <c r="M98" s="53">
        <v>44942</v>
      </c>
      <c r="N98" s="54">
        <v>18027.650390999999</v>
      </c>
      <c r="O98" s="58">
        <f t="shared" si="3"/>
        <v>3.9568060516528515E-3</v>
      </c>
    </row>
    <row r="99" spans="9:15" x14ac:dyDescent="0.35">
      <c r="I99" s="51">
        <v>44942</v>
      </c>
      <c r="J99" s="52">
        <v>483.94751000000002</v>
      </c>
      <c r="K99" s="58">
        <f t="shared" si="2"/>
        <v>-5.6128873072322505E-2</v>
      </c>
      <c r="M99" s="53">
        <v>44949</v>
      </c>
      <c r="N99" s="54">
        <v>17604.349609000001</v>
      </c>
      <c r="O99" s="58">
        <f t="shared" si="3"/>
        <v>-2.3480640727941132E-2</v>
      </c>
    </row>
    <row r="100" spans="9:15" x14ac:dyDescent="0.35">
      <c r="I100" s="51">
        <v>44949</v>
      </c>
      <c r="J100" s="52">
        <v>475.19519000000003</v>
      </c>
      <c r="K100" s="58">
        <f t="shared" si="2"/>
        <v>-1.8085267139818523E-2</v>
      </c>
      <c r="M100" s="53">
        <v>44956</v>
      </c>
      <c r="N100" s="54">
        <v>17854.050781000002</v>
      </c>
      <c r="O100" s="58">
        <f t="shared" si="3"/>
        <v>1.418406118635274E-2</v>
      </c>
    </row>
    <row r="101" spans="9:15" x14ac:dyDescent="0.35">
      <c r="I101" s="51">
        <v>44956</v>
      </c>
      <c r="J101" s="52">
        <v>472.52499399999999</v>
      </c>
      <c r="K101" s="58">
        <f t="shared" si="2"/>
        <v>-5.6191562040012076E-3</v>
      </c>
      <c r="M101" s="53">
        <v>44963</v>
      </c>
      <c r="N101" s="54">
        <v>17856.5</v>
      </c>
      <c r="O101" s="58">
        <f t="shared" si="3"/>
        <v>1.3718001757924233E-4</v>
      </c>
    </row>
    <row r="102" spans="9:15" x14ac:dyDescent="0.35">
      <c r="I102" s="51">
        <v>44963</v>
      </c>
      <c r="J102" s="52">
        <v>463.77273600000001</v>
      </c>
      <c r="K102" s="58">
        <f t="shared" si="2"/>
        <v>-1.8522317572898555E-2</v>
      </c>
      <c r="M102" s="53">
        <v>44970</v>
      </c>
      <c r="N102" s="54">
        <v>17944.199218999998</v>
      </c>
      <c r="O102" s="58">
        <f t="shared" si="3"/>
        <v>4.9113330719904947E-3</v>
      </c>
    </row>
    <row r="103" spans="9:15" x14ac:dyDescent="0.35">
      <c r="I103" s="51">
        <v>44970</v>
      </c>
      <c r="J103" s="52">
        <v>455.75366200000002</v>
      </c>
      <c r="K103" s="58">
        <f t="shared" si="2"/>
        <v>-1.7290956059995706E-2</v>
      </c>
      <c r="M103" s="53">
        <v>44977</v>
      </c>
      <c r="N103" s="54">
        <v>17465.800781000002</v>
      </c>
      <c r="O103" s="58">
        <f t="shared" si="3"/>
        <v>-2.666033920830806E-2</v>
      </c>
    </row>
    <row r="104" spans="9:15" x14ac:dyDescent="0.35">
      <c r="I104" s="51">
        <v>44977</v>
      </c>
      <c r="J104" s="52">
        <v>448.74435399999999</v>
      </c>
      <c r="K104" s="58">
        <f t="shared" si="2"/>
        <v>-1.5379597761740053E-2</v>
      </c>
      <c r="M104" s="53">
        <v>44984</v>
      </c>
      <c r="N104" s="54">
        <v>17594.349609000001</v>
      </c>
      <c r="O104" s="58">
        <f t="shared" si="3"/>
        <v>7.3600305884537294E-3</v>
      </c>
    </row>
    <row r="105" spans="9:15" x14ac:dyDescent="0.35">
      <c r="I105" s="51">
        <v>44984</v>
      </c>
      <c r="J105" s="52">
        <v>434.87487800000002</v>
      </c>
      <c r="K105" s="58">
        <f t="shared" si="2"/>
        <v>-3.0907299170163962E-2</v>
      </c>
      <c r="M105" s="53">
        <v>44991</v>
      </c>
      <c r="N105" s="54">
        <v>17412.900390999999</v>
      </c>
      <c r="O105" s="58">
        <f t="shared" si="3"/>
        <v>-1.03129255716952E-2</v>
      </c>
    </row>
    <row r="106" spans="9:15" x14ac:dyDescent="0.35">
      <c r="I106" s="51">
        <v>44991</v>
      </c>
      <c r="J106" s="52">
        <v>438.30496199999999</v>
      </c>
      <c r="K106" s="58">
        <f t="shared" si="2"/>
        <v>7.887519315383321E-3</v>
      </c>
      <c r="M106" s="53">
        <v>44998</v>
      </c>
      <c r="N106" s="54">
        <v>17100.050781000002</v>
      </c>
      <c r="O106" s="58">
        <f t="shared" si="3"/>
        <v>-1.7966542217268778E-2</v>
      </c>
    </row>
    <row r="107" spans="9:15" x14ac:dyDescent="0.35">
      <c r="I107" s="51">
        <v>44998</v>
      </c>
      <c r="J107" s="52">
        <v>408.27929699999999</v>
      </c>
      <c r="K107" s="58">
        <f t="shared" si="2"/>
        <v>-6.8504049926772226E-2</v>
      </c>
      <c r="M107" s="53">
        <v>45005</v>
      </c>
      <c r="N107" s="54">
        <v>16945.050781000002</v>
      </c>
      <c r="O107" s="58">
        <f t="shared" si="3"/>
        <v>-9.0643005675878872E-3</v>
      </c>
    </row>
    <row r="108" spans="9:15" x14ac:dyDescent="0.35">
      <c r="I108" s="51">
        <v>45005</v>
      </c>
      <c r="J108" s="52">
        <v>379.29760700000003</v>
      </c>
      <c r="K108" s="58">
        <f t="shared" si="2"/>
        <v>-7.0984961062083823E-2</v>
      </c>
      <c r="M108" s="53">
        <v>45012</v>
      </c>
      <c r="N108" s="54">
        <v>17359.75</v>
      </c>
      <c r="O108" s="58">
        <f t="shared" si="3"/>
        <v>2.4473176525678434E-2</v>
      </c>
    </row>
    <row r="109" spans="9:15" x14ac:dyDescent="0.35">
      <c r="I109" s="51">
        <v>45012</v>
      </c>
      <c r="J109" s="52">
        <v>357.87200899999999</v>
      </c>
      <c r="K109" s="58">
        <f t="shared" si="2"/>
        <v>-5.6487564394256867E-2</v>
      </c>
      <c r="M109" s="53">
        <v>45019</v>
      </c>
      <c r="N109" s="54">
        <v>17599.150390999999</v>
      </c>
      <c r="O109" s="58">
        <f t="shared" si="3"/>
        <v>1.3790543700226053E-2</v>
      </c>
    </row>
    <row r="110" spans="9:15" x14ac:dyDescent="0.35">
      <c r="I110" s="51">
        <v>45019</v>
      </c>
      <c r="J110" s="52">
        <v>375.27099600000003</v>
      </c>
      <c r="K110" s="58">
        <f t="shared" si="2"/>
        <v>4.8617904061896144E-2</v>
      </c>
      <c r="M110" s="53">
        <v>45026</v>
      </c>
      <c r="N110" s="54">
        <v>17828</v>
      </c>
      <c r="O110" s="58">
        <f t="shared" si="3"/>
        <v>1.3003446411653588E-2</v>
      </c>
    </row>
    <row r="111" spans="9:15" x14ac:dyDescent="0.35">
      <c r="I111" s="51">
        <v>45026</v>
      </c>
      <c r="J111" s="52">
        <v>396.249146</v>
      </c>
      <c r="K111" s="58">
        <f t="shared" si="2"/>
        <v>5.590133589753888E-2</v>
      </c>
      <c r="M111" s="53">
        <v>45033</v>
      </c>
      <c r="N111" s="54">
        <v>17624.050781000002</v>
      </c>
      <c r="O111" s="58">
        <f t="shared" si="3"/>
        <v>-1.1439826060130035E-2</v>
      </c>
    </row>
    <row r="112" spans="9:15" x14ac:dyDescent="0.35">
      <c r="I112" s="51">
        <v>45033</v>
      </c>
      <c r="J112" s="52">
        <v>404.79950000000002</v>
      </c>
      <c r="K112" s="58">
        <f t="shared" si="2"/>
        <v>2.1578226947144077E-2</v>
      </c>
      <c r="M112" s="53">
        <v>45040</v>
      </c>
      <c r="N112" s="54">
        <v>18065</v>
      </c>
      <c r="O112" s="58">
        <f t="shared" si="3"/>
        <v>2.5019742877464547E-2</v>
      </c>
    </row>
    <row r="113" spans="9:15" x14ac:dyDescent="0.35">
      <c r="I113" s="51">
        <v>45040</v>
      </c>
      <c r="J113" s="52">
        <v>419.01696800000002</v>
      </c>
      <c r="K113" s="58">
        <f t="shared" si="2"/>
        <v>3.5122246939534252E-2</v>
      </c>
      <c r="M113" s="53">
        <v>45047</v>
      </c>
      <c r="N113" s="54">
        <v>18069</v>
      </c>
      <c r="O113" s="58">
        <f t="shared" si="3"/>
        <v>2.2142264046498756E-4</v>
      </c>
    </row>
    <row r="114" spans="9:15" x14ac:dyDescent="0.35">
      <c r="I114" s="51">
        <v>45047</v>
      </c>
      <c r="J114" s="52">
        <v>425.72799700000002</v>
      </c>
      <c r="K114" s="58">
        <f t="shared" si="2"/>
        <v>1.6016127060515594E-2</v>
      </c>
      <c r="M114" s="53">
        <v>45054</v>
      </c>
      <c r="N114" s="54">
        <v>18314.800781000002</v>
      </c>
      <c r="O114" s="58">
        <f t="shared" si="3"/>
        <v>1.3603452376999376E-2</v>
      </c>
    </row>
    <row r="115" spans="9:15" x14ac:dyDescent="0.35">
      <c r="I115" s="51">
        <v>45054</v>
      </c>
      <c r="J115" s="52">
        <v>420.35916099999997</v>
      </c>
      <c r="K115" s="58">
        <f t="shared" si="2"/>
        <v>-1.2610953561506185E-2</v>
      </c>
      <c r="M115" s="53">
        <v>45061</v>
      </c>
      <c r="N115" s="54">
        <v>18203.400390999999</v>
      </c>
      <c r="O115" s="58">
        <f t="shared" si="3"/>
        <v>-6.08253353842487E-3</v>
      </c>
    </row>
    <row r="116" spans="9:15" x14ac:dyDescent="0.35">
      <c r="I116" s="51">
        <v>45061</v>
      </c>
      <c r="J116" s="52">
        <v>386.25717200000003</v>
      </c>
      <c r="K116" s="58">
        <f t="shared" si="2"/>
        <v>-8.1125837531110565E-2</v>
      </c>
      <c r="M116" s="53">
        <v>45068</v>
      </c>
      <c r="N116" s="54">
        <v>18499.349609000001</v>
      </c>
      <c r="O116" s="58">
        <f t="shared" si="3"/>
        <v>1.6257908502980728E-2</v>
      </c>
    </row>
    <row r="117" spans="9:15" x14ac:dyDescent="0.35">
      <c r="I117" s="51">
        <v>45068</v>
      </c>
      <c r="J117" s="52">
        <v>396.10003699999999</v>
      </c>
      <c r="K117" s="58">
        <f t="shared" si="2"/>
        <v>2.5482672461548391E-2</v>
      </c>
      <c r="M117" s="53">
        <v>45075</v>
      </c>
      <c r="N117" s="54">
        <v>18534.099609000001</v>
      </c>
      <c r="O117" s="58">
        <f t="shared" si="3"/>
        <v>1.8784444174780068E-3</v>
      </c>
    </row>
    <row r="118" spans="9:15" x14ac:dyDescent="0.35">
      <c r="I118" s="51">
        <v>45075</v>
      </c>
      <c r="J118" s="52">
        <v>400.27578699999998</v>
      </c>
      <c r="K118" s="58">
        <f t="shared" si="2"/>
        <v>1.0542160085685611E-2</v>
      </c>
      <c r="M118" s="53">
        <v>45082</v>
      </c>
      <c r="N118" s="54">
        <v>18563.400390999999</v>
      </c>
      <c r="O118" s="58">
        <f t="shared" si="3"/>
        <v>1.5809120819535373E-3</v>
      </c>
    </row>
    <row r="119" spans="9:15" x14ac:dyDescent="0.35">
      <c r="I119" s="51">
        <v>45082</v>
      </c>
      <c r="J119" s="52">
        <v>427.76617399999998</v>
      </c>
      <c r="K119" s="58">
        <f t="shared" si="2"/>
        <v>6.8678615826442677E-2</v>
      </c>
      <c r="M119" s="53">
        <v>45089</v>
      </c>
      <c r="N119" s="54">
        <v>18826</v>
      </c>
      <c r="O119" s="58">
        <f t="shared" si="3"/>
        <v>1.4146094113625629E-2</v>
      </c>
    </row>
    <row r="120" spans="9:15" x14ac:dyDescent="0.35">
      <c r="I120" s="51">
        <v>45089</v>
      </c>
      <c r="J120" s="52">
        <v>453.36752300000001</v>
      </c>
      <c r="K120" s="58">
        <f t="shared" si="2"/>
        <v>5.9848932795700742E-2</v>
      </c>
      <c r="M120" s="53">
        <v>45096</v>
      </c>
      <c r="N120" s="54">
        <v>18665.5</v>
      </c>
      <c r="O120" s="58">
        <f t="shared" si="3"/>
        <v>-8.5254435355359617E-3</v>
      </c>
    </row>
    <row r="121" spans="9:15" x14ac:dyDescent="0.35">
      <c r="I121" s="51">
        <v>45096</v>
      </c>
      <c r="J121" s="52">
        <v>427.56729100000001</v>
      </c>
      <c r="K121" s="58">
        <f t="shared" si="2"/>
        <v>-5.6907984562449554E-2</v>
      </c>
      <c r="M121" s="53">
        <v>45103</v>
      </c>
      <c r="N121" s="54">
        <v>19189.050781000002</v>
      </c>
      <c r="O121" s="58">
        <f t="shared" si="3"/>
        <v>2.8049116337628337E-2</v>
      </c>
    </row>
    <row r="122" spans="9:15" x14ac:dyDescent="0.35">
      <c r="I122" s="51">
        <v>45103</v>
      </c>
      <c r="J122" s="52">
        <v>424.03781099999998</v>
      </c>
      <c r="K122" s="58">
        <f t="shared" si="2"/>
        <v>-8.2547942143685517E-3</v>
      </c>
      <c r="M122" s="53">
        <v>45110</v>
      </c>
      <c r="N122" s="54">
        <v>19331.800781000002</v>
      </c>
      <c r="O122" s="58">
        <f t="shared" si="3"/>
        <v>7.4391381642151689E-3</v>
      </c>
    </row>
    <row r="123" spans="9:15" x14ac:dyDescent="0.35">
      <c r="I123" s="51">
        <v>45110</v>
      </c>
      <c r="J123" s="52">
        <v>406.63885499999998</v>
      </c>
      <c r="K123" s="58">
        <f t="shared" si="2"/>
        <v>-4.1031614513263301E-2</v>
      </c>
      <c r="M123" s="53">
        <v>45117</v>
      </c>
      <c r="N123" s="54">
        <v>19564.5</v>
      </c>
      <c r="O123" s="58">
        <f t="shared" si="3"/>
        <v>1.2037120681933756E-2</v>
      </c>
    </row>
    <row r="124" spans="9:15" x14ac:dyDescent="0.35">
      <c r="I124" s="51">
        <v>45117</v>
      </c>
      <c r="J124" s="52">
        <v>406.68853799999999</v>
      </c>
      <c r="K124" s="58">
        <f t="shared" si="2"/>
        <v>1.2217966726277524E-4</v>
      </c>
      <c r="M124" s="53">
        <v>45124</v>
      </c>
      <c r="N124" s="54">
        <v>19745</v>
      </c>
      <c r="O124" s="58">
        <f t="shared" si="3"/>
        <v>9.2258938383296268E-3</v>
      </c>
    </row>
    <row r="125" spans="9:15" x14ac:dyDescent="0.35">
      <c r="I125" s="51">
        <v>45124</v>
      </c>
      <c r="J125" s="52">
        <v>404.849243</v>
      </c>
      <c r="K125" s="58">
        <f t="shared" si="2"/>
        <v>-4.5226133223356122E-3</v>
      </c>
      <c r="M125" s="53">
        <v>45131</v>
      </c>
      <c r="N125" s="54">
        <v>19646.050781000002</v>
      </c>
      <c r="O125" s="58">
        <f t="shared" si="3"/>
        <v>-5.0113557356291855E-3</v>
      </c>
    </row>
    <row r="126" spans="9:15" x14ac:dyDescent="0.35">
      <c r="I126" s="51">
        <v>45131</v>
      </c>
      <c r="J126" s="52">
        <v>422.596161</v>
      </c>
      <c r="K126" s="58">
        <f t="shared" si="2"/>
        <v>4.3835868059162938E-2</v>
      </c>
      <c r="M126" s="53">
        <v>45138</v>
      </c>
      <c r="N126" s="54">
        <v>19517</v>
      </c>
      <c r="O126" s="58">
        <f t="shared" si="3"/>
        <v>-6.5687899536943442E-3</v>
      </c>
    </row>
    <row r="127" spans="9:15" x14ac:dyDescent="0.35">
      <c r="I127" s="51">
        <v>45138</v>
      </c>
      <c r="J127" s="52">
        <v>424.23666400000002</v>
      </c>
      <c r="K127" s="58">
        <f t="shared" si="2"/>
        <v>3.8819638023167556E-3</v>
      </c>
      <c r="M127" s="53">
        <v>45145</v>
      </c>
      <c r="N127" s="54">
        <v>19428.300781000002</v>
      </c>
      <c r="O127" s="58">
        <f t="shared" si="3"/>
        <v>-4.5447158374749327E-3</v>
      </c>
    </row>
    <row r="128" spans="9:15" x14ac:dyDescent="0.35">
      <c r="I128" s="51">
        <v>45145</v>
      </c>
      <c r="J128" s="52">
        <v>429.05865499999999</v>
      </c>
      <c r="K128" s="58">
        <f t="shared" si="2"/>
        <v>1.1366275970904694E-2</v>
      </c>
      <c r="M128" s="53">
        <v>45152</v>
      </c>
      <c r="N128" s="54">
        <v>19310.150390999999</v>
      </c>
      <c r="O128" s="58">
        <f t="shared" si="3"/>
        <v>-6.0813547891716939E-3</v>
      </c>
    </row>
    <row r="129" spans="9:15" x14ac:dyDescent="0.35">
      <c r="I129" s="51">
        <v>45152</v>
      </c>
      <c r="J129" s="52">
        <v>443.45001200000002</v>
      </c>
      <c r="K129" s="58">
        <f t="shared" si="2"/>
        <v>3.3541700726209635E-2</v>
      </c>
      <c r="M129" s="53">
        <v>45159</v>
      </c>
      <c r="N129" s="54">
        <v>19265.800781000002</v>
      </c>
      <c r="O129" s="58">
        <f t="shared" si="3"/>
        <v>-2.2966993576946856E-3</v>
      </c>
    </row>
    <row r="130" spans="9:15" x14ac:dyDescent="0.35">
      <c r="I130" s="51">
        <v>45159</v>
      </c>
      <c r="J130" s="52">
        <v>484.79998799999998</v>
      </c>
      <c r="K130" s="58">
        <f t="shared" si="2"/>
        <v>9.3246081589913155E-2</v>
      </c>
      <c r="M130" s="53">
        <v>45166</v>
      </c>
      <c r="N130" s="54">
        <v>19435.300781000002</v>
      </c>
      <c r="O130" s="58">
        <f t="shared" si="3"/>
        <v>8.7979732546161014E-3</v>
      </c>
    </row>
    <row r="131" spans="9:15" x14ac:dyDescent="0.35">
      <c r="I131" s="51">
        <v>45166</v>
      </c>
      <c r="J131" s="52">
        <v>518.04998799999998</v>
      </c>
      <c r="K131" s="58">
        <f t="shared" si="2"/>
        <v>6.8584985195997983E-2</v>
      </c>
      <c r="M131" s="53">
        <v>45173</v>
      </c>
      <c r="N131" s="54">
        <v>19819.949218999998</v>
      </c>
      <c r="O131" s="58">
        <f t="shared" si="3"/>
        <v>1.9791226404688823E-2</v>
      </c>
    </row>
    <row r="132" spans="9:15" x14ac:dyDescent="0.35">
      <c r="I132" s="51">
        <v>45173</v>
      </c>
      <c r="J132" s="52">
        <v>514.90002400000003</v>
      </c>
      <c r="K132" s="58">
        <f t="shared" si="2"/>
        <v>-6.0804248102790314E-3</v>
      </c>
      <c r="M132" s="53">
        <v>45180</v>
      </c>
      <c r="N132" s="54">
        <v>20192.349609000001</v>
      </c>
      <c r="O132" s="58">
        <f t="shared" si="3"/>
        <v>1.8789169734249791E-2</v>
      </c>
    </row>
    <row r="133" spans="9:15" x14ac:dyDescent="0.35">
      <c r="I133" s="51">
        <v>45180</v>
      </c>
      <c r="J133" s="52">
        <v>495.54998799999998</v>
      </c>
      <c r="K133" s="58">
        <f t="shared" si="2"/>
        <v>-3.75801808080709E-2</v>
      </c>
      <c r="M133" s="53">
        <v>45187</v>
      </c>
      <c r="N133" s="54">
        <v>19674.25</v>
      </c>
      <c r="O133" s="58">
        <f t="shared" si="3"/>
        <v>-2.5658213087251462E-2</v>
      </c>
    </row>
    <row r="134" spans="9:15" x14ac:dyDescent="0.35">
      <c r="I134" s="51">
        <v>45187</v>
      </c>
      <c r="J134" s="52">
        <v>471.25</v>
      </c>
      <c r="K134" s="58">
        <f t="shared" si="2"/>
        <v>-4.9036401147082631E-2</v>
      </c>
      <c r="M134" s="53">
        <v>45194</v>
      </c>
      <c r="N134" s="54">
        <v>19638.300781000002</v>
      </c>
      <c r="O134" s="58">
        <f t="shared" si="3"/>
        <v>-1.8272218254824588E-3</v>
      </c>
    </row>
    <row r="135" spans="9:15" x14ac:dyDescent="0.35">
      <c r="I135" s="51">
        <v>45194</v>
      </c>
      <c r="J135" s="52">
        <v>479.04998799999998</v>
      </c>
      <c r="K135" s="58">
        <f t="shared" si="2"/>
        <v>1.6551698673740022E-2</v>
      </c>
      <c r="M135" s="53">
        <v>45201</v>
      </c>
      <c r="N135" s="54">
        <v>19653.5</v>
      </c>
      <c r="O135" s="58">
        <f t="shared" si="3"/>
        <v>7.7395794928976065E-4</v>
      </c>
    </row>
    <row r="136" spans="9:15" x14ac:dyDescent="0.35">
      <c r="I136" s="51">
        <v>45201</v>
      </c>
      <c r="J136" s="52">
        <v>484.04998799999998</v>
      </c>
      <c r="K136" s="58">
        <f t="shared" si="2"/>
        <v>1.0437324131610248E-2</v>
      </c>
      <c r="M136" s="53">
        <v>45208</v>
      </c>
      <c r="N136" s="54">
        <v>19751.050781000002</v>
      </c>
      <c r="O136" s="58">
        <f t="shared" si="3"/>
        <v>4.9635322461648937E-3</v>
      </c>
    </row>
    <row r="137" spans="9:15" x14ac:dyDescent="0.35">
      <c r="I137" s="51">
        <v>45208</v>
      </c>
      <c r="J137" s="52">
        <v>479.70001200000002</v>
      </c>
      <c r="K137" s="58">
        <f t="shared" si="2"/>
        <v>-8.9866255714068314E-3</v>
      </c>
      <c r="M137" s="53">
        <v>45215</v>
      </c>
      <c r="N137" s="54">
        <v>19542.650390999999</v>
      </c>
      <c r="O137" s="58">
        <f t="shared" si="3"/>
        <v>-1.0551357105540849E-2</v>
      </c>
    </row>
    <row r="138" spans="9:15" x14ac:dyDescent="0.35">
      <c r="I138" s="51">
        <v>45215</v>
      </c>
      <c r="J138" s="52">
        <v>452.79998799999998</v>
      </c>
      <c r="K138" s="58">
        <f t="shared" si="2"/>
        <v>-5.6076763241773755E-2</v>
      </c>
      <c r="M138" s="53">
        <v>45222</v>
      </c>
      <c r="N138" s="54">
        <v>19047.25</v>
      </c>
      <c r="O138" s="58">
        <f t="shared" si="3"/>
        <v>-2.534970339684051E-2</v>
      </c>
    </row>
    <row r="139" spans="9:15" x14ac:dyDescent="0.35">
      <c r="I139" s="51">
        <v>45222</v>
      </c>
      <c r="J139" s="52">
        <v>434</v>
      </c>
      <c r="K139" s="58">
        <f t="shared" si="2"/>
        <v>-4.1519409227546149E-2</v>
      </c>
      <c r="M139" s="53">
        <v>45229</v>
      </c>
      <c r="N139" s="54">
        <v>19230.599609000001</v>
      </c>
      <c r="O139" s="58">
        <f t="shared" si="3"/>
        <v>9.6260409770439707E-3</v>
      </c>
    </row>
    <row r="140" spans="9:15" x14ac:dyDescent="0.35">
      <c r="I140" s="51">
        <v>45229</v>
      </c>
      <c r="J140" s="52">
        <v>414.70001200000002</v>
      </c>
      <c r="K140" s="58">
        <f t="shared" si="2"/>
        <v>-4.4470018433179687E-2</v>
      </c>
      <c r="M140" s="53">
        <v>45236</v>
      </c>
      <c r="N140" s="54">
        <v>19425.349609000001</v>
      </c>
      <c r="O140" s="58">
        <f t="shared" si="3"/>
        <v>1.0127089324290033E-2</v>
      </c>
    </row>
    <row r="141" spans="9:15" x14ac:dyDescent="0.35">
      <c r="I141" s="51">
        <v>45236</v>
      </c>
      <c r="J141" s="52">
        <v>410.89999399999999</v>
      </c>
      <c r="K141" s="58">
        <f t="shared" si="2"/>
        <v>-9.1632936822775464E-3</v>
      </c>
      <c r="M141" s="53">
        <v>45243</v>
      </c>
      <c r="N141" s="54">
        <v>19731.800781000002</v>
      </c>
      <c r="O141" s="58">
        <f t="shared" si="3"/>
        <v>1.5775838178892717E-2</v>
      </c>
    </row>
    <row r="142" spans="9:15" x14ac:dyDescent="0.35">
      <c r="I142" s="51">
        <v>45243</v>
      </c>
      <c r="J142" s="52">
        <v>430.54998799999998</v>
      </c>
      <c r="K142" s="58">
        <f t="shared" si="2"/>
        <v>4.7821840562012746E-2</v>
      </c>
      <c r="M142" s="53">
        <v>45250</v>
      </c>
      <c r="N142" s="54">
        <v>19794.699218999998</v>
      </c>
      <c r="O142" s="58">
        <f t="shared" si="3"/>
        <v>3.1876684088845164E-3</v>
      </c>
    </row>
    <row r="143" spans="9:15" x14ac:dyDescent="0.35">
      <c r="I143" s="51">
        <v>45250</v>
      </c>
      <c r="J143" s="52">
        <v>431.14999399999999</v>
      </c>
      <c r="K143" s="58">
        <f t="shared" si="2"/>
        <v>1.3935803431029421E-3</v>
      </c>
      <c r="M143" s="53">
        <v>45257</v>
      </c>
      <c r="N143" s="54">
        <v>20267.900390999999</v>
      </c>
      <c r="O143" s="58">
        <f t="shared" si="3"/>
        <v>2.3905448967155685E-2</v>
      </c>
    </row>
    <row r="144" spans="9:15" x14ac:dyDescent="0.35">
      <c r="I144" s="73"/>
      <c r="J144" s="74"/>
      <c r="K144" s="75"/>
    </row>
    <row r="145" spans="9:14" x14ac:dyDescent="0.35">
      <c r="I145" s="29"/>
      <c r="J145" s="28"/>
      <c r="K145" s="76"/>
    </row>
    <row r="146" spans="9:14" x14ac:dyDescent="0.35">
      <c r="I146" s="29"/>
      <c r="J146" s="28"/>
      <c r="K146" s="76"/>
    </row>
    <row r="149" spans="9:14" x14ac:dyDescent="0.35">
      <c r="I149" s="70" t="s">
        <v>63</v>
      </c>
      <c r="J149" s="77">
        <f>AVERAGE(K5:K146)</f>
        <v>5.7919559019435664E-3</v>
      </c>
      <c r="M149" s="70" t="s">
        <v>63</v>
      </c>
      <c r="N149" s="77">
        <f>AVERAGE(O5:O143)</f>
        <v>2.4036755513623066E-3</v>
      </c>
    </row>
    <row r="150" spans="9:14" x14ac:dyDescent="0.35">
      <c r="I150" s="70" t="s">
        <v>59</v>
      </c>
      <c r="J150" s="77">
        <f>J149*52</f>
        <v>0.30118170690106544</v>
      </c>
      <c r="M150" s="70" t="s">
        <v>59</v>
      </c>
      <c r="N150" s="77">
        <f>N149*52</f>
        <v>0.12499112867083995</v>
      </c>
    </row>
    <row r="151" spans="9:14" x14ac:dyDescent="0.35">
      <c r="I151" s="70" t="s">
        <v>60</v>
      </c>
      <c r="J151" s="77">
        <f>+((1+J149)^52)-1</f>
        <v>0.35028116973964329</v>
      </c>
      <c r="M151" s="70" t="s">
        <v>60</v>
      </c>
      <c r="N151" s="77">
        <f>+((1+N149)^52)-1</f>
        <v>0.13296846661329664</v>
      </c>
    </row>
    <row r="152" spans="9:14" x14ac:dyDescent="0.35">
      <c r="I152" s="70" t="s">
        <v>64</v>
      </c>
      <c r="J152" s="77">
        <f>_xlfn.STDEV.P(K5:K146)</f>
        <v>6.1506410895693031E-2</v>
      </c>
      <c r="M152" s="70" t="s">
        <v>64</v>
      </c>
      <c r="N152" s="77">
        <f>_xlfn.STDEV.P(O5:O143)</f>
        <v>1.8511690039247838E-2</v>
      </c>
    </row>
    <row r="153" spans="9:14" x14ac:dyDescent="0.35">
      <c r="I153" s="70" t="s">
        <v>62</v>
      </c>
      <c r="J153" s="77">
        <f>J152*SQRT(52)</f>
        <v>0.4435290365083564</v>
      </c>
      <c r="M153" s="70" t="s">
        <v>62</v>
      </c>
      <c r="N153" s="77">
        <f>N152*SQRT(52)</f>
        <v>0.13348969526400814</v>
      </c>
    </row>
    <row r="154" spans="9:14" x14ac:dyDescent="0.35">
      <c r="I154" s="70" t="s">
        <v>65</v>
      </c>
      <c r="J154" s="78">
        <f>SLOPE(K5:K143,O5:O143)</f>
        <v>1.4981069101593305E-2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09301-5A72-40E6-85BE-4E6A36B41CD6}">
  <dimension ref="A1:D11"/>
  <sheetViews>
    <sheetView zoomScale="70" workbookViewId="0">
      <selection activeCell="B11" sqref="B11"/>
    </sheetView>
  </sheetViews>
  <sheetFormatPr defaultRowHeight="14.5" x14ac:dyDescent="0.35"/>
  <cols>
    <col min="1" max="1" width="15.90625" bestFit="1" customWidth="1"/>
    <col min="2" max="2" width="22.81640625" bestFit="1" customWidth="1"/>
    <col min="3" max="3" width="6.90625" bestFit="1" customWidth="1"/>
  </cols>
  <sheetData>
    <row r="1" spans="1:4" ht="21" x14ac:dyDescent="0.5">
      <c r="B1" s="6" t="s">
        <v>16</v>
      </c>
    </row>
    <row r="2" spans="1:4" x14ac:dyDescent="0.35">
      <c r="A2" s="5" t="s">
        <v>15</v>
      </c>
      <c r="B2" s="4">
        <v>44986</v>
      </c>
      <c r="C2" s="4">
        <v>44621</v>
      </c>
      <c r="D2" s="23">
        <v>44256</v>
      </c>
    </row>
    <row r="3" spans="1:4" x14ac:dyDescent="0.35">
      <c r="A3" s="1" t="s">
        <v>14</v>
      </c>
      <c r="B3" s="1">
        <v>19.309999999999999</v>
      </c>
      <c r="C3" s="1">
        <v>29.93</v>
      </c>
      <c r="D3" s="24">
        <v>3.41</v>
      </c>
    </row>
    <row r="4" spans="1:4" x14ac:dyDescent="0.35">
      <c r="A4" s="5" t="s">
        <v>13</v>
      </c>
      <c r="B4" s="32">
        <v>0.26</v>
      </c>
      <c r="C4" s="32">
        <v>0.17</v>
      </c>
      <c r="D4" s="84">
        <v>0.1</v>
      </c>
    </row>
    <row r="5" spans="1:4" x14ac:dyDescent="0.35">
      <c r="A5" s="1" t="s">
        <v>12</v>
      </c>
      <c r="B5" s="1">
        <v>2.5</v>
      </c>
      <c r="C5" s="1">
        <v>2.5</v>
      </c>
      <c r="D5" s="24">
        <v>2.5</v>
      </c>
    </row>
    <row r="6" spans="1:4" x14ac:dyDescent="0.35">
      <c r="A6" s="1" t="s">
        <v>11</v>
      </c>
      <c r="B6" s="1">
        <f>B3-B5</f>
        <v>16.809999999999999</v>
      </c>
      <c r="C6" s="1">
        <f>C3-C5</f>
        <v>27.43</v>
      </c>
      <c r="D6" s="24">
        <f>D3-D5</f>
        <v>0.91000000000000014</v>
      </c>
    </row>
    <row r="7" spans="1:4" x14ac:dyDescent="0.35">
      <c r="A7" s="5" t="s">
        <v>10</v>
      </c>
      <c r="B7" s="85">
        <f>100%-B4</f>
        <v>0.74</v>
      </c>
      <c r="C7" s="85">
        <f>100%-C4</f>
        <v>0.83</v>
      </c>
      <c r="D7" s="87">
        <f>100%-D4</f>
        <v>0.9</v>
      </c>
    </row>
    <row r="8" spans="1:4" x14ac:dyDescent="0.35">
      <c r="A8" s="1"/>
      <c r="B8" s="1"/>
      <c r="C8" s="1"/>
      <c r="D8" s="24"/>
    </row>
    <row r="9" spans="1:4" x14ac:dyDescent="0.35">
      <c r="A9" s="5" t="s">
        <v>9</v>
      </c>
      <c r="B9" s="85">
        <f>B5/503</f>
        <v>4.970178926441352E-3</v>
      </c>
      <c r="C9" s="85">
        <f>C5/503</f>
        <v>4.970178926441352E-3</v>
      </c>
      <c r="D9" s="86">
        <f>D5/503</f>
        <v>4.970178926441352E-3</v>
      </c>
    </row>
    <row r="11" spans="1:4" ht="261" x14ac:dyDescent="0.35">
      <c r="B11" s="10" t="s">
        <v>29</v>
      </c>
      <c r="C11"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44FCD-5CA7-459B-86BD-5FC19E3CFABE}">
  <dimension ref="A1:F10"/>
  <sheetViews>
    <sheetView workbookViewId="0">
      <selection activeCell="B8" sqref="B8"/>
    </sheetView>
  </sheetViews>
  <sheetFormatPr defaultRowHeight="14.5" x14ac:dyDescent="0.35"/>
  <cols>
    <col min="1" max="1" width="25.453125" bestFit="1" customWidth="1"/>
    <col min="4" max="4" width="25.453125" bestFit="1" customWidth="1"/>
    <col min="5" max="5" width="20" bestFit="1" customWidth="1"/>
  </cols>
  <sheetData>
    <row r="1" spans="1:6" ht="21" x14ac:dyDescent="0.5">
      <c r="D1" s="2" t="s">
        <v>8</v>
      </c>
    </row>
    <row r="2" spans="1:6" x14ac:dyDescent="0.35">
      <c r="A2" s="82" t="s">
        <v>7</v>
      </c>
      <c r="B2" s="83">
        <v>44986</v>
      </c>
      <c r="C2" s="82" t="s">
        <v>6</v>
      </c>
      <c r="D2" s="83">
        <v>44621</v>
      </c>
      <c r="E2" s="82" t="s">
        <v>6</v>
      </c>
      <c r="F2" s="83">
        <v>44256</v>
      </c>
    </row>
    <row r="3" spans="1:6" x14ac:dyDescent="0.35">
      <c r="A3" s="5" t="s">
        <v>5</v>
      </c>
      <c r="B3" s="1">
        <v>459</v>
      </c>
      <c r="C3" s="33">
        <f>(B3-D3)/D3</f>
        <v>-0.37972972972972974</v>
      </c>
      <c r="D3" s="1">
        <v>740</v>
      </c>
      <c r="E3" s="33">
        <f>(D3-F3)/F3</f>
        <v>7.7058823529411766</v>
      </c>
      <c r="F3" s="1">
        <v>85</v>
      </c>
    </row>
    <row r="4" spans="1:6" x14ac:dyDescent="0.35">
      <c r="A4" s="5" t="s">
        <v>4</v>
      </c>
      <c r="B4" s="1">
        <v>4773</v>
      </c>
      <c r="C4" s="33">
        <f>(B4-D4)/D4</f>
        <v>-3.5562739947464131E-2</v>
      </c>
      <c r="D4" s="1">
        <v>4949</v>
      </c>
      <c r="E4" s="33">
        <f t="shared" ref="E4:E5" si="0">(D4-F4)/F4</f>
        <v>6.2353801169590639</v>
      </c>
      <c r="F4" s="1">
        <v>684</v>
      </c>
    </row>
    <row r="5" spans="1:6" x14ac:dyDescent="0.35">
      <c r="A5" s="5" t="s">
        <v>3</v>
      </c>
      <c r="B5" s="1">
        <v>19.309999999999999</v>
      </c>
      <c r="C5" s="33">
        <f>(B5-D5)/D5</f>
        <v>-0.35482793184096229</v>
      </c>
      <c r="D5" s="1">
        <v>29.93</v>
      </c>
      <c r="E5" s="33">
        <f t="shared" si="0"/>
        <v>7.7771260997067442</v>
      </c>
      <c r="F5" s="1">
        <v>3.41</v>
      </c>
    </row>
    <row r="7" spans="1:6" x14ac:dyDescent="0.35">
      <c r="A7" s="31" t="s">
        <v>66</v>
      </c>
      <c r="D7" s="31" t="s">
        <v>67</v>
      </c>
    </row>
    <row r="8" spans="1:6" x14ac:dyDescent="0.35">
      <c r="A8" s="25" t="s">
        <v>2</v>
      </c>
      <c r="B8" s="26">
        <f>C3/C4</f>
        <v>10.677741093366095</v>
      </c>
      <c r="D8" s="25" t="s">
        <v>2</v>
      </c>
      <c r="E8" s="34">
        <f>E3/E4</f>
        <v>1.235832011585408</v>
      </c>
    </row>
    <row r="9" spans="1:6" x14ac:dyDescent="0.35">
      <c r="A9" s="25" t="s">
        <v>1</v>
      </c>
      <c r="B9" s="26">
        <f>C5/C3</f>
        <v>0.9344223116096515</v>
      </c>
      <c r="D9" s="25" t="s">
        <v>1</v>
      </c>
      <c r="E9" s="34">
        <f>E3/E5</f>
        <v>0.99083932215420112</v>
      </c>
    </row>
    <row r="10" spans="1:6" x14ac:dyDescent="0.35">
      <c r="A10" s="25" t="s">
        <v>0</v>
      </c>
      <c r="B10" s="26">
        <f>B8*B9</f>
        <v>9.9775195152325136</v>
      </c>
      <c r="D10" s="25" t="s">
        <v>0</v>
      </c>
      <c r="E10" s="34">
        <f>E8*E9</f>
        <v>1.2245109526557485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EC12-0003-47C9-80AD-49B9BFF31480}">
  <dimension ref="A1:J10"/>
  <sheetViews>
    <sheetView zoomScale="93" workbookViewId="0">
      <selection activeCell="B13" sqref="B13"/>
    </sheetView>
  </sheetViews>
  <sheetFormatPr defaultRowHeight="14.5" x14ac:dyDescent="0.35"/>
  <cols>
    <col min="1" max="1" width="54.7265625" bestFit="1" customWidth="1"/>
    <col min="2" max="4" width="9.453125" bestFit="1" customWidth="1"/>
  </cols>
  <sheetData>
    <row r="1" spans="1:10" ht="18.5" x14ac:dyDescent="0.45">
      <c r="A1" s="9" t="s">
        <v>23</v>
      </c>
      <c r="B1" s="8"/>
      <c r="C1" s="8"/>
    </row>
    <row r="2" spans="1:10" ht="18.5" x14ac:dyDescent="0.45">
      <c r="A2" s="22" t="s">
        <v>15</v>
      </c>
      <c r="B2" s="20" t="s">
        <v>22</v>
      </c>
      <c r="C2" s="20" t="s">
        <v>21</v>
      </c>
      <c r="D2" s="21" t="s">
        <v>20</v>
      </c>
      <c r="E2" s="7"/>
    </row>
    <row r="3" spans="1:10" x14ac:dyDescent="0.35">
      <c r="A3" s="17" t="s">
        <v>19</v>
      </c>
      <c r="B3" s="18">
        <v>15971.85</v>
      </c>
      <c r="C3" s="18">
        <v>15848.88</v>
      </c>
      <c r="D3" s="19">
        <v>12950.23</v>
      </c>
    </row>
    <row r="4" spans="1:10" x14ac:dyDescent="0.35">
      <c r="A4" s="17" t="s">
        <v>18</v>
      </c>
      <c r="B4" s="18">
        <v>12693.95</v>
      </c>
      <c r="C4" s="18">
        <v>16690.84</v>
      </c>
      <c r="D4" s="19">
        <v>16641.18</v>
      </c>
    </row>
    <row r="5" spans="1:10" x14ac:dyDescent="0.35">
      <c r="A5" s="11" t="s">
        <v>17</v>
      </c>
      <c r="B5" s="12">
        <f>B3-B4</f>
        <v>3277.8999999999996</v>
      </c>
      <c r="C5" s="12">
        <f>C3-C4</f>
        <v>-841.96000000000095</v>
      </c>
      <c r="D5" s="13">
        <f>D3-D4</f>
        <v>-3690.9500000000007</v>
      </c>
    </row>
    <row r="6" spans="1:10" x14ac:dyDescent="0.35">
      <c r="A6" s="14" t="s">
        <v>24</v>
      </c>
      <c r="B6" s="15">
        <f>B3/B4</f>
        <v>1.2582253750802548</v>
      </c>
      <c r="C6" s="15">
        <f t="shared" ref="C6:D6" si="0">C3/C4</f>
        <v>0.94955556460909096</v>
      </c>
      <c r="D6" s="16">
        <f t="shared" si="0"/>
        <v>0.77820382929575904</v>
      </c>
    </row>
    <row r="8" spans="1:10" x14ac:dyDescent="0.35">
      <c r="A8" s="88" t="s">
        <v>28</v>
      </c>
      <c r="B8" s="88"/>
      <c r="C8" s="88"/>
      <c r="D8" s="88"/>
      <c r="H8" t="s">
        <v>26</v>
      </c>
    </row>
    <row r="10" spans="1:10" ht="15.5" x14ac:dyDescent="0.35">
      <c r="A10" s="30" t="s">
        <v>25</v>
      </c>
      <c r="B10" s="35" t="s">
        <v>27</v>
      </c>
      <c r="C10" s="35"/>
      <c r="D10" s="35"/>
      <c r="E10" s="35"/>
      <c r="F10" s="35"/>
      <c r="G10" s="35"/>
      <c r="H10" s="35"/>
      <c r="I10" s="35"/>
      <c r="J10" s="35"/>
    </row>
  </sheetData>
  <mergeCells count="1">
    <mergeCell ref="A8:D8"/>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Jubiliant ING beta calculation</vt:lpstr>
      <vt:lpstr>Dividend Policy</vt:lpstr>
      <vt:lpstr>Leverage</vt:lpstr>
      <vt:lpstr>Working Capital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Bhamre</dc:creator>
  <cp:lastModifiedBy>Vaishnavi Bhamre</cp:lastModifiedBy>
  <dcterms:created xsi:type="dcterms:W3CDTF">2024-01-05T16:28:56Z</dcterms:created>
  <dcterms:modified xsi:type="dcterms:W3CDTF">2024-02-02T16:30:40Z</dcterms:modified>
</cp:coreProperties>
</file>