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https://dmatrixsolutions1-my.sharepoint.com/personal/trainings_dmatrixsolutions_com/Documents/EXCEL FILES/Complete Dashboards/"/>
    </mc:Choice>
  </mc:AlternateContent>
  <xr:revisionPtr revIDLastSave="233" documentId="13_ncr:1_{8FCE9EA5-1A68-4871-B41D-DF459D6A6BF3}" xr6:coauthVersionLast="47" xr6:coauthVersionMax="47" xr10:uidLastSave="{DD65F0E6-26CD-4AA4-A330-D906C56725E1}"/>
  <bookViews>
    <workbookView xWindow="-108" yWindow="-108" windowWidth="23256" windowHeight="12576" tabRatio="699" xr2:uid="{00000000-000D-0000-FFFF-FFFF00000000}"/>
  </bookViews>
  <sheets>
    <sheet name="DASHBOARD" sheetId="6" r:id="rId1"/>
    <sheet name="Data for Dashboard" sheetId="5" r:id="rId2"/>
    <sheet name="Assets" sheetId="8" r:id="rId3"/>
    <sheet name="datasheet" sheetId="1" r:id="rId4"/>
    <sheet name="Sheet1" sheetId="9" r:id="rId5"/>
    <sheet name="calculation sheet - minerals" sheetId="2" r:id="rId6"/>
    <sheet name="calc sheet - fossil fuels" sheetId="3" r:id="rId7"/>
    <sheet name="sources" sheetId="4"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5" l="1"/>
  <c r="C42" i="5" l="1"/>
  <c r="D42" i="5" s="1"/>
  <c r="C41" i="5"/>
  <c r="D41" i="5" s="1"/>
  <c r="C40" i="5"/>
  <c r="D40" i="5" s="1"/>
  <c r="C36" i="5"/>
  <c r="D36" i="5" s="1"/>
  <c r="C35" i="5"/>
  <c r="D35" i="5" s="1"/>
  <c r="C34" i="5"/>
  <c r="D34" i="5" s="1"/>
  <c r="C33" i="5"/>
  <c r="D33" i="5" s="1"/>
  <c r="C29" i="5"/>
  <c r="D29" i="5" s="1"/>
  <c r="C28" i="5"/>
  <c r="D28" i="5" s="1"/>
  <c r="C27" i="5"/>
  <c r="D27" i="5" s="1"/>
  <c r="C26" i="5"/>
  <c r="D26" i="5" s="1"/>
  <c r="C25" i="5"/>
  <c r="D25" i="5" s="1"/>
  <c r="C24" i="5"/>
  <c r="D24" i="5" s="1"/>
  <c r="C20" i="5"/>
  <c r="D20" i="5" s="1"/>
  <c r="C19" i="5"/>
  <c r="D19" i="5" s="1"/>
  <c r="C18" i="5"/>
  <c r="D18" i="5" s="1"/>
  <c r="C13" i="5"/>
  <c r="D13" i="5" s="1"/>
  <c r="D11" i="5"/>
  <c r="C5" i="5"/>
  <c r="D5" i="5" s="1"/>
  <c r="C4" i="5"/>
  <c r="D4" i="5" s="1"/>
  <c r="C3" i="1" l="1"/>
  <c r="AD4" i="2"/>
  <c r="C4" i="1"/>
  <c r="C5" i="1"/>
  <c r="C7" i="1"/>
  <c r="C9" i="1"/>
  <c r="C10" i="1"/>
  <c r="C11" i="1"/>
  <c r="C12" i="1"/>
  <c r="C13" i="1"/>
  <c r="C14" i="1"/>
  <c r="C15" i="1"/>
  <c r="C16" i="1"/>
  <c r="C17" i="1"/>
  <c r="C19" i="1"/>
  <c r="C20" i="1"/>
  <c r="C21" i="1"/>
  <c r="C23" i="1"/>
  <c r="C24" i="1"/>
  <c r="C25" i="1"/>
  <c r="C26" i="1"/>
  <c r="C31" i="1"/>
  <c r="I3" i="2"/>
  <c r="E4" i="5" s="1"/>
  <c r="V3" i="2"/>
  <c r="W3" i="2"/>
  <c r="X3" i="2"/>
  <c r="Y3" i="2"/>
  <c r="Z3" i="2"/>
  <c r="AA3" i="2"/>
  <c r="AB3" i="2"/>
  <c r="AC3" i="2"/>
  <c r="AD3" i="2"/>
  <c r="AE3" i="2"/>
  <c r="I4" i="2"/>
  <c r="E29" i="5" s="1"/>
  <c r="V4" i="2"/>
  <c r="W4" i="2"/>
  <c r="X4" i="2"/>
  <c r="Y4" i="2"/>
  <c r="Z4" i="2"/>
  <c r="AA4" i="2"/>
  <c r="AB4" i="2"/>
  <c r="AC4" i="2"/>
  <c r="AE4" i="2"/>
  <c r="I5" i="2"/>
  <c r="E33" i="5" s="1"/>
  <c r="V5" i="2"/>
  <c r="W5" i="2"/>
  <c r="X5" i="2"/>
  <c r="Y5" i="2"/>
  <c r="Z5" i="2"/>
  <c r="AA5" i="2"/>
  <c r="AB5" i="2"/>
  <c r="AC5" i="2"/>
  <c r="AD5" i="2"/>
  <c r="AE5" i="2"/>
  <c r="C6" i="2"/>
  <c r="E6" i="2"/>
  <c r="U6" i="2"/>
  <c r="AE6" i="2" s="1"/>
  <c r="V6" i="2"/>
  <c r="W6" i="2"/>
  <c r="X6" i="2"/>
  <c r="Y6" i="2"/>
  <c r="Z6" i="2"/>
  <c r="AA6" i="2"/>
  <c r="AB6" i="2"/>
  <c r="AC6" i="2"/>
  <c r="AD6" i="2"/>
  <c r="I7" i="2"/>
  <c r="E25" i="5" s="1"/>
  <c r="V7" i="2"/>
  <c r="W7" i="2"/>
  <c r="X7" i="2"/>
  <c r="Y7" i="2"/>
  <c r="Z7" i="2"/>
  <c r="AA7" i="2"/>
  <c r="AB7" i="2"/>
  <c r="AC7" i="2"/>
  <c r="AD7" i="2"/>
  <c r="AE7" i="2"/>
  <c r="C8" i="2"/>
  <c r="C10" i="5" s="1"/>
  <c r="D10" i="5" s="1"/>
  <c r="E8" i="2"/>
  <c r="U8" i="2"/>
  <c r="AE8" i="2" s="1"/>
  <c r="V8" i="2"/>
  <c r="W8" i="2"/>
  <c r="X8" i="2"/>
  <c r="Y8" i="2"/>
  <c r="Z8" i="2"/>
  <c r="AA8" i="2"/>
  <c r="AB8" i="2"/>
  <c r="AC8" i="2"/>
  <c r="AD8" i="2"/>
  <c r="I9" i="2"/>
  <c r="V9" i="2"/>
  <c r="W9" i="2"/>
  <c r="X9" i="2"/>
  <c r="Y9" i="2"/>
  <c r="Z9" i="2"/>
  <c r="AA9" i="2"/>
  <c r="AB9" i="2"/>
  <c r="AC9" i="2"/>
  <c r="AD9" i="2"/>
  <c r="AE9" i="2"/>
  <c r="I10" i="2"/>
  <c r="V10" i="2"/>
  <c r="W10" i="2"/>
  <c r="X10" i="2"/>
  <c r="Y10" i="2"/>
  <c r="Z10" i="2"/>
  <c r="AA10" i="2"/>
  <c r="AB10" i="2"/>
  <c r="AC10" i="2"/>
  <c r="AD10" i="2"/>
  <c r="AE10" i="2"/>
  <c r="I11" i="2"/>
  <c r="E42" i="5" s="1"/>
  <c r="V11" i="2"/>
  <c r="W11" i="2"/>
  <c r="X11" i="2"/>
  <c r="Y11" i="2"/>
  <c r="Z11" i="2"/>
  <c r="AA11" i="2"/>
  <c r="AB11" i="2"/>
  <c r="AC11" i="2"/>
  <c r="AD11" i="2"/>
  <c r="AE11" i="2"/>
  <c r="I12" i="2"/>
  <c r="E18" i="5" s="1"/>
  <c r="V12" i="2"/>
  <c r="W12" i="2"/>
  <c r="X12" i="2"/>
  <c r="Y12" i="2"/>
  <c r="Z12" i="2"/>
  <c r="AA12" i="2"/>
  <c r="AB12" i="2"/>
  <c r="AC12" i="2"/>
  <c r="AD12" i="2"/>
  <c r="AE12" i="2"/>
  <c r="I13" i="2"/>
  <c r="E11" i="5" s="1"/>
  <c r="V13" i="2"/>
  <c r="W13" i="2"/>
  <c r="X13" i="2"/>
  <c r="Y13" i="2"/>
  <c r="Z13" i="2"/>
  <c r="AA13" i="2"/>
  <c r="AB13" i="2"/>
  <c r="AC13" i="2"/>
  <c r="AD13" i="2"/>
  <c r="AE13" i="2"/>
  <c r="I14" i="2"/>
  <c r="E24" i="5" s="1"/>
  <c r="V14" i="2"/>
  <c r="W14" i="2"/>
  <c r="X14" i="2"/>
  <c r="Y14" i="2"/>
  <c r="Z14" i="2"/>
  <c r="AA14" i="2"/>
  <c r="AB14" i="2"/>
  <c r="AC14" i="2"/>
  <c r="AD14" i="2"/>
  <c r="AE14" i="2"/>
  <c r="I15" i="2"/>
  <c r="E19" i="5" s="1"/>
  <c r="V15" i="2"/>
  <c r="W15" i="2"/>
  <c r="X15" i="2"/>
  <c r="Y15" i="2"/>
  <c r="Z15" i="2"/>
  <c r="AA15" i="2"/>
  <c r="AB15" i="2"/>
  <c r="AC15" i="2"/>
  <c r="AD15" i="2"/>
  <c r="AE15" i="2"/>
  <c r="I16" i="2"/>
  <c r="E40" i="5" s="1"/>
  <c r="V16" i="2"/>
  <c r="W16" i="2"/>
  <c r="X16" i="2"/>
  <c r="Y16" i="2"/>
  <c r="Z16" i="2"/>
  <c r="AA16" i="2"/>
  <c r="AB16" i="2"/>
  <c r="AC16" i="2"/>
  <c r="AD16" i="2"/>
  <c r="AE16" i="2"/>
  <c r="I17" i="2"/>
  <c r="E5" i="5" s="1"/>
  <c r="V17" i="2"/>
  <c r="W17" i="2"/>
  <c r="X17" i="2"/>
  <c r="Y17" i="2"/>
  <c r="Z17" i="2"/>
  <c r="AA17" i="2"/>
  <c r="AB17" i="2"/>
  <c r="AC17" i="2"/>
  <c r="AD17" i="2"/>
  <c r="AE17" i="2"/>
  <c r="C18" i="2"/>
  <c r="C14" i="5" s="1"/>
  <c r="D14" i="5" s="1"/>
  <c r="V18" i="2"/>
  <c r="W18" i="2"/>
  <c r="X18" i="2"/>
  <c r="Y18" i="2"/>
  <c r="Z18" i="2"/>
  <c r="AA18" i="2"/>
  <c r="AB18" i="2"/>
  <c r="AC18" i="2"/>
  <c r="AD18" i="2"/>
  <c r="AE18" i="2"/>
  <c r="I19" i="2"/>
  <c r="E35" i="5" s="1"/>
  <c r="V19" i="2"/>
  <c r="W19" i="2"/>
  <c r="X19" i="2"/>
  <c r="Y19" i="2"/>
  <c r="Z19" i="2"/>
  <c r="AA19" i="2"/>
  <c r="AB19" i="2"/>
  <c r="AC19" i="2"/>
  <c r="AD19" i="2"/>
  <c r="AE19" i="2"/>
  <c r="I20" i="2"/>
  <c r="E36" i="5" s="1"/>
  <c r="V20" i="2"/>
  <c r="W20" i="2"/>
  <c r="X20" i="2"/>
  <c r="Y20" i="2"/>
  <c r="Z20" i="2"/>
  <c r="AA20" i="2"/>
  <c r="AB20" i="2"/>
  <c r="AC20" i="2"/>
  <c r="AD20" i="2"/>
  <c r="AE20" i="2"/>
  <c r="I21" i="2"/>
  <c r="E27" i="5" s="1"/>
  <c r="V21" i="2"/>
  <c r="W21" i="2"/>
  <c r="X21" i="2"/>
  <c r="Y21" i="2"/>
  <c r="Z21" i="2"/>
  <c r="AA21" i="2"/>
  <c r="AB21" i="2"/>
  <c r="AC21" i="2"/>
  <c r="AD21" i="2"/>
  <c r="AE21" i="2"/>
  <c r="C22" i="2"/>
  <c r="C9" i="5" s="1"/>
  <c r="D9" i="5" s="1"/>
  <c r="E22" i="2"/>
  <c r="U22" i="2"/>
  <c r="AE22" i="2" s="1"/>
  <c r="V22" i="2"/>
  <c r="W22" i="2"/>
  <c r="X22" i="2"/>
  <c r="Y22" i="2"/>
  <c r="Z22" i="2"/>
  <c r="AA22" i="2"/>
  <c r="AB22" i="2"/>
  <c r="AC22" i="2"/>
  <c r="AD22" i="2"/>
  <c r="I23" i="2"/>
  <c r="E28" i="5" s="1"/>
  <c r="D23" i="1"/>
  <c r="V23" i="2"/>
  <c r="W23" i="2"/>
  <c r="X23" i="2"/>
  <c r="Y23" i="2"/>
  <c r="Z23" i="2"/>
  <c r="AA23" i="2"/>
  <c r="AB23" i="2"/>
  <c r="AC23" i="2"/>
  <c r="AD23" i="2"/>
  <c r="AE23" i="2"/>
  <c r="I24" i="2"/>
  <c r="E26" i="5" s="1"/>
  <c r="Y24" i="2"/>
  <c r="AF24" i="2" s="1"/>
  <c r="AG24" i="2" s="1"/>
  <c r="AI24" i="2" s="1"/>
  <c r="Z24" i="2"/>
  <c r="AA24" i="2"/>
  <c r="AB24" i="2"/>
  <c r="AC24" i="2"/>
  <c r="AD24" i="2"/>
  <c r="AE24" i="2"/>
  <c r="I25" i="2"/>
  <c r="V25" i="2"/>
  <c r="W25" i="2"/>
  <c r="X25" i="2"/>
  <c r="Y25" i="2"/>
  <c r="Z25" i="2"/>
  <c r="AA25" i="2"/>
  <c r="AB25" i="2"/>
  <c r="AC25" i="2"/>
  <c r="AD25" i="2"/>
  <c r="AE25" i="2"/>
  <c r="I26" i="2"/>
  <c r="V26" i="2"/>
  <c r="W26" i="2"/>
  <c r="X26" i="2"/>
  <c r="Y26" i="2"/>
  <c r="Z26" i="2"/>
  <c r="AA26" i="2"/>
  <c r="AB26" i="2"/>
  <c r="AC26" i="2"/>
  <c r="AD26" i="2"/>
  <c r="AE26" i="2"/>
  <c r="C3" i="3"/>
  <c r="C29" i="1" s="1"/>
  <c r="D3" i="3"/>
  <c r="E3" i="3"/>
  <c r="G3" i="3"/>
  <c r="H3" i="3"/>
  <c r="R3" i="3" s="1"/>
  <c r="I3" i="3"/>
  <c r="J3" i="3"/>
  <c r="K3" i="3"/>
  <c r="L3" i="3"/>
  <c r="V3" i="3" s="1"/>
  <c r="M3" i="3"/>
  <c r="N3" i="3"/>
  <c r="O3" i="3"/>
  <c r="P3" i="3"/>
  <c r="Q3" i="3"/>
  <c r="AA3" i="3" s="1"/>
  <c r="C4" i="3"/>
  <c r="C30" i="1" s="1"/>
  <c r="D4" i="3"/>
  <c r="E4" i="3"/>
  <c r="F4" i="3" s="1"/>
  <c r="D30" i="1" s="1"/>
  <c r="G4" i="3"/>
  <c r="H4" i="3"/>
  <c r="R4" i="3" s="1"/>
  <c r="I4" i="3"/>
  <c r="J4" i="3"/>
  <c r="T4" i="3" s="1"/>
  <c r="K4" i="3"/>
  <c r="L4" i="3"/>
  <c r="M4" i="3"/>
  <c r="W4" i="3" s="1"/>
  <c r="N4" i="3"/>
  <c r="O4" i="3"/>
  <c r="P4" i="3"/>
  <c r="Q4" i="3"/>
  <c r="AA4" i="3" s="1"/>
  <c r="E7" i="3"/>
  <c r="F7" i="3" s="1"/>
  <c r="D31" i="1" s="1"/>
  <c r="G7" i="3"/>
  <c r="H7" i="3"/>
  <c r="I7" i="3"/>
  <c r="S7" i="3" s="1"/>
  <c r="J7" i="3"/>
  <c r="K7" i="3"/>
  <c r="L7" i="3"/>
  <c r="M7" i="3"/>
  <c r="N7" i="3"/>
  <c r="O7" i="3"/>
  <c r="Y7" i="3" s="1"/>
  <c r="P7" i="3"/>
  <c r="Z7" i="3"/>
  <c r="Q7" i="3"/>
  <c r="I18" i="2"/>
  <c r="I8" i="2"/>
  <c r="S4" i="3" l="1"/>
  <c r="AA7" i="3"/>
  <c r="T7" i="3"/>
  <c r="Z4" i="3"/>
  <c r="Z3" i="3"/>
  <c r="W3" i="3"/>
  <c r="D24" i="1"/>
  <c r="I22" i="2"/>
  <c r="X7" i="3"/>
  <c r="D11" i="1"/>
  <c r="X3" i="3"/>
  <c r="V7" i="3"/>
  <c r="R7" i="3"/>
  <c r="AB7" i="3" s="1"/>
  <c r="AC7" i="3" s="1"/>
  <c r="AD7" i="3" s="1"/>
  <c r="E31" i="1" s="1"/>
  <c r="Y4" i="3"/>
  <c r="U4" i="3"/>
  <c r="C22" i="1"/>
  <c r="D21" i="1"/>
  <c r="D20" i="1"/>
  <c r="D19" i="1"/>
  <c r="C18" i="1"/>
  <c r="D17" i="1"/>
  <c r="D16" i="1"/>
  <c r="D15" i="1"/>
  <c r="D14" i="1"/>
  <c r="D13" i="1"/>
  <c r="D12" i="1"/>
  <c r="Y3" i="3"/>
  <c r="T3" i="3"/>
  <c r="I6" i="2"/>
  <c r="D6" i="1" s="1"/>
  <c r="D5" i="1"/>
  <c r="E12" i="5"/>
  <c r="AF23" i="2"/>
  <c r="AG23" i="2" s="1"/>
  <c r="AI23" i="2" s="1"/>
  <c r="P54" i="6" s="1"/>
  <c r="AF22" i="2"/>
  <c r="AG22" i="2" s="1"/>
  <c r="AF21" i="2"/>
  <c r="AG21" i="2" s="1"/>
  <c r="AI21" i="2" s="1"/>
  <c r="E21" i="1" s="1"/>
  <c r="AF20" i="2"/>
  <c r="AG20" i="2" s="1"/>
  <c r="AI20" i="2" s="1"/>
  <c r="H54" i="6" s="1"/>
  <c r="AF19" i="2"/>
  <c r="AG19" i="2" s="1"/>
  <c r="AI19" i="2" s="1"/>
  <c r="L55" i="6" s="1"/>
  <c r="AF18" i="2"/>
  <c r="AG18" i="2" s="1"/>
  <c r="AI18" i="2" s="1"/>
  <c r="H53" i="6" s="1"/>
  <c r="AF17" i="2"/>
  <c r="AG17" i="2" s="1"/>
  <c r="AI17" i="2" s="1"/>
  <c r="D51" i="6" s="1"/>
  <c r="AF16" i="2"/>
  <c r="AG16" i="2" s="1"/>
  <c r="AI16" i="2" s="1"/>
  <c r="E16" i="1" s="1"/>
  <c r="AF15" i="2"/>
  <c r="AG15" i="2" s="1"/>
  <c r="AI15" i="2" s="1"/>
  <c r="L52" i="6" s="1"/>
  <c r="AF14" i="2"/>
  <c r="AG14" i="2" s="1"/>
  <c r="AI14" i="2" s="1"/>
  <c r="P52" i="6" s="1"/>
  <c r="AF13" i="2"/>
  <c r="AG13" i="2" s="1"/>
  <c r="AI13" i="2" s="1"/>
  <c r="H52" i="6" s="1"/>
  <c r="AF12" i="2"/>
  <c r="AG12" i="2" s="1"/>
  <c r="AI12" i="2" s="1"/>
  <c r="E12" i="1" s="1"/>
  <c r="AF11" i="2"/>
  <c r="AG11" i="2" s="1"/>
  <c r="AI11" i="2" s="1"/>
  <c r="D54" i="6" s="1"/>
  <c r="AF10" i="2"/>
  <c r="AG10" i="2" s="1"/>
  <c r="AI10" i="2" s="1"/>
  <c r="L50" i="6" s="1"/>
  <c r="D10" i="1"/>
  <c r="E20" i="5"/>
  <c r="AF9" i="2"/>
  <c r="AG9" i="2" s="1"/>
  <c r="AI9" i="2" s="1"/>
  <c r="D53" i="6" s="1"/>
  <c r="AF5" i="2"/>
  <c r="AG5" i="2" s="1"/>
  <c r="AI5" i="2" s="1"/>
  <c r="L54" i="6" s="1"/>
  <c r="W7" i="3"/>
  <c r="U7" i="3"/>
  <c r="X4" i="3"/>
  <c r="V4" i="3"/>
  <c r="U3" i="3"/>
  <c r="S3" i="3"/>
  <c r="F3" i="3"/>
  <c r="D29" i="1" s="1"/>
  <c r="AF26" i="2"/>
  <c r="AG26" i="2" s="1"/>
  <c r="AI26" i="2" s="1"/>
  <c r="H55" i="6" s="1"/>
  <c r="D25" i="1"/>
  <c r="E34" i="5"/>
  <c r="D9" i="1"/>
  <c r="E41" i="5"/>
  <c r="AF8" i="2"/>
  <c r="AG8" i="2" s="1"/>
  <c r="AI8" i="2" s="1"/>
  <c r="H51" i="6" s="1"/>
  <c r="AF7" i="2"/>
  <c r="AG7" i="2" s="1"/>
  <c r="AI7" i="2" s="1"/>
  <c r="P51" i="6" s="1"/>
  <c r="D7" i="1"/>
  <c r="AF6" i="2"/>
  <c r="AG6" i="2" s="1"/>
  <c r="AF4" i="2"/>
  <c r="AG4" i="2" s="1"/>
  <c r="AI4" i="2" s="1"/>
  <c r="E4" i="1" s="1"/>
  <c r="D4" i="1"/>
  <c r="AF3" i="2"/>
  <c r="AG3" i="2" s="1"/>
  <c r="AI3" i="2" s="1"/>
  <c r="D50" i="6" s="1"/>
  <c r="D3" i="1"/>
  <c r="D8" i="1"/>
  <c r="E10" i="5"/>
  <c r="D18" i="1"/>
  <c r="E14" i="5"/>
  <c r="D26" i="1"/>
  <c r="E13" i="5"/>
  <c r="AF25" i="2"/>
  <c r="AG25" i="2" s="1"/>
  <c r="AI25" i="2" s="1"/>
  <c r="L57" i="6" s="1"/>
  <c r="P55" i="6"/>
  <c r="E24" i="1"/>
  <c r="AJ24" i="2"/>
  <c r="AJ23" i="2"/>
  <c r="P53" i="6"/>
  <c r="AJ21" i="2"/>
  <c r="L56" i="6"/>
  <c r="E20" i="1"/>
  <c r="AJ20" i="2"/>
  <c r="E18" i="1"/>
  <c r="AJ15" i="2"/>
  <c r="AJ14" i="2"/>
  <c r="AJ13" i="2"/>
  <c r="L51" i="6"/>
  <c r="AJ12" i="2"/>
  <c r="AJ11" i="2"/>
  <c r="E10" i="1"/>
  <c r="AJ9" i="2"/>
  <c r="AJ5" i="2"/>
  <c r="P50" i="6"/>
  <c r="AJ4" i="2"/>
  <c r="AJ3" i="2"/>
  <c r="C8" i="1"/>
  <c r="C6" i="1"/>
  <c r="C12" i="5"/>
  <c r="D12" i="5" s="1"/>
  <c r="E9" i="5" l="1"/>
  <c r="D22" i="1"/>
  <c r="AB3" i="3"/>
  <c r="AC3" i="3" s="1"/>
  <c r="AJ16" i="2"/>
  <c r="AJ25" i="2"/>
  <c r="AJ7" i="2"/>
  <c r="D55" i="6"/>
  <c r="E7" i="1"/>
  <c r="AJ17" i="2"/>
  <c r="AI6" i="2"/>
  <c r="AJ6" i="2" s="1"/>
  <c r="AI22" i="2"/>
  <c r="AJ22" i="2" s="1"/>
  <c r="AJ8" i="2"/>
  <c r="E19" i="1"/>
  <c r="AJ26" i="2"/>
  <c r="E5" i="1"/>
  <c r="AJ10" i="2"/>
  <c r="E14" i="1"/>
  <c r="AJ18" i="2"/>
  <c r="AB4" i="3"/>
  <c r="AC4" i="3" s="1"/>
  <c r="AD4" i="3" s="1"/>
  <c r="E30" i="1" s="1"/>
  <c r="E26" i="1"/>
  <c r="AD3" i="3"/>
  <c r="E29" i="1" s="1"/>
  <c r="E3" i="1"/>
  <c r="E8" i="1"/>
  <c r="E9" i="1"/>
  <c r="E11" i="1"/>
  <c r="E13" i="1"/>
  <c r="E15" i="1"/>
  <c r="E17" i="1"/>
  <c r="AJ19" i="2"/>
  <c r="E23" i="1"/>
  <c r="E25" i="1"/>
  <c r="E22" i="1" l="1"/>
  <c r="E6" i="1"/>
  <c r="H5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turing</author>
  </authors>
  <commentList>
    <comment ref="A18" authorId="0" shapeId="0" xr:uid="{00000000-0006-0000-0400-000001000000}">
      <text>
        <r>
          <rPr>
            <b/>
            <sz val="8"/>
            <color indexed="81"/>
            <rFont val="Tahoma"/>
            <family val="2"/>
          </rPr>
          <t>turing:</t>
        </r>
        <r>
          <rPr>
            <sz val="8"/>
            <color indexed="81"/>
            <rFont val="Tahoma"/>
            <family val="2"/>
          </rPr>
          <t xml:space="preserve">
(15 lanthanides plus scandium and yttrium)</t>
        </r>
      </text>
    </comment>
  </commentList>
</comments>
</file>

<file path=xl/sharedStrings.xml><?xml version="1.0" encoding="utf-8"?>
<sst xmlns="http://schemas.openxmlformats.org/spreadsheetml/2006/main" count="461" uniqueCount="274">
  <si>
    <t>http://minerals.usgs.gov/minerals/pubs/commodity/niobium/</t>
  </si>
  <si>
    <t>Figure is for bauxite which is the current source for aluminium production</t>
  </si>
  <si>
    <t>Phosphorus</t>
  </si>
  <si>
    <t>USGS, Silver Institute</t>
  </si>
  <si>
    <t>Mean annual % growth in production by weight, 2000-2010</t>
  </si>
  <si>
    <t>Years remaining (3)</t>
  </si>
  <si>
    <t>Copper</t>
  </si>
  <si>
    <t>Lead</t>
  </si>
  <si>
    <t>BP give a R/P (reserves to production) ratio of 119 for 2009. This means that if production continued at the 2009 rate, coal reserves would last another 119 years. This is not quite the figure we are looking for, however, as it uses production not consumption figures, and does not take into account increases in consumption.</t>
  </si>
  <si>
    <t>BBC</t>
  </si>
  <si>
    <t>Reserves/ production, except where noted. At current levels of production, no recycling. Rounded to nearest year.</t>
  </si>
  <si>
    <t xml:space="preserve">However, Smil (2000) predicts reserves will last only 80 years. Smil (2000): "Reserve estimates range between 1.5–3.5 Gt P for reserves, 4.7–9.5 Gt P for potential reserves, and about 13 Gt P for resources (76, 143). At the current rate of extraction, global reserves would last about 80 years." Cordell et al (2009): 50–100 years. Demand projected to increase, with production likely peaking in c.2030. </t>
  </si>
  <si>
    <t>Refinery production. Est.</t>
  </si>
  <si>
    <t>Gold</t>
  </si>
  <si>
    <t>Rare-earth oxide.</t>
  </si>
  <si>
    <t>* NB 2007. Deposits that can be mined for $130/kg or less. From 'Red Book' published by OECD Nuclear Energy Agency (NEA) and the International Atomic Energy Agency (IAEA)</t>
  </si>
  <si>
    <t>Production remains static</t>
  </si>
  <si>
    <t>BP Statistical Review of World Energy 2010</t>
  </si>
  <si>
    <t>barrels</t>
  </si>
  <si>
    <t>Chromium</t>
  </si>
  <si>
    <t>Years remaining (2)</t>
  </si>
  <si>
    <t>Sources</t>
  </si>
  <si>
    <t>However, Beijing has imposed a production cap of 93,800 metric tonnes for 2011 and said it will cut exports of the materials by 10% this year. That means the world is heading for a demand-supply imbalance.</t>
  </si>
  <si>
    <t>-</t>
  </si>
  <si>
    <t>US Geological Survey</t>
  </si>
  <si>
    <t>http://www.adroitresources.ca/properties/antimony-shortage.html</t>
  </si>
  <si>
    <t>Reserves</t>
  </si>
  <si>
    <t>http://minerals.usgs.gov/minerals/pubs/commodity/phosphate_rock/</t>
  </si>
  <si>
    <t>Where known. Most recent year for which figures available.</t>
  </si>
  <si>
    <t>Silver</t>
  </si>
  <si>
    <t xml:space="preserve">Potentially misleading as 85% of gold ever mined is still in circulation (USGS), so mine production accounts for only a very small proportion of the gold supply. </t>
  </si>
  <si>
    <t>Graphite</t>
  </si>
  <si>
    <t>http://www.gold.org/investment/statistics/demand_and_supply_statistics/</t>
  </si>
  <si>
    <t>Smelter production.</t>
  </si>
  <si>
    <t>Annual production</t>
  </si>
  <si>
    <t>According to Matt Robinson of Moody's Analytics, "Japanese manufacturers are developing motors for hybrid cars and air conditioners that no longer rely on rare earth metals in the production process."</t>
  </si>
  <si>
    <t>Mine production.</t>
  </si>
  <si>
    <t>Years remaining (1)</t>
  </si>
  <si>
    <t>Mine production, phosphate rock.</t>
  </si>
  <si>
    <t>hybrid cars, wind turbines</t>
  </si>
  <si>
    <t>http://en.wikipedia.org/wiki/Cadmium</t>
  </si>
  <si>
    <t>Mine production. Marketable chromite ore. Est.</t>
  </si>
  <si>
    <t>Cobalt</t>
  </si>
  <si>
    <t>2003-04</t>
  </si>
  <si>
    <t>http://www.world-nuclear.org/info/inf23.html</t>
  </si>
  <si>
    <t>US Geological Survey, Adroit Resources (world consumption).</t>
  </si>
  <si>
    <t>plating, paint</t>
  </si>
  <si>
    <t>Remaining reserves 2010</t>
  </si>
  <si>
    <t>At end 2009</t>
  </si>
  <si>
    <t>http://minerals.usgs.gov/minerals/pubs/commodity/lead/</t>
  </si>
  <si>
    <t>http://www.vaclavsmil.com/wp-content/uploads/docs/smil-article-2000-aree2000-2.pdf</t>
  </si>
  <si>
    <t>Note</t>
  </si>
  <si>
    <t>USGS commodity summary. Disputed</t>
  </si>
  <si>
    <t>Mine production. Reduction from '09 figures due to China reducing its production to curb illegal mining and pollution</t>
  </si>
  <si>
    <t>drugs, batteries, fire retardants</t>
  </si>
  <si>
    <t>Mean annual consumption growth</t>
  </si>
  <si>
    <t>Link</t>
  </si>
  <si>
    <t>Assuming current production trends continue, with recycling extending mineral resource by 25%. Rounded to nearest year.</t>
  </si>
  <si>
    <t>Mine production, titanium mineral concentrates.</t>
  </si>
  <si>
    <t>New Scientist graphic</t>
  </si>
  <si>
    <t>http://minerals.usgs.gov/minerals/pubs/commodity/titanium/</t>
  </si>
  <si>
    <t>2006-07</t>
  </si>
  <si>
    <t>Tin</t>
  </si>
  <si>
    <t>All figures worldwide.</t>
  </si>
  <si>
    <t>NB mineral calculations based on production, fossil fuels on actual consumption</t>
  </si>
  <si>
    <t>Nature Geoscience</t>
  </si>
  <si>
    <t>http://www.bp.com/liveassets/bp_internet/globalbp/globalbp_uk_english/reports_and_publications/statistical_energy_review_2008/STAGING/local_assets/2010_downloads/statistical_review_of_world_energy_full_report_2010.pdf</t>
  </si>
  <si>
    <t>Armin Reller is a Professor of Physics/Resource Strategy at the University of Augsburg</t>
  </si>
  <si>
    <t>Nickel</t>
  </si>
  <si>
    <t>http://minerals.usgs.gov/minerals/pubs/commodity/nickel/</t>
  </si>
  <si>
    <t>Oil</t>
  </si>
  <si>
    <t>http://pulse2.com/wp-content/uploads/2010/01/how-long-will-it-last.jpg</t>
  </si>
  <si>
    <t>BBC rare earths video. It takes 300m2 of topsoil to produce one tonne of rare earths.</t>
  </si>
  <si>
    <t>Cadmium</t>
  </si>
  <si>
    <t>bandages, medals, jewellery</t>
  </si>
  <si>
    <t>http://minerals.usgs.gov/minerals/pubs/commodity/gold/mcs-2011-gold.pdf</t>
  </si>
  <si>
    <t>Data only available 2003-</t>
  </si>
  <si>
    <t>USGS, Roskill Nickel Report</t>
  </si>
  <si>
    <t>http://minerals.usgs.gov/minerals/pubs/commodity/antimony/</t>
  </si>
  <si>
    <t>Production and consumption figures converted to annual figures by multiplying by 365, or 366 if leap year (2000, 2004, 2008).</t>
  </si>
  <si>
    <t>cubic metres</t>
  </si>
  <si>
    <t>http://www.itri.co.uk/pooled/articles/BF_NEWSART/view.asp?Q=BF_NEWSART_322127</t>
  </si>
  <si>
    <t>coins, plating</t>
  </si>
  <si>
    <t>Minimum. Shipping-grade chromite ore, 45% chromium oxide.</t>
  </si>
  <si>
    <t>Mineral</t>
  </si>
  <si>
    <t>Notes</t>
  </si>
  <si>
    <t>Mine production</t>
  </si>
  <si>
    <t>Source</t>
  </si>
  <si>
    <t>iron &amp; steel production, dry cell batteries</t>
  </si>
  <si>
    <t>brass, wires, piping</t>
  </si>
  <si>
    <t>http://www.bbc.co.uk/news/world-asia-pacific-13777439</t>
  </si>
  <si>
    <t>Maybe also leave out - very high levels of recycling.</t>
  </si>
  <si>
    <t>http://www.wzu.uni-augsburg.de/team/vorstand/reller/ and http://www-3.physik.uni-augsburg.de/de/lehrstuehle/rst/</t>
  </si>
  <si>
    <t>http://www.bbc.co.uk/news/world-asia-pacific-14009910</t>
  </si>
  <si>
    <t>http://minerals.usgs.gov/minerals/pubs/commodity/manganese/</t>
  </si>
  <si>
    <t>http://www.ilzsg.org/static/statistics.aspx?from=1</t>
  </si>
  <si>
    <t>http://minerals.usgs.gov/minerals/pubs/commodity/zinc/</t>
  </si>
  <si>
    <t>Production continues to grow at current rates</t>
  </si>
  <si>
    <t>All figures worldwide and in metric tons (tonnes). No provision made for changes in demand caused by new technologies, discoveries of new reserves or market forces (e.g. as they act on reserve sizes).</t>
  </si>
  <si>
    <t>300m2/1 tonne</t>
  </si>
  <si>
    <t>2004-05</t>
  </si>
  <si>
    <t>Demand may be different to supply: it declined by 5.6% 2006-07 and 3.4% 2007-08 (Roskill)</t>
  </si>
  <si>
    <t>Zinc</t>
  </si>
  <si>
    <t>http://www.nature.com/ngeo/journal/vaop/ncurrent/full/ngeo1185.html</t>
  </si>
  <si>
    <t>rechargeable batteries, tv screens</t>
  </si>
  <si>
    <t>fuel</t>
  </si>
  <si>
    <t>http://minerals.usgs.gov/minerals/pubs/commodity/cadmium/</t>
  </si>
  <si>
    <t>http://minerals.usgs.gov/minerals/pubs/commodity/chromium/</t>
  </si>
  <si>
    <t>fertilizer, pesticides, matches</t>
  </si>
  <si>
    <t>http://www.icsg.org/</t>
  </si>
  <si>
    <t>armour, aircraft parts, electrical contacts, industrial motors and filaments</t>
  </si>
  <si>
    <t>fuel cells, catalytic converters, more jewellery</t>
  </si>
  <si>
    <t>Titanium</t>
  </si>
  <si>
    <t>IMPORTANT: recycling rates vary from resource to resource (0-70%). The maths is super-complicated and frankly beyond us</t>
  </si>
  <si>
    <t>Refined tin. Est. 2010</t>
  </si>
  <si>
    <t>USGS, ITRI</t>
  </si>
  <si>
    <t>&gt;95%</t>
  </si>
  <si>
    <t xml:space="preserve">"The deposits have a heavy concentration of rare earths. Just one square kilometre (0.4 square mile) of deposits will be able to provide one-fifth of the current global annual consumption," said Yasuhiro Kato, an associate professor of earth science at the University of Tokyo. </t>
  </si>
  <si>
    <t>Natural gas</t>
  </si>
  <si>
    <t>bullets, car batteries</t>
  </si>
  <si>
    <t>2009-10</t>
  </si>
  <si>
    <t>Refinery production.</t>
  </si>
  <si>
    <t>Years remaining</t>
  </si>
  <si>
    <t>Production</t>
  </si>
  <si>
    <t>Calculated as a percentage of zinc reserves (byproduct of zinc).</t>
  </si>
  <si>
    <t>Aluminium</t>
  </si>
  <si>
    <t>93,800 tonnes/year production cap</t>
  </si>
  <si>
    <t>TVs, computer monitors, fluorescent lights, x-ray screens</t>
  </si>
  <si>
    <t>Rare earth minerals recently discovered by the Japanese in the mud of the Pacific Ocean floor</t>
  </si>
  <si>
    <t>transportation, packaging, construction, electronics</t>
  </si>
  <si>
    <t>http://minerals.usgs.gov/minerals/pubs/commodity/antimony/antimmcs07.pdf</t>
  </si>
  <si>
    <t>Based on 10 years 1999-2009</t>
  </si>
  <si>
    <t>Platinum-group metals incl. palladium, rhodium etc.</t>
  </si>
  <si>
    <t>jewellery, bullion</t>
  </si>
  <si>
    <t>http://minerals.usgs.gov/minerals/pubs/commodity/aluminum/</t>
  </si>
  <si>
    <t>http://minerals.usgs.gov/minerals/pubs/commodity/gold/gold_mcs07.pdf</t>
  </si>
  <si>
    <t>http://minerals.usgs.gov/minerals/pubs/commodity/silver/</t>
  </si>
  <si>
    <t>2000-2001</t>
  </si>
  <si>
    <t>As decimal</t>
  </si>
  <si>
    <t>metalworking, mining, construction, lighting, electronics</t>
  </si>
  <si>
    <t>2001-02</t>
  </si>
  <si>
    <t>Molybdenum</t>
  </si>
  <si>
    <t>Comment</t>
  </si>
  <si>
    <t>musical instruments</t>
  </si>
  <si>
    <t>Link 2</t>
  </si>
  <si>
    <t>Link 3</t>
  </si>
  <si>
    <t>Tom Graedel is a Professor of Industrial Ecology, Professor of Chemical Engineering, Professor of Geology and Geophysics, and Director of the Center for Industrial Ecology at the University of Yale</t>
  </si>
  <si>
    <t>Production, last 10 years (tonnes)</t>
  </si>
  <si>
    <t xml:space="preserve">Gas </t>
  </si>
  <si>
    <t>Mine production. NB Lead and Zinc Study Group: 12,320,000. Metal production 12,863,000</t>
  </si>
  <si>
    <t>125-130,000 tonnes/year, rising to 200,000 by 2014</t>
  </si>
  <si>
    <t xml:space="preserve">Over the past decade the demand for rare earth metals has seen a three-fold increase to 125,000 metric tons a year [NB est. production 2010 130,000 tonnes, according to USGS figures used for our analysis]. According to analysts, the figure could cross 200,000 tons by 2014. </t>
  </si>
  <si>
    <t>2005-06</t>
  </si>
  <si>
    <t>* NB 2007 - most recent year for which reserve estimates available</t>
  </si>
  <si>
    <t>Yttrium</t>
  </si>
  <si>
    <t>tonnes of oil equivalent (toe)</t>
  </si>
  <si>
    <t>Unit</t>
  </si>
  <si>
    <t>"Sources for this graphic: Armin Reller, Augsburg University; Tom Graedel, Yale"</t>
  </si>
  <si>
    <t>pencils, steelmaking, brake linings, lubricants</t>
  </si>
  <si>
    <t>alloys, blue dye</t>
  </si>
  <si>
    <t>Platinum</t>
  </si>
  <si>
    <t>food cans, industry</t>
  </si>
  <si>
    <t>Primary source for BBC Japanese rare earths story</t>
  </si>
  <si>
    <t>2002-03</t>
  </si>
  <si>
    <t>touch screens, solar panels, LCD screens</t>
  </si>
  <si>
    <t>http://www.mmta.co.uk/uploaded_files/CadmiumMJ.pdf</t>
  </si>
  <si>
    <t>Tantalum</t>
  </si>
  <si>
    <t>http://www.agci.org/dB/PDFs/09S2_TCrews_StoryofP.pdf</t>
  </si>
  <si>
    <t>China is currently the biggest producer of these elements, with more than 95% share of the global market. However, it has been playing hardball by tightening its policies in the sector and implementing strict export quotas.</t>
  </si>
  <si>
    <t>Assuming current production trends continue. Calculated using formula T = ln(rn+1) / r where T is time, r is growth rate and n is reserves/production. Rounded to nearest year.</t>
  </si>
  <si>
    <t>1999-2000</t>
  </si>
  <si>
    <t>2007-08</t>
  </si>
  <si>
    <t>International Lead and Zinc Study Group, USGS</t>
  </si>
  <si>
    <t>Probably overestimated. Platinum alone reserve estimate not available so platinum group metals figure used.</t>
  </si>
  <si>
    <t>Stat</t>
  </si>
  <si>
    <t>Assuming current production trends continue, but no recycling. Calculated using formula T = ln(rn+1) / r where T is time, r is growth rate and n is reserves/production. Rounded to nearest year.</t>
  </si>
  <si>
    <t>Indium</t>
  </si>
  <si>
    <t>Sources (minerals): US Geological Survey, Adroit Resources, World Bureau of Metal Statistics, International Copper Study Group, World Gold Council, Minormetals.com, Roskill Nickel Report, Cordell et al (2009), Smil (2000), Silver Institute, World Nuclear Association, International Lead and Zinc Study Group, Wikipedia. Source (fossil fuels): BP Statistical Review of World Energy 2010.</t>
  </si>
  <si>
    <t>Mine production, platinum only</t>
  </si>
  <si>
    <t>http://minerals.usgs.gov/minerals/pubs/commodity/copper/</t>
  </si>
  <si>
    <t>Titanium mineral concentrates</t>
  </si>
  <si>
    <t>Mean annual production growth</t>
  </si>
  <si>
    <t>http://www.minormetals.com/scoop/?id=891&amp;v=0&amp;lang=en&amp;cid=66951&amp;type=1</t>
  </si>
  <si>
    <t>NB old estimate (2004)</t>
  </si>
  <si>
    <t>15 lanthanides plus scandium and yttrium</t>
  </si>
  <si>
    <t>Tokyo announced a deal with Mongolia, where Japanese firms will assist the search and production of country's rare earth resources. It also said it will subsidise the mining of rare earth metals in mineral-rich Kazakhstan. Earlier this year, Japan's Nippon Steel and South Korea's Posco and National Pension Service took up a share of a Brazilian rare metal mining company in a bid to secure supplies.</t>
  </si>
  <si>
    <t>What</t>
  </si>
  <si>
    <t>The minerals were found at depths of 3,500 to 6,000 metres (11,500-20,000 ft) below the ocean surface.</t>
  </si>
  <si>
    <t>USGS; Cordell et al (2009); Smil (2000)</t>
  </si>
  <si>
    <t>At 2009 consumption levels, assuming no new reserves discovered and demand static.</t>
  </si>
  <si>
    <t>aircraft, armour</t>
  </si>
  <si>
    <t>US Geological Survey, Wikipedia, World Bureau of Metal Statistics</t>
  </si>
  <si>
    <t xml:space="preserve">Rare earths </t>
  </si>
  <si>
    <t>Year unknown.</t>
  </si>
  <si>
    <t>nuclear weapons</t>
  </si>
  <si>
    <t>World Nuclear News, World Nuclear Association</t>
  </si>
  <si>
    <t>World Gold Council, USGS</t>
  </si>
  <si>
    <t>1km2 = 20% of current global consumption</t>
  </si>
  <si>
    <t>USGS, Minormetals.com</t>
  </si>
  <si>
    <t>Manganese</t>
  </si>
  <si>
    <t>Fuel</t>
  </si>
  <si>
    <t>Years 100bn tonnes of rare earths would last the world, assuming production continues to grow at 4.79% a year (but no recycling)</t>
  </si>
  <si>
    <t>http://minerals.usgs.gov/minerals/pubs/commodity/molybdenum/index.html#mcs</t>
  </si>
  <si>
    <t>Column C: Minerals reserves worldwide in metric tonnes; fossil fuel reserves worldwide in barrels for oil, cubic metres for gas, tonnes of oil equivalent for coal.
Columns D &amp; E: Worldwide, rounded to nearest year, based on known reserves currently economic to extract. No provision made for changes in demand caused by new technologies, discoveries of new reserves or market forces (e.g. as they act on reserve sizes).</t>
  </si>
  <si>
    <t>http://minerals.usgs.gov/minerals/pubs/commodity/cobalt/index.html#mcs</t>
  </si>
  <si>
    <t>http://minerals.usgs.gov/minerals/pubs/commodity/rare_earths/</t>
  </si>
  <si>
    <t>3,500-6,000m depth</t>
  </si>
  <si>
    <t>Annual consumption</t>
  </si>
  <si>
    <t>2008-09</t>
  </si>
  <si>
    <t>iron &amp; steel, dry cell batteries</t>
  </si>
  <si>
    <t>http://minerals.usgs.gov/minerals/pubs/commodity/indium/</t>
  </si>
  <si>
    <t>Used for</t>
  </si>
  <si>
    <t>Est. Antimony trioxide. (2010)</t>
  </si>
  <si>
    <t>Antimony</t>
  </si>
  <si>
    <t>Phosphate rock.</t>
  </si>
  <si>
    <t>http://minerals.usgs.gov/minerals/pubs/commodity/tin/</t>
  </si>
  <si>
    <t>International Copper Study Group, USGS</t>
  </si>
  <si>
    <t>Yttrium oxide</t>
  </si>
  <si>
    <t>http://www.world-nuclear-news.org/ENF_Exploration_drives_uranium_resources_up_17_0206082.html</t>
  </si>
  <si>
    <t>Our calculations</t>
  </si>
  <si>
    <t>http://www.bbc.co.uk/news/business-14455224</t>
  </si>
  <si>
    <t>Consumption, last 10 years (given units)</t>
  </si>
  <si>
    <t>http://environment.yale.edu/profile/graedel/</t>
  </si>
  <si>
    <t>All 2010 except where noted. Est. known reserves currently economic to extract. For definition of 'reserves', see Appendix C of http://minerals.usgs.gov/minerals/pubs/mcs/2011/mcsapp2011.pdf</t>
  </si>
  <si>
    <t>Coal</t>
  </si>
  <si>
    <t>Tungsten</t>
  </si>
  <si>
    <t>http://www.roskill.com/reports/steel-alloys/nickel</t>
  </si>
  <si>
    <t>http://minerals.usgs.gov/minerals/pubs/commodity/platinum/</t>
  </si>
  <si>
    <t>Proved reserves</t>
  </si>
  <si>
    <t xml:space="preserve">Coal </t>
  </si>
  <si>
    <t>Uranium</t>
  </si>
  <si>
    <t>est. 100bn tonnes</t>
  </si>
  <si>
    <t>USGS</t>
  </si>
  <si>
    <t xml:space="preserve">China's halt of exports to Japan during a territorial dispute last year didn't help either. Amidst tensions over islands claimed by both Japan and China, Japanese companies reported that China had halted shipments of rare earths minerals. That instigated panic amongst the Japanese manufacturers, who need these materials to produce everything from smartphones to flatscreens and hybrid cars. Japan which is the biggest buyer of rare earth materials and accounts for 65% of Chinese exports, reacted by seeking alternate sources of supply.
</t>
  </si>
  <si>
    <t xml:space="preserve">Oil </t>
  </si>
  <si>
    <t>mobile phones</t>
  </si>
  <si>
    <t>http://www.silverinstitute.org/supply_demand.php#demand</t>
  </si>
  <si>
    <t>2010, est.</t>
  </si>
  <si>
    <t>Annual % growth, last 10 years</t>
  </si>
  <si>
    <t>Mine production, yttrium oxide</t>
  </si>
  <si>
    <t>2000-01</t>
  </si>
  <si>
    <t>Analysts say the Pacific discovery could challenge China's dominance, if recovering the minerals from the seabed proves commercially viable.</t>
  </si>
  <si>
    <t>http://minerals.usgs.gov/minerals/pubs/commodity/tungsten/</t>
  </si>
  <si>
    <t>Mine production, rare-earth oxide.</t>
  </si>
  <si>
    <t>Reserve in Billion Metric Tonnes</t>
  </si>
  <si>
    <t>HIGHLY RESERVE ()</t>
  </si>
  <si>
    <t>SUPER HIGHLY RESERVE ()</t>
  </si>
  <si>
    <t>Reserve in Million Metric Tonnes</t>
  </si>
  <si>
    <t>NORMAL RESERVE ()</t>
  </si>
  <si>
    <t>AVERAGE RESERVE ()</t>
  </si>
  <si>
    <t>Reserve in Thousand Metric Tonnes</t>
  </si>
  <si>
    <t>LOW RESERVE ()</t>
  </si>
  <si>
    <t>SUPER HIGHLY RESERVE</t>
  </si>
  <si>
    <t>HIGHLY RESERVE</t>
  </si>
  <si>
    <t>NORMAL RESERVE</t>
  </si>
  <si>
    <t>AVERAGE RESERVE</t>
  </si>
  <si>
    <t>LOW RESERVE</t>
  </si>
  <si>
    <t>LOWEST RESERVE ()</t>
  </si>
  <si>
    <t>LOWEST RESERVE</t>
  </si>
  <si>
    <r>
      <t xml:space="preserve">Reserve in </t>
    </r>
    <r>
      <rPr>
        <b/>
        <u/>
        <sz val="12"/>
        <rFont val="Calibri"/>
        <family val="2"/>
        <scheme val="minor"/>
      </rPr>
      <t>Billion</t>
    </r>
    <r>
      <rPr>
        <b/>
        <sz val="12"/>
        <color theme="1" tint="0.34998626667073579"/>
        <rFont val="Calibri"/>
        <family val="2"/>
        <scheme val="minor"/>
      </rPr>
      <t xml:space="preserve"> Metric Tonnes</t>
    </r>
  </si>
  <si>
    <r>
      <t>Reserve in</t>
    </r>
    <r>
      <rPr>
        <b/>
        <sz val="12"/>
        <rFont val="Calibri"/>
        <family val="2"/>
        <scheme val="minor"/>
      </rPr>
      <t xml:space="preserve"> </t>
    </r>
    <r>
      <rPr>
        <b/>
        <u/>
        <sz val="12"/>
        <rFont val="Calibri"/>
        <family val="2"/>
        <scheme val="minor"/>
      </rPr>
      <t>Billion</t>
    </r>
    <r>
      <rPr>
        <b/>
        <sz val="12"/>
        <color theme="1" tint="0.34998626667073579"/>
        <rFont val="Calibri"/>
        <family val="2"/>
        <scheme val="minor"/>
      </rPr>
      <t xml:space="preserve"> Metric Tonnes</t>
    </r>
  </si>
  <si>
    <r>
      <t xml:space="preserve">Reserve in </t>
    </r>
    <r>
      <rPr>
        <b/>
        <u/>
        <sz val="12"/>
        <rFont val="Calibri"/>
        <family val="2"/>
        <scheme val="minor"/>
      </rPr>
      <t>Million</t>
    </r>
    <r>
      <rPr>
        <b/>
        <sz val="12"/>
        <color theme="1" tint="0.34998626667073579"/>
        <rFont val="Calibri"/>
        <family val="2"/>
        <scheme val="minor"/>
      </rPr>
      <t xml:space="preserve"> Metric Tonnes</t>
    </r>
  </si>
  <si>
    <r>
      <t xml:space="preserve">Reserve in </t>
    </r>
    <r>
      <rPr>
        <b/>
        <u/>
        <sz val="11"/>
        <rFont val="Calibri"/>
        <family val="2"/>
        <scheme val="minor"/>
      </rPr>
      <t>Million</t>
    </r>
    <r>
      <rPr>
        <b/>
        <sz val="11"/>
        <color theme="1" tint="0.34998626667073579"/>
        <rFont val="Calibri"/>
        <family val="2"/>
        <scheme val="minor"/>
      </rPr>
      <t xml:space="preserve"> Metric Tonnes</t>
    </r>
  </si>
  <si>
    <r>
      <t xml:space="preserve">Reserve in </t>
    </r>
    <r>
      <rPr>
        <b/>
        <u/>
        <sz val="11"/>
        <rFont val="Calibri"/>
        <family val="2"/>
        <scheme val="minor"/>
      </rPr>
      <t>Thousand</t>
    </r>
    <r>
      <rPr>
        <b/>
        <sz val="11"/>
        <color theme="1" tint="0.34998626667073579"/>
        <rFont val="Calibri"/>
        <family val="2"/>
        <scheme val="minor"/>
      </rPr>
      <t xml:space="preserve"> Metric Tonnes</t>
    </r>
  </si>
  <si>
    <t>Rare Earths</t>
  </si>
  <si>
    <t>Rare earths</t>
  </si>
  <si>
    <t>Years Remaining</t>
  </si>
  <si>
    <t>WORLD'S NON RENEWABLE RESOURCES DASHBOARD</t>
  </si>
  <si>
    <t>03158988911</t>
  </si>
  <si>
    <t>Raheel Rupani</t>
  </si>
  <si>
    <t>raheelrupani@gmail.com</t>
  </si>
  <si>
    <t>raheel@dmatrixsolutions.com</t>
  </si>
  <si>
    <t>www.linkedin.com/in/raheelrupani</t>
  </si>
  <si>
    <t>www.youtube.com/c/raheelrupani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</si>
</sst>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0,,,\ &quot;B&quot;"/>
    <numFmt numFmtId="165" formatCode="0.0"/>
    <numFmt numFmtId="166" formatCode="_(* #,##0_);_(* \(#,##0\);_(* &quot;-&quot;??_);_(@_)"/>
  </numFmts>
  <fonts count="38" x14ac:knownFonts="1">
    <font>
      <sz val="10"/>
      <name val="Arial"/>
      <family val="2"/>
    </font>
    <font>
      <b/>
      <sz val="9"/>
      <name val="Arial"/>
      <family val="2"/>
    </font>
    <font>
      <b/>
      <sz val="9"/>
      <color indexed="22"/>
      <name val="Arial"/>
      <family val="2"/>
    </font>
    <font>
      <sz val="9"/>
      <color indexed="22"/>
      <name val="Arial"/>
      <family val="2"/>
    </font>
    <font>
      <sz val="9"/>
      <name val="Arial"/>
      <family val="2"/>
    </font>
    <font>
      <b/>
      <sz val="9"/>
      <color indexed="23"/>
      <name val="Arial"/>
      <family val="2"/>
    </font>
    <font>
      <sz val="9"/>
      <color indexed="18"/>
      <name val="Arial"/>
      <family val="2"/>
    </font>
    <font>
      <sz val="9"/>
      <color indexed="13"/>
      <name val="Arial"/>
      <family val="2"/>
    </font>
    <font>
      <sz val="9"/>
      <color indexed="17"/>
      <name val="Arial"/>
      <family val="2"/>
    </font>
    <font>
      <b/>
      <sz val="10"/>
      <name val="Arial"/>
      <family val="2"/>
    </font>
    <font>
      <b/>
      <sz val="10"/>
      <color indexed="17"/>
      <name val="Arial"/>
      <family val="2"/>
    </font>
    <font>
      <b/>
      <sz val="10"/>
      <color indexed="55"/>
      <name val="Arial"/>
      <family val="2"/>
    </font>
    <font>
      <sz val="8"/>
      <name val="Arial"/>
      <family val="2"/>
    </font>
    <font>
      <sz val="8"/>
      <color indexed="17"/>
      <name val="Arial"/>
      <family val="2"/>
    </font>
    <font>
      <sz val="8"/>
      <color indexed="55"/>
      <name val="Arial"/>
      <family val="2"/>
    </font>
    <font>
      <sz val="10"/>
      <color indexed="17"/>
      <name val="Arial"/>
      <family val="2"/>
    </font>
    <font>
      <sz val="10"/>
      <color indexed="55"/>
      <name val="Arial"/>
      <family val="2"/>
    </font>
    <font>
      <b/>
      <sz val="10"/>
      <color indexed="13"/>
      <name val="Arial"/>
      <family val="2"/>
    </font>
    <font>
      <b/>
      <sz val="10"/>
      <color indexed="23"/>
      <name val="Arial"/>
      <family val="2"/>
    </font>
    <font>
      <sz val="8"/>
      <color indexed="23"/>
      <name val="Arial"/>
      <family val="2"/>
    </font>
    <font>
      <sz val="10"/>
      <color indexed="23"/>
      <name val="Arial"/>
      <family val="2"/>
    </font>
    <font>
      <sz val="14"/>
      <name val="Arial"/>
      <family val="2"/>
    </font>
    <font>
      <b/>
      <sz val="14"/>
      <name val="Arial"/>
      <family val="2"/>
    </font>
    <font>
      <b/>
      <sz val="12"/>
      <name val="Arial"/>
      <family val="2"/>
    </font>
    <font>
      <b/>
      <sz val="12"/>
      <name val="Calibri"/>
      <family val="2"/>
      <scheme val="minor"/>
    </font>
    <font>
      <b/>
      <sz val="18"/>
      <color theme="1" tint="0.249977111117893"/>
      <name val="Calibri"/>
      <family val="2"/>
      <scheme val="minor"/>
    </font>
    <font>
      <b/>
      <sz val="12"/>
      <color theme="1" tint="0.34998626667073579"/>
      <name val="Calibri"/>
      <family val="2"/>
      <scheme val="minor"/>
    </font>
    <font>
      <b/>
      <sz val="11"/>
      <color theme="1" tint="0.34998626667073579"/>
      <name val="Calibri"/>
      <family val="2"/>
      <scheme val="minor"/>
    </font>
    <font>
      <sz val="20"/>
      <name val="Tahoma"/>
      <family val="2"/>
    </font>
    <font>
      <b/>
      <u/>
      <sz val="12"/>
      <name val="Calibri"/>
      <family val="2"/>
      <scheme val="minor"/>
    </font>
    <font>
      <b/>
      <u/>
      <sz val="11"/>
      <name val="Calibri"/>
      <family val="2"/>
      <scheme val="minor"/>
    </font>
    <font>
      <sz val="11"/>
      <name val="Arial"/>
      <family val="2"/>
    </font>
    <font>
      <sz val="16"/>
      <name val="Arial"/>
      <family val="2"/>
    </font>
    <font>
      <b/>
      <sz val="11"/>
      <name val="Arial"/>
      <family val="2"/>
    </font>
    <font>
      <sz val="10"/>
      <name val="Arial"/>
      <family val="2"/>
    </font>
    <font>
      <sz val="8"/>
      <color indexed="81"/>
      <name val="Tahoma"/>
      <family val="2"/>
    </font>
    <font>
      <b/>
      <sz val="8"/>
      <color indexed="81"/>
      <name val="Tahoma"/>
      <family val="2"/>
    </font>
    <font>
      <u/>
      <sz val="10"/>
      <color theme="10"/>
      <name val="Arial"/>
      <family val="2"/>
    </font>
  </fonts>
  <fills count="14">
    <fill>
      <patternFill patternType="none"/>
    </fill>
    <fill>
      <patternFill patternType="gray125"/>
    </fill>
    <fill>
      <patternFill patternType="solid">
        <fgColor indexed="19"/>
        <bgColor indexed="64"/>
      </patternFill>
    </fill>
    <fill>
      <patternFill patternType="solid">
        <fgColor indexed="22"/>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7" tint="0.59999389629810485"/>
        <bgColor indexed="64"/>
      </patternFill>
    </fill>
  </fills>
  <borders count="73">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top style="thin">
        <color theme="0" tint="-0.14996795556505021"/>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style="thin">
        <color theme="0" tint="-0.14996795556505021"/>
      </left>
      <right/>
      <top/>
      <bottom style="medium">
        <color theme="0" tint="-0.14993743705557422"/>
      </bottom>
      <diagonal/>
    </border>
    <border>
      <left/>
      <right/>
      <top/>
      <bottom style="medium">
        <color theme="0" tint="-0.14993743705557422"/>
      </bottom>
      <diagonal/>
    </border>
    <border>
      <left/>
      <right/>
      <top style="medium">
        <color theme="0" tint="-0.14993743705557422"/>
      </top>
      <bottom/>
      <diagonal/>
    </border>
    <border>
      <left style="medium">
        <color theme="6" tint="0.59996337778862885"/>
      </left>
      <right/>
      <top style="medium">
        <color theme="0" tint="-0.14993743705557422"/>
      </top>
      <bottom/>
      <diagonal/>
    </border>
    <border>
      <left/>
      <right style="medium">
        <color theme="6" tint="0.59996337778862885"/>
      </right>
      <top style="medium">
        <color theme="0" tint="-0.14993743705557422"/>
      </top>
      <bottom/>
      <diagonal/>
    </border>
    <border>
      <left style="medium">
        <color theme="6" tint="0.59996337778862885"/>
      </left>
      <right/>
      <top/>
      <bottom/>
      <diagonal/>
    </border>
    <border>
      <left/>
      <right style="medium">
        <color theme="6" tint="0.59996337778862885"/>
      </right>
      <top/>
      <bottom/>
      <diagonal/>
    </border>
    <border>
      <left style="medium">
        <color theme="6" tint="0.59996337778862885"/>
      </left>
      <right/>
      <top/>
      <bottom style="medium">
        <color theme="6" tint="0.59996337778862885"/>
      </bottom>
      <diagonal/>
    </border>
    <border>
      <left/>
      <right/>
      <top/>
      <bottom style="medium">
        <color theme="6" tint="0.59996337778862885"/>
      </bottom>
      <diagonal/>
    </border>
    <border>
      <left/>
      <right style="medium">
        <color theme="6" tint="0.59996337778862885"/>
      </right>
      <top/>
      <bottom style="medium">
        <color theme="6" tint="0.59996337778862885"/>
      </bottom>
      <diagonal/>
    </border>
    <border>
      <left/>
      <right style="medium">
        <color theme="9" tint="0.59996337778862885"/>
      </right>
      <top style="medium">
        <color theme="0" tint="-0.14993743705557422"/>
      </top>
      <bottom/>
      <diagonal/>
    </border>
    <border>
      <left/>
      <right style="medium">
        <color theme="9" tint="0.59996337778862885"/>
      </right>
      <top/>
      <bottom/>
      <diagonal/>
    </border>
    <border>
      <left style="medium">
        <color theme="6" tint="0.59996337778862885"/>
      </left>
      <right/>
      <top/>
      <bottom style="medium">
        <color theme="9" tint="0.59996337778862885"/>
      </bottom>
      <diagonal/>
    </border>
    <border>
      <left/>
      <right/>
      <top/>
      <bottom style="medium">
        <color theme="9" tint="0.59996337778862885"/>
      </bottom>
      <diagonal/>
    </border>
    <border>
      <left/>
      <right style="medium">
        <color theme="9" tint="0.59996337778862885"/>
      </right>
      <top/>
      <bottom style="medium">
        <color theme="9" tint="0.59996337778862885"/>
      </bottom>
      <diagonal/>
    </border>
    <border>
      <left style="thin">
        <color theme="0" tint="-0.14996795556505021"/>
      </left>
      <right/>
      <top style="medium">
        <color theme="6" tint="0.59996337778862885"/>
      </top>
      <bottom/>
      <diagonal/>
    </border>
    <border>
      <left/>
      <right/>
      <top style="medium">
        <color theme="6" tint="0.59996337778862885"/>
      </top>
      <bottom/>
      <diagonal/>
    </border>
    <border>
      <left/>
      <right style="medium">
        <color theme="3" tint="0.59996337778862885"/>
      </right>
      <top style="medium">
        <color theme="6" tint="0.59996337778862885"/>
      </top>
      <bottom/>
      <diagonal/>
    </border>
    <border>
      <left/>
      <right style="medium">
        <color theme="3" tint="0.59996337778862885"/>
      </right>
      <top/>
      <bottom/>
      <diagonal/>
    </border>
    <border>
      <left/>
      <right/>
      <top/>
      <bottom style="medium">
        <color theme="3" tint="0.59996337778862885"/>
      </bottom>
      <diagonal/>
    </border>
    <border>
      <left/>
      <right style="medium">
        <color theme="3" tint="0.59996337778862885"/>
      </right>
      <top/>
      <bottom style="medium">
        <color theme="3" tint="0.59996337778862885"/>
      </bottom>
      <diagonal/>
    </border>
    <border>
      <left style="medium">
        <color theme="3" tint="0.59996337778862885"/>
      </left>
      <right/>
      <top style="medium">
        <color theme="9" tint="0.59996337778862885"/>
      </top>
      <bottom/>
      <diagonal/>
    </border>
    <border>
      <left/>
      <right/>
      <top style="medium">
        <color theme="9" tint="0.59996337778862885"/>
      </top>
      <bottom/>
      <diagonal/>
    </border>
    <border>
      <left/>
      <right style="medium">
        <color theme="2" tint="-9.9948118533890809E-2"/>
      </right>
      <top style="medium">
        <color theme="9" tint="0.59996337778862885"/>
      </top>
      <bottom/>
      <diagonal/>
    </border>
    <border>
      <left style="medium">
        <color theme="3" tint="0.59996337778862885"/>
      </left>
      <right/>
      <top/>
      <bottom/>
      <diagonal/>
    </border>
    <border>
      <left/>
      <right style="medium">
        <color theme="2" tint="-9.9948118533890809E-2"/>
      </right>
      <top/>
      <bottom/>
      <diagonal/>
    </border>
    <border>
      <left style="medium">
        <color theme="3" tint="0.59996337778862885"/>
      </left>
      <right/>
      <top/>
      <bottom style="medium">
        <color theme="2" tint="-9.9948118533890809E-2"/>
      </bottom>
      <diagonal/>
    </border>
    <border>
      <left/>
      <right/>
      <top/>
      <bottom style="medium">
        <color theme="2" tint="-9.9948118533890809E-2"/>
      </bottom>
      <diagonal/>
    </border>
    <border>
      <left/>
      <right style="medium">
        <color theme="2" tint="-9.9948118533890809E-2"/>
      </right>
      <top/>
      <bottom style="medium">
        <color theme="2" tint="-9.9948118533890809E-2"/>
      </bottom>
      <diagonal/>
    </border>
    <border>
      <left style="medium">
        <color theme="2" tint="-9.9948118533890809E-2"/>
      </left>
      <right/>
      <top style="medium">
        <color theme="9" tint="0.59996337778862885"/>
      </top>
      <bottom/>
      <diagonal/>
    </border>
    <border>
      <left style="medium">
        <color theme="2" tint="-9.9948118533890809E-2"/>
      </left>
      <right/>
      <top/>
      <bottom/>
      <diagonal/>
    </border>
    <border>
      <left/>
      <right style="medium">
        <color theme="7" tint="0.59996337778862885"/>
      </right>
      <top/>
      <bottom/>
      <diagonal/>
    </border>
    <border>
      <left style="medium">
        <color theme="2" tint="-9.9948118533890809E-2"/>
      </left>
      <right/>
      <top/>
      <bottom style="medium">
        <color theme="7" tint="0.59996337778862885"/>
      </bottom>
      <diagonal/>
    </border>
    <border>
      <left/>
      <right/>
      <top/>
      <bottom style="medium">
        <color theme="7" tint="0.59996337778862885"/>
      </bottom>
      <diagonal/>
    </border>
    <border>
      <left/>
      <right style="medium">
        <color theme="7" tint="0.59996337778862885"/>
      </right>
      <top/>
      <bottom style="medium">
        <color theme="7" tint="0.59996337778862885"/>
      </bottom>
      <diagonal/>
    </border>
    <border>
      <left/>
      <right/>
      <top style="thin">
        <color theme="0" tint="-0.499984740745262"/>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medium">
        <color theme="8" tint="0.39994506668294322"/>
      </right>
      <top style="medium">
        <color theme="9" tint="0.59996337778862885"/>
      </top>
      <bottom/>
      <diagonal/>
    </border>
    <border>
      <left/>
      <right style="medium">
        <color theme="8" tint="0.39994506668294322"/>
      </right>
      <top/>
      <bottom/>
      <diagonal/>
    </border>
    <border>
      <left style="medium">
        <color theme="2" tint="-9.9948118533890809E-2"/>
      </left>
      <right/>
      <top/>
      <bottom style="medium">
        <color theme="8" tint="0.39994506668294322"/>
      </bottom>
      <diagonal/>
    </border>
    <border>
      <left/>
      <right/>
      <top/>
      <bottom style="medium">
        <color theme="8" tint="0.39994506668294322"/>
      </bottom>
      <diagonal/>
    </border>
    <border>
      <left/>
      <right style="medium">
        <color theme="8" tint="0.39994506668294322"/>
      </right>
      <top/>
      <bottom style="medium">
        <color theme="8" tint="0.3999450666829432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medium">
        <color theme="0" tint="-0.24994659260841701"/>
      </right>
      <top style="thin">
        <color theme="0" tint="-0.14996795556505021"/>
      </top>
      <bottom/>
      <diagonal/>
    </border>
    <border>
      <left/>
      <right style="medium">
        <color theme="0" tint="-0.24994659260841701"/>
      </right>
      <top/>
      <bottom/>
      <diagonal/>
    </border>
    <border>
      <left/>
      <right style="medium">
        <color theme="0" tint="-0.24994659260841701"/>
      </right>
      <top/>
      <bottom style="medium">
        <color theme="0" tint="-0.14993743705557422"/>
      </bottom>
      <diagonal/>
    </border>
    <border>
      <left style="medium">
        <color theme="2" tint="-9.9948118533890809E-2"/>
      </left>
      <right/>
      <top style="medium">
        <color theme="8" tint="0.39994506668294322"/>
      </top>
      <bottom/>
      <diagonal/>
    </border>
    <border>
      <left/>
      <right/>
      <top style="medium">
        <color theme="8" tint="0.39994506668294322"/>
      </top>
      <bottom/>
      <diagonal/>
    </border>
    <border>
      <left/>
      <right style="medium">
        <color theme="7" tint="0.59996337778862885"/>
      </right>
      <top style="medium">
        <color theme="8" tint="0.39994506668294322"/>
      </top>
      <bottom/>
      <diagonal/>
    </border>
  </borders>
  <cellStyleXfs count="3">
    <xf numFmtId="0" fontId="0" fillId="0" borderId="0">
      <alignment vertical="center"/>
    </xf>
    <xf numFmtId="43" fontId="34" fillId="0" borderId="0" applyFont="0" applyFill="0" applyBorder="0" applyAlignment="0" applyProtection="0"/>
    <xf numFmtId="0" fontId="37" fillId="0" borderId="0" applyNumberFormat="0" applyFill="0" applyBorder="0" applyAlignment="0" applyProtection="0">
      <alignment vertical="center"/>
    </xf>
  </cellStyleXfs>
  <cellXfs count="219">
    <xf numFmtId="0" fontId="0" fillId="0" borderId="0" xfId="0">
      <alignment vertical="center"/>
    </xf>
    <xf numFmtId="0" fontId="1" fillId="2" borderId="0" xfId="0" applyFont="1" applyFill="1" applyAlignment="1">
      <alignment horizontal="left" vertical="top" wrapText="1"/>
    </xf>
    <xf numFmtId="0" fontId="2" fillId="2" borderId="0" xfId="0" applyFont="1" applyFill="1" applyAlignment="1">
      <alignment horizontal="left" vertical="top" wrapText="1"/>
    </xf>
    <xf numFmtId="3" fontId="1" fillId="3" borderId="0" xfId="0" applyNumberFormat="1" applyFont="1" applyFill="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3" fontId="4" fillId="0" borderId="0" xfId="0" applyNumberFormat="1"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3" fontId="7" fillId="0" borderId="0" xfId="0" applyNumberFormat="1" applyFont="1" applyAlignment="1">
      <alignment horizontal="left" vertical="top" wrapText="1"/>
    </xf>
    <xf numFmtId="0" fontId="8" fillId="0" borderId="0" xfId="0" applyFont="1" applyAlignment="1">
      <alignment horizontal="left" vertical="top" wrapText="1"/>
    </xf>
    <xf numFmtId="4" fontId="1" fillId="0" borderId="0" xfId="0" applyNumberFormat="1" applyFont="1" applyAlignment="1">
      <alignment horizontal="left" vertical="top" wrapText="1"/>
    </xf>
    <xf numFmtId="0" fontId="3" fillId="2" borderId="0" xfId="0" applyFont="1" applyFill="1" applyAlignment="1">
      <alignment horizontal="left" vertical="top" wrapText="1"/>
    </xf>
    <xf numFmtId="3" fontId="4" fillId="2" borderId="0" xfId="0" applyNumberFormat="1" applyFont="1" applyFill="1" applyAlignment="1">
      <alignment horizontal="left" vertical="top" wrapText="1"/>
    </xf>
    <xf numFmtId="0" fontId="4" fillId="2" borderId="0" xfId="0" applyFont="1" applyFill="1" applyAlignment="1">
      <alignment horizontal="left" vertical="top" wrapText="1"/>
    </xf>
    <xf numFmtId="0" fontId="9" fillId="0" borderId="0" xfId="0"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1" fillId="0" borderId="1" xfId="0" applyFont="1" applyBorder="1" applyAlignment="1">
      <alignment horizontal="left" vertical="top" wrapText="1"/>
    </xf>
    <xf numFmtId="0" fontId="9" fillId="0" borderId="2" xfId="0" applyFont="1" applyBorder="1" applyAlignment="1">
      <alignment horizontal="left" vertical="top" wrapText="1"/>
    </xf>
    <xf numFmtId="0" fontId="11" fillId="0" borderId="3" xfId="0" applyFont="1" applyBorder="1" applyAlignment="1">
      <alignment horizontal="left" vertical="top" wrapText="1"/>
    </xf>
    <xf numFmtId="0" fontId="10" fillId="0" borderId="4" xfId="0" applyFont="1" applyBorder="1" applyAlignment="1">
      <alignment horizontal="left" vertical="top" wrapText="1"/>
    </xf>
    <xf numFmtId="0" fontId="11" fillId="0" borderId="2" xfId="0" applyFont="1" applyBorder="1" applyAlignment="1">
      <alignment horizontal="left" vertical="top" wrapText="1"/>
    </xf>
    <xf numFmtId="0" fontId="9" fillId="0" borderId="4" xfId="0" applyFont="1" applyBorder="1" applyAlignment="1">
      <alignment horizontal="left" vertical="top" wrapText="1"/>
    </xf>
    <xf numFmtId="0" fontId="9" fillId="0" borderId="0" xfId="0" applyFont="1" applyAlignment="1">
      <alignmen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4" fillId="0" borderId="0" xfId="0" applyFont="1" applyAlignment="1">
      <alignment horizontal="left" vertical="top" wrapText="1"/>
    </xf>
    <xf numFmtId="0" fontId="14" fillId="0" borderId="1" xfId="0" applyFont="1" applyBorder="1" applyAlignment="1">
      <alignment horizontal="left" vertical="top" wrapText="1"/>
    </xf>
    <xf numFmtId="0" fontId="12" fillId="0" borderId="2" xfId="0" applyFont="1" applyBorder="1" applyAlignment="1">
      <alignment horizontal="left" vertical="top" wrapText="1"/>
    </xf>
    <xf numFmtId="0" fontId="14" fillId="0" borderId="3" xfId="0" applyFont="1" applyBorder="1" applyAlignment="1">
      <alignment horizontal="left" vertical="top" wrapText="1"/>
    </xf>
    <xf numFmtId="0" fontId="13" fillId="0" borderId="2" xfId="0" applyFont="1" applyBorder="1" applyAlignment="1">
      <alignment horizontal="left" vertical="top" wrapText="1"/>
    </xf>
    <xf numFmtId="0" fontId="14" fillId="0" borderId="2" xfId="0" applyFont="1" applyBorder="1" applyAlignment="1">
      <alignment horizontal="left" vertical="top" wrapText="1"/>
    </xf>
    <xf numFmtId="0" fontId="12" fillId="0" borderId="0" xfId="0" applyFont="1" applyAlignment="1">
      <alignment vertical="top" wrapText="1"/>
    </xf>
    <xf numFmtId="0" fontId="15" fillId="0" borderId="0" xfId="0" applyFont="1" applyAlignment="1">
      <alignment horizontal="left" vertical="top" wrapText="1"/>
    </xf>
    <xf numFmtId="3" fontId="10" fillId="0" borderId="0" xfId="0" applyNumberFormat="1" applyFont="1" applyAlignment="1">
      <alignment horizontal="left" vertical="top" wrapText="1"/>
    </xf>
    <xf numFmtId="0" fontId="16" fillId="0" borderId="0" xfId="0" applyFont="1" applyAlignment="1">
      <alignment horizontal="left" vertical="top" wrapText="1"/>
    </xf>
    <xf numFmtId="0" fontId="16" fillId="0" borderId="1" xfId="0" applyFont="1" applyBorder="1" applyAlignment="1">
      <alignment horizontal="left" vertical="top" wrapText="1"/>
    </xf>
    <xf numFmtId="3" fontId="17" fillId="0" borderId="2" xfId="0" applyNumberFormat="1" applyFont="1" applyBorder="1" applyAlignment="1">
      <alignment horizontal="left" vertical="top" wrapText="1"/>
    </xf>
    <xf numFmtId="0" fontId="16" fillId="0" borderId="3" xfId="0" applyFont="1" applyBorder="1" applyAlignment="1">
      <alignment horizontal="left" vertical="top" wrapText="1"/>
    </xf>
    <xf numFmtId="3" fontId="15" fillId="0" borderId="0" xfId="0" applyNumberFormat="1" applyFont="1" applyAlignment="1">
      <alignment horizontal="left" vertical="top" wrapText="1"/>
    </xf>
    <xf numFmtId="4" fontId="16" fillId="0" borderId="0" xfId="0" applyNumberFormat="1" applyFont="1" applyAlignment="1">
      <alignment horizontal="left" vertical="top" wrapText="1"/>
    </xf>
    <xf numFmtId="4" fontId="16" fillId="0" borderId="1" xfId="0" applyNumberFormat="1" applyFont="1" applyBorder="1" applyAlignment="1">
      <alignment horizontal="left" vertical="top" wrapText="1"/>
    </xf>
    <xf numFmtId="4" fontId="15" fillId="0" borderId="2" xfId="0" applyNumberFormat="1" applyFont="1" applyBorder="1" applyAlignment="1">
      <alignment horizontal="left" vertical="top" wrapText="1"/>
    </xf>
    <xf numFmtId="0" fontId="16" fillId="0" borderId="2" xfId="0" applyFont="1" applyBorder="1" applyAlignment="1">
      <alignment horizontal="left" vertical="top" wrapText="1"/>
    </xf>
    <xf numFmtId="3" fontId="9" fillId="0" borderId="2" xfId="0" applyNumberFormat="1" applyFont="1" applyBorder="1" applyAlignment="1">
      <alignment horizontal="left" vertical="top" wrapText="1"/>
    </xf>
    <xf numFmtId="0" fontId="0" fillId="0" borderId="0" xfId="0" applyAlignment="1">
      <alignment vertical="top" wrapText="1"/>
    </xf>
    <xf numFmtId="3" fontId="16" fillId="0" borderId="0" xfId="0" applyNumberFormat="1" applyFont="1" applyAlignment="1">
      <alignment horizontal="left" vertical="top" wrapText="1"/>
    </xf>
    <xf numFmtId="0" fontId="0" fillId="0" borderId="2" xfId="0" applyBorder="1" applyAlignment="1">
      <alignment horizontal="left" vertical="top" wrapText="1"/>
    </xf>
    <xf numFmtId="0" fontId="15" fillId="0" borderId="1" xfId="0" applyFont="1" applyBorder="1" applyAlignment="1">
      <alignment horizontal="left" vertical="top" wrapText="1"/>
    </xf>
    <xf numFmtId="0" fontId="15" fillId="0" borderId="3" xfId="0" applyFont="1" applyBorder="1" applyAlignment="1">
      <alignment horizontal="left" vertical="top" wrapText="1"/>
    </xf>
    <xf numFmtId="0" fontId="0" fillId="0" borderId="0" xfId="0" applyAlignment="1">
      <alignment horizontal="left" vertical="top" wrapText="1"/>
    </xf>
    <xf numFmtId="0" fontId="15" fillId="0" borderId="0" xfId="0" applyFont="1" applyAlignment="1">
      <alignment vertical="top" wrapText="1"/>
    </xf>
    <xf numFmtId="0" fontId="10" fillId="0" borderId="0" xfId="0" applyFont="1" applyAlignment="1">
      <alignment horizontal="right" vertical="top" wrapText="1"/>
    </xf>
    <xf numFmtId="0" fontId="16" fillId="0" borderId="0" xfId="0" applyFont="1" applyAlignment="1">
      <alignment vertical="top" wrapText="1"/>
    </xf>
    <xf numFmtId="0" fontId="10" fillId="0" borderId="0" xfId="0" applyFont="1" applyAlignment="1">
      <alignment vertical="top" wrapText="1"/>
    </xf>
    <xf numFmtId="0" fontId="16" fillId="0" borderId="1" xfId="0" applyFont="1" applyBorder="1" applyAlignment="1">
      <alignment vertical="top" wrapText="1"/>
    </xf>
    <xf numFmtId="4" fontId="9" fillId="0" borderId="2" xfId="0" applyNumberFormat="1" applyFont="1" applyBorder="1" applyAlignment="1">
      <alignment vertical="top" wrapText="1"/>
    </xf>
    <xf numFmtId="0" fontId="16" fillId="0" borderId="3" xfId="0" applyFont="1" applyBorder="1" applyAlignment="1">
      <alignment vertical="top" wrapText="1"/>
    </xf>
    <xf numFmtId="3" fontId="15" fillId="0" borderId="0" xfId="0" applyNumberFormat="1" applyFont="1" applyAlignment="1">
      <alignment vertical="top" wrapText="1"/>
    </xf>
    <xf numFmtId="0" fontId="15" fillId="0" borderId="2" xfId="0" applyFont="1" applyBorder="1" applyAlignment="1">
      <alignment vertical="top" wrapText="1"/>
    </xf>
    <xf numFmtId="0" fontId="16" fillId="0" borderId="2" xfId="0" applyFont="1" applyBorder="1" applyAlignment="1">
      <alignment vertical="top" wrapText="1"/>
    </xf>
    <xf numFmtId="0" fontId="0" fillId="0" borderId="2" xfId="0" applyBorder="1" applyAlignment="1">
      <alignment vertical="top" wrapText="1"/>
    </xf>
    <xf numFmtId="0" fontId="11" fillId="0" borderId="0" xfId="0" applyFont="1" applyAlignment="1">
      <alignment vertical="top" wrapText="1"/>
    </xf>
    <xf numFmtId="0" fontId="0" fillId="0" borderId="5" xfId="0" applyBorder="1" applyAlignment="1">
      <alignment vertical="top" wrapText="1"/>
    </xf>
    <xf numFmtId="0" fontId="15" fillId="0" borderId="5" xfId="0" applyFont="1" applyBorder="1" applyAlignment="1">
      <alignment vertical="top" wrapText="1"/>
    </xf>
    <xf numFmtId="0" fontId="18" fillId="0" borderId="0" xfId="0" applyFont="1" applyAlignment="1">
      <alignment horizontal="left" vertical="top" wrapText="1"/>
    </xf>
    <xf numFmtId="0" fontId="9" fillId="0" borderId="1" xfId="0" applyFont="1" applyBorder="1" applyAlignment="1">
      <alignment horizontal="left" vertical="top" wrapText="1"/>
    </xf>
    <xf numFmtId="0" fontId="9" fillId="2" borderId="6" xfId="0" applyFont="1" applyFill="1" applyBorder="1" applyAlignment="1">
      <alignment horizontal="left" vertical="top" wrapText="1"/>
    </xf>
    <xf numFmtId="0" fontId="10" fillId="0" borderId="1" xfId="0" applyFont="1" applyBorder="1" applyAlignment="1">
      <alignment horizontal="left" vertical="top" wrapText="1"/>
    </xf>
    <xf numFmtId="0" fontId="10" fillId="2" borderId="4" xfId="0" applyFont="1" applyFill="1" applyBorder="1" applyAlignment="1">
      <alignment horizontal="left" vertical="top" wrapText="1"/>
    </xf>
    <xf numFmtId="0" fontId="9" fillId="2" borderId="4" xfId="0" applyFont="1" applyFill="1" applyBorder="1" applyAlignment="1">
      <alignment horizontal="left" vertical="top" wrapText="1"/>
    </xf>
    <xf numFmtId="0" fontId="10" fillId="0" borderId="3" xfId="0" applyFont="1" applyBorder="1" applyAlignment="1">
      <alignment horizontal="left" vertical="top" wrapText="1"/>
    </xf>
    <xf numFmtId="0" fontId="19" fillId="2" borderId="0" xfId="0" applyFont="1" applyFill="1" applyAlignment="1">
      <alignment horizontal="left" vertical="top" wrapText="1"/>
    </xf>
    <xf numFmtId="0" fontId="19" fillId="2" borderId="1" xfId="0" applyFont="1" applyFill="1" applyBorder="1" applyAlignment="1">
      <alignment horizontal="left" vertical="top" wrapText="1"/>
    </xf>
    <xf numFmtId="0" fontId="19" fillId="2" borderId="3" xfId="0" applyFont="1" applyFill="1" applyBorder="1" applyAlignment="1">
      <alignment horizontal="left" vertical="top" wrapText="1"/>
    </xf>
    <xf numFmtId="0" fontId="13" fillId="2" borderId="0" xfId="0" applyFont="1" applyFill="1" applyAlignment="1">
      <alignment horizontal="left" vertical="top" wrapText="1"/>
    </xf>
    <xf numFmtId="0" fontId="13" fillId="2" borderId="1" xfId="0" applyFont="1" applyFill="1" applyBorder="1" applyAlignment="1">
      <alignment horizontal="left" vertical="top" wrapText="1"/>
    </xf>
    <xf numFmtId="0" fontId="13" fillId="2" borderId="2" xfId="0" applyFont="1" applyFill="1" applyBorder="1" applyAlignment="1">
      <alignment horizontal="left" vertical="top" wrapText="1"/>
    </xf>
    <xf numFmtId="0" fontId="12" fillId="2" borderId="2" xfId="0" applyFont="1" applyFill="1" applyBorder="1" applyAlignment="1">
      <alignment horizontal="left" vertical="top" wrapText="1"/>
    </xf>
    <xf numFmtId="0" fontId="13" fillId="2" borderId="3" xfId="0" applyFont="1" applyFill="1" applyBorder="1" applyAlignment="1">
      <alignment horizontal="left" vertical="top" wrapText="1"/>
    </xf>
    <xf numFmtId="0" fontId="20" fillId="0" borderId="0" xfId="0" applyFont="1" applyAlignment="1">
      <alignment horizontal="left" vertical="top" wrapText="1"/>
    </xf>
    <xf numFmtId="3" fontId="0" fillId="0" borderId="0" xfId="0" applyNumberFormat="1" applyAlignment="1">
      <alignment horizontal="left" vertical="top" wrapText="1"/>
    </xf>
    <xf numFmtId="3" fontId="20" fillId="0" borderId="0" xfId="0" applyNumberFormat="1" applyFont="1" applyAlignment="1">
      <alignment horizontal="left" vertical="top" wrapText="1"/>
    </xf>
    <xf numFmtId="3" fontId="0" fillId="0" borderId="1" xfId="0" applyNumberFormat="1" applyBorder="1" applyAlignment="1">
      <alignment horizontal="left" vertical="top" wrapText="1"/>
    </xf>
    <xf numFmtId="3" fontId="9" fillId="2" borderId="3" xfId="0" applyNumberFormat="1" applyFont="1" applyFill="1" applyBorder="1" applyAlignment="1">
      <alignment horizontal="left" vertical="top" wrapText="1"/>
    </xf>
    <xf numFmtId="4" fontId="15" fillId="0" borderId="0" xfId="0" applyNumberFormat="1" applyFont="1" applyAlignment="1">
      <alignment horizontal="left" vertical="top" wrapText="1"/>
    </xf>
    <xf numFmtId="4" fontId="15" fillId="0" borderId="1" xfId="0" applyNumberFormat="1" applyFont="1" applyBorder="1" applyAlignment="1">
      <alignment horizontal="left" vertical="top" wrapText="1"/>
    </xf>
    <xf numFmtId="4" fontId="15" fillId="2" borderId="2" xfId="0" applyNumberFormat="1" applyFont="1" applyFill="1" applyBorder="1" applyAlignment="1">
      <alignment horizontal="left" vertical="top" wrapText="1"/>
    </xf>
    <xf numFmtId="3" fontId="9" fillId="2" borderId="2" xfId="0" applyNumberFormat="1" applyFont="1" applyFill="1" applyBorder="1" applyAlignment="1">
      <alignment horizontal="left" vertical="top" wrapText="1"/>
    </xf>
    <xf numFmtId="0" fontId="0" fillId="0" borderId="1" xfId="0" applyBorder="1" applyAlignment="1">
      <alignment horizontal="left" vertical="top" wrapText="1"/>
    </xf>
    <xf numFmtId="0" fontId="9" fillId="2" borderId="3" xfId="0" applyFont="1" applyFill="1" applyBorder="1" applyAlignment="1">
      <alignment horizontal="left" vertical="top" wrapText="1"/>
    </xf>
    <xf numFmtId="0" fontId="15" fillId="2" borderId="2" xfId="0" applyFont="1" applyFill="1" applyBorder="1" applyAlignment="1">
      <alignment horizontal="left" vertical="top" wrapText="1"/>
    </xf>
    <xf numFmtId="0" fontId="0" fillId="2" borderId="2" xfId="0" applyFill="1" applyBorder="1" applyAlignment="1">
      <alignment horizontal="left" vertical="top" wrapText="1"/>
    </xf>
    <xf numFmtId="0" fontId="9" fillId="2" borderId="7" xfId="0" applyFont="1" applyFill="1" applyBorder="1" applyAlignment="1">
      <alignment horizontal="left" vertical="top" wrapText="1"/>
    </xf>
    <xf numFmtId="0" fontId="15" fillId="0" borderId="8" xfId="0" applyFont="1" applyBorder="1" applyAlignment="1">
      <alignment horizontal="left" vertical="top" wrapText="1"/>
    </xf>
    <xf numFmtId="0" fontId="15" fillId="2" borderId="5" xfId="0" applyFont="1" applyFill="1" applyBorder="1" applyAlignment="1">
      <alignment horizontal="left" vertical="top" wrapText="1"/>
    </xf>
    <xf numFmtId="0" fontId="0" fillId="2" borderId="5" xfId="0" applyFill="1" applyBorder="1" applyAlignment="1">
      <alignment horizontal="left" vertical="top" wrapText="1"/>
    </xf>
    <xf numFmtId="0" fontId="0" fillId="0" borderId="0" xfId="0" applyAlignment="1">
      <alignment wrapText="1"/>
    </xf>
    <xf numFmtId="0" fontId="21" fillId="0" borderId="0" xfId="0" applyFont="1">
      <alignment vertical="center"/>
    </xf>
    <xf numFmtId="0" fontId="22" fillId="0" borderId="0" xfId="0" applyFont="1">
      <alignment vertical="center"/>
    </xf>
    <xf numFmtId="0" fontId="23" fillId="0" borderId="0" xfId="0" applyFont="1">
      <alignment vertical="center"/>
    </xf>
    <xf numFmtId="0" fontId="0" fillId="4" borderId="0" xfId="0" applyFill="1">
      <alignment vertical="center"/>
    </xf>
    <xf numFmtId="0" fontId="0" fillId="4" borderId="12" xfId="0" applyFill="1" applyBorder="1">
      <alignment vertical="center"/>
    </xf>
    <xf numFmtId="0" fontId="1" fillId="4" borderId="0" xfId="0" applyFont="1" applyFill="1" applyAlignment="1">
      <alignment horizontal="left" vertical="top" wrapText="1"/>
    </xf>
    <xf numFmtId="0" fontId="0" fillId="4" borderId="0" xfId="0" applyFill="1" applyAlignment="1">
      <alignment horizontal="left" vertical="center"/>
    </xf>
    <xf numFmtId="164" fontId="23" fillId="4" borderId="0" xfId="0" applyNumberFormat="1" applyFont="1" applyFill="1" applyAlignment="1">
      <alignment horizontal="left" vertical="center"/>
    </xf>
    <xf numFmtId="3" fontId="0" fillId="4" borderId="0" xfId="0" applyNumberFormat="1" applyFill="1">
      <alignment vertical="center"/>
    </xf>
    <xf numFmtId="2" fontId="0" fillId="0" borderId="0" xfId="0" applyNumberFormat="1">
      <alignment vertical="center"/>
    </xf>
    <xf numFmtId="165" fontId="0" fillId="0" borderId="0" xfId="0" applyNumberFormat="1">
      <alignment vertical="center"/>
    </xf>
    <xf numFmtId="3" fontId="0" fillId="4" borderId="0" xfId="0" applyNumberFormat="1" applyFill="1" applyAlignment="1">
      <alignment horizontal="center" vertical="center"/>
    </xf>
    <xf numFmtId="0" fontId="0" fillId="5" borderId="0" xfId="0" applyFill="1">
      <alignment vertical="center"/>
    </xf>
    <xf numFmtId="0" fontId="0" fillId="4" borderId="18" xfId="0" applyFill="1" applyBorder="1">
      <alignment vertical="center"/>
    </xf>
    <xf numFmtId="0" fontId="0" fillId="4" borderId="19" xfId="0" applyFill="1" applyBorder="1">
      <alignment vertical="center"/>
    </xf>
    <xf numFmtId="0" fontId="0" fillId="4" borderId="20" xfId="0" applyFill="1" applyBorder="1">
      <alignment vertical="center"/>
    </xf>
    <xf numFmtId="0" fontId="0" fillId="4" borderId="21" xfId="0" applyFill="1" applyBorder="1">
      <alignment vertical="center"/>
    </xf>
    <xf numFmtId="0" fontId="0" fillId="4" borderId="22" xfId="0" applyFill="1" applyBorder="1">
      <alignment vertical="center"/>
    </xf>
    <xf numFmtId="0" fontId="0" fillId="4" borderId="16" xfId="0" applyFill="1" applyBorder="1">
      <alignment vertical="center"/>
    </xf>
    <xf numFmtId="0" fontId="0" fillId="4" borderId="23" xfId="0" applyFill="1" applyBorder="1">
      <alignment vertical="center"/>
    </xf>
    <xf numFmtId="0" fontId="0" fillId="4" borderId="24" xfId="0" applyFill="1" applyBorder="1">
      <alignment vertical="center"/>
    </xf>
    <xf numFmtId="0" fontId="0" fillId="4" borderId="25" xfId="0" applyFill="1" applyBorder="1">
      <alignment vertical="center"/>
    </xf>
    <xf numFmtId="0" fontId="0" fillId="4" borderId="26" xfId="0" applyFill="1" applyBorder="1">
      <alignment vertical="center"/>
    </xf>
    <xf numFmtId="0" fontId="0" fillId="4" borderId="27" xfId="0" applyFill="1" applyBorder="1">
      <alignment vertical="center"/>
    </xf>
    <xf numFmtId="0" fontId="0" fillId="4" borderId="28" xfId="0" applyFill="1" applyBorder="1">
      <alignment vertical="center"/>
    </xf>
    <xf numFmtId="0" fontId="0" fillId="4" borderId="29" xfId="0" applyFill="1" applyBorder="1">
      <alignment vertical="center"/>
    </xf>
    <xf numFmtId="0" fontId="0" fillId="4" borderId="30" xfId="0" applyFill="1" applyBorder="1">
      <alignment vertical="center"/>
    </xf>
    <xf numFmtId="0" fontId="0" fillId="4" borderId="31" xfId="0" applyFill="1" applyBorder="1">
      <alignment vertical="center"/>
    </xf>
    <xf numFmtId="0" fontId="0" fillId="4" borderId="32" xfId="0" applyFill="1" applyBorder="1">
      <alignment vertical="center"/>
    </xf>
    <xf numFmtId="0" fontId="0" fillId="4" borderId="33" xfId="0" applyFill="1" applyBorder="1">
      <alignment vertical="center"/>
    </xf>
    <xf numFmtId="0" fontId="0" fillId="4" borderId="34" xfId="0" applyFill="1" applyBorder="1">
      <alignment vertical="center"/>
    </xf>
    <xf numFmtId="0" fontId="0" fillId="4" borderId="35" xfId="0" applyFill="1" applyBorder="1">
      <alignment vertical="center"/>
    </xf>
    <xf numFmtId="0" fontId="0" fillId="4" borderId="36" xfId="0" applyFill="1" applyBorder="1">
      <alignment vertical="center"/>
    </xf>
    <xf numFmtId="0" fontId="0" fillId="4" borderId="37" xfId="0" applyFill="1" applyBorder="1">
      <alignment vertical="center"/>
    </xf>
    <xf numFmtId="0" fontId="0" fillId="4" borderId="38" xfId="0" applyFill="1" applyBorder="1">
      <alignment vertical="center"/>
    </xf>
    <xf numFmtId="0" fontId="0" fillId="4" borderId="39" xfId="0" applyFill="1" applyBorder="1">
      <alignment vertical="center"/>
    </xf>
    <xf numFmtId="0" fontId="0" fillId="4" borderId="40" xfId="0" applyFill="1" applyBorder="1">
      <alignment vertical="center"/>
    </xf>
    <xf numFmtId="0" fontId="0" fillId="4" borderId="41" xfId="0" applyFill="1" applyBorder="1">
      <alignment vertical="center"/>
    </xf>
    <xf numFmtId="0" fontId="0" fillId="4" borderId="43" xfId="0" applyFill="1" applyBorder="1">
      <alignment vertical="center"/>
    </xf>
    <xf numFmtId="0" fontId="0" fillId="4" borderId="44" xfId="0" applyFill="1" applyBorder="1">
      <alignment vertical="center"/>
    </xf>
    <xf numFmtId="0" fontId="0" fillId="4" borderId="45" xfId="0" applyFill="1" applyBorder="1">
      <alignment vertical="center"/>
    </xf>
    <xf numFmtId="0" fontId="0" fillId="4" borderId="46" xfId="0" applyFill="1" applyBorder="1">
      <alignment vertical="center"/>
    </xf>
    <xf numFmtId="0" fontId="0" fillId="4" borderId="47" xfId="0" applyFill="1" applyBorder="1">
      <alignment vertical="center"/>
    </xf>
    <xf numFmtId="0" fontId="0" fillId="4" borderId="53" xfId="0" applyFill="1" applyBorder="1">
      <alignment vertical="center"/>
    </xf>
    <xf numFmtId="0" fontId="0" fillId="4" borderId="54" xfId="0" applyFill="1" applyBorder="1">
      <alignment vertical="center"/>
    </xf>
    <xf numFmtId="0" fontId="0" fillId="4" borderId="55" xfId="0" applyFill="1" applyBorder="1">
      <alignment vertical="center"/>
    </xf>
    <xf numFmtId="0" fontId="0" fillId="4" borderId="56" xfId="0" applyFill="1" applyBorder="1">
      <alignment vertical="center"/>
    </xf>
    <xf numFmtId="0" fontId="0" fillId="4" borderId="48" xfId="0" applyFill="1" applyBorder="1">
      <alignment vertical="center"/>
    </xf>
    <xf numFmtId="0" fontId="0" fillId="4" borderId="58" xfId="0" applyFill="1" applyBorder="1">
      <alignment vertical="center"/>
    </xf>
    <xf numFmtId="0" fontId="0" fillId="4" borderId="60" xfId="0" applyFill="1" applyBorder="1">
      <alignment vertical="center"/>
    </xf>
    <xf numFmtId="0" fontId="0" fillId="4" borderId="62" xfId="0" applyFill="1" applyBorder="1">
      <alignment vertical="center"/>
    </xf>
    <xf numFmtId="0" fontId="0" fillId="4" borderId="63" xfId="0" applyFill="1" applyBorder="1">
      <alignment vertical="center"/>
    </xf>
    <xf numFmtId="0" fontId="0" fillId="4" borderId="57" xfId="0" applyFill="1" applyBorder="1">
      <alignment vertical="center"/>
    </xf>
    <xf numFmtId="0" fontId="0" fillId="4" borderId="61" xfId="0" applyFill="1" applyBorder="1">
      <alignment vertical="center"/>
    </xf>
    <xf numFmtId="0" fontId="0" fillId="4" borderId="59" xfId="0" applyFill="1" applyBorder="1">
      <alignment vertical="center"/>
    </xf>
    <xf numFmtId="166" fontId="0" fillId="0" borderId="0" xfId="1" applyNumberFormat="1" applyFont="1" applyAlignment="1">
      <alignment vertical="center"/>
    </xf>
    <xf numFmtId="166" fontId="33" fillId="7" borderId="50" xfId="1" applyNumberFormat="1" applyFont="1" applyFill="1" applyBorder="1" applyAlignment="1">
      <alignment horizontal="left" vertical="center"/>
    </xf>
    <xf numFmtId="166" fontId="33" fillId="13" borderId="50" xfId="1" applyNumberFormat="1" applyFont="1" applyFill="1" applyBorder="1" applyAlignment="1">
      <alignment horizontal="left" vertical="center"/>
    </xf>
    <xf numFmtId="166" fontId="33" fillId="9" borderId="50" xfId="1" applyNumberFormat="1" applyFont="1" applyFill="1" applyBorder="1" applyAlignment="1">
      <alignment horizontal="left" vertical="center"/>
    </xf>
    <xf numFmtId="166" fontId="33" fillId="11" borderId="50" xfId="1" applyNumberFormat="1" applyFont="1" applyFill="1" applyBorder="1" applyAlignment="1">
      <alignment horizontal="left" vertical="center"/>
    </xf>
    <xf numFmtId="166" fontId="33" fillId="12" borderId="50" xfId="1" applyNumberFormat="1" applyFont="1" applyFill="1" applyBorder="1" applyAlignment="1">
      <alignment vertical="center"/>
    </xf>
    <xf numFmtId="166" fontId="33" fillId="10" borderId="50" xfId="1" applyNumberFormat="1" applyFont="1" applyFill="1" applyBorder="1" applyAlignment="1">
      <alignment vertical="center"/>
    </xf>
    <xf numFmtId="0" fontId="0" fillId="0" borderId="0" xfId="0" quotePrefix="1">
      <alignment vertical="center"/>
    </xf>
    <xf numFmtId="0" fontId="37" fillId="0" borderId="0" xfId="2">
      <alignment vertical="center"/>
    </xf>
    <xf numFmtId="0" fontId="25" fillId="4" borderId="42" xfId="0" applyFont="1" applyFill="1" applyBorder="1" applyAlignment="1">
      <alignment horizontal="center" vertical="center"/>
    </xf>
    <xf numFmtId="0" fontId="25" fillId="4" borderId="35" xfId="0" applyFont="1" applyFill="1" applyBorder="1" applyAlignment="1">
      <alignment horizontal="center" vertical="center"/>
    </xf>
    <xf numFmtId="0" fontId="25" fillId="4" borderId="52" xfId="0" applyFont="1" applyFill="1" applyBorder="1" applyAlignment="1">
      <alignment horizontal="center" vertical="center"/>
    </xf>
    <xf numFmtId="0" fontId="27" fillId="4" borderId="43" xfId="0" applyFont="1" applyFill="1" applyBorder="1" applyAlignment="1">
      <alignment horizontal="center" vertical="center"/>
    </xf>
    <xf numFmtId="0" fontId="27" fillId="4" borderId="0" xfId="0" applyFont="1" applyFill="1" applyAlignment="1">
      <alignment horizontal="center" vertical="center"/>
    </xf>
    <xf numFmtId="0" fontId="27" fillId="4" borderId="53" xfId="0" applyFont="1" applyFill="1" applyBorder="1" applyAlignment="1">
      <alignment horizontal="center" vertical="center"/>
    </xf>
    <xf numFmtId="0" fontId="28" fillId="6" borderId="11" xfId="0" applyFont="1" applyFill="1" applyBorder="1" applyAlignment="1">
      <alignment horizontal="center" vertical="center"/>
    </xf>
    <xf numFmtId="0" fontId="28" fillId="6" borderId="10" xfId="0" applyFont="1" applyFill="1" applyBorder="1" applyAlignment="1">
      <alignment horizontal="center" vertical="center"/>
    </xf>
    <xf numFmtId="0" fontId="28" fillId="6" borderId="67" xfId="0" applyFont="1" applyFill="1" applyBorder="1" applyAlignment="1">
      <alignment horizontal="center" vertical="center"/>
    </xf>
    <xf numFmtId="0" fontId="28" fillId="6" borderId="12" xfId="0" applyFont="1" applyFill="1" applyBorder="1" applyAlignment="1">
      <alignment horizontal="center" vertical="center"/>
    </xf>
    <xf numFmtId="0" fontId="28" fillId="6" borderId="0" xfId="0" applyFont="1" applyFill="1" applyAlignment="1">
      <alignment horizontal="center" vertical="center"/>
    </xf>
    <xf numFmtId="0" fontId="28" fillId="6" borderId="68" xfId="0" applyFont="1" applyFill="1" applyBorder="1" applyAlignment="1">
      <alignment horizontal="center" vertical="center"/>
    </xf>
    <xf numFmtId="0" fontId="28" fillId="6" borderId="13" xfId="0" applyFont="1" applyFill="1" applyBorder="1" applyAlignment="1">
      <alignment horizontal="center" vertical="center"/>
    </xf>
    <xf numFmtId="0" fontId="28" fillId="6" borderId="14" xfId="0" applyFont="1" applyFill="1" applyBorder="1" applyAlignment="1">
      <alignment horizontal="center" vertical="center"/>
    </xf>
    <xf numFmtId="0" fontId="28" fillId="6" borderId="69" xfId="0" applyFont="1" applyFill="1" applyBorder="1" applyAlignment="1">
      <alignment horizontal="center" vertical="center"/>
    </xf>
    <xf numFmtId="0" fontId="25" fillId="4" borderId="16" xfId="0" applyFont="1" applyFill="1" applyBorder="1" applyAlignment="1">
      <alignment horizontal="center" vertical="center"/>
    </xf>
    <xf numFmtId="0" fontId="25" fillId="4" borderId="15" xfId="0" applyFont="1" applyFill="1" applyBorder="1" applyAlignment="1">
      <alignment horizontal="center" vertical="center"/>
    </xf>
    <xf numFmtId="0" fontId="25" fillId="4" borderId="17" xfId="0" applyFont="1" applyFill="1" applyBorder="1" applyAlignment="1">
      <alignment horizontal="center" vertical="center"/>
    </xf>
    <xf numFmtId="0" fontId="26" fillId="4" borderId="18" xfId="0" applyFont="1" applyFill="1" applyBorder="1" applyAlignment="1">
      <alignment horizontal="center" vertical="center"/>
    </xf>
    <xf numFmtId="0" fontId="26" fillId="4" borderId="0" xfId="0" applyFont="1" applyFill="1" applyAlignment="1">
      <alignment horizontal="center" vertical="center"/>
    </xf>
    <xf numFmtId="0" fontId="26" fillId="4" borderId="19" xfId="0" applyFont="1" applyFill="1" applyBorder="1" applyAlignment="1">
      <alignment horizontal="center" vertical="center"/>
    </xf>
    <xf numFmtId="0" fontId="25" fillId="4" borderId="70" xfId="0" applyFont="1" applyFill="1" applyBorder="1" applyAlignment="1">
      <alignment horizontal="center" vertical="center"/>
    </xf>
    <xf numFmtId="0" fontId="25" fillId="4" borderId="71" xfId="0" applyFont="1" applyFill="1" applyBorder="1" applyAlignment="1">
      <alignment horizontal="center" vertical="center"/>
    </xf>
    <xf numFmtId="0" fontId="25" fillId="4" borderId="72" xfId="0" applyFont="1" applyFill="1" applyBorder="1" applyAlignment="1">
      <alignment horizontal="center" vertical="center"/>
    </xf>
    <xf numFmtId="0" fontId="27" fillId="4" borderId="44" xfId="0" applyFont="1" applyFill="1" applyBorder="1" applyAlignment="1">
      <alignment horizontal="center" vertical="center"/>
    </xf>
    <xf numFmtId="0" fontId="25" fillId="4" borderId="12" xfId="0" applyFont="1" applyFill="1" applyBorder="1" applyAlignment="1">
      <alignment horizontal="center" vertical="center"/>
    </xf>
    <xf numFmtId="0" fontId="25" fillId="4" borderId="0" xfId="0" applyFont="1" applyFill="1" applyAlignment="1">
      <alignment horizontal="center" vertical="center"/>
    </xf>
    <xf numFmtId="0" fontId="25" fillId="4" borderId="31" xfId="0" applyFont="1" applyFill="1" applyBorder="1" applyAlignment="1">
      <alignment horizontal="center" vertical="center"/>
    </xf>
    <xf numFmtId="0" fontId="26" fillId="4" borderId="12" xfId="0" applyFont="1" applyFill="1" applyBorder="1" applyAlignment="1">
      <alignment horizontal="center" vertical="center"/>
    </xf>
    <xf numFmtId="0" fontId="26" fillId="4" borderId="31" xfId="0" applyFont="1" applyFill="1" applyBorder="1" applyAlignment="1">
      <alignment horizontal="center" vertical="center"/>
    </xf>
    <xf numFmtId="0" fontId="25" fillId="4" borderId="37" xfId="0" applyFont="1" applyFill="1" applyBorder="1" applyAlignment="1">
      <alignment horizontal="center" vertical="center"/>
    </xf>
    <xf numFmtId="0" fontId="25" fillId="4" borderId="38" xfId="0" applyFont="1" applyFill="1" applyBorder="1" applyAlignment="1">
      <alignment horizontal="center" vertical="center"/>
    </xf>
    <xf numFmtId="0" fontId="27" fillId="4" borderId="37" xfId="0" applyFont="1" applyFill="1" applyBorder="1" applyAlignment="1">
      <alignment horizontal="center" vertical="center"/>
    </xf>
    <xf numFmtId="0" fontId="27" fillId="4" borderId="38" xfId="0" applyFont="1" applyFill="1" applyBorder="1" applyAlignment="1">
      <alignment horizontal="center" vertical="center"/>
    </xf>
    <xf numFmtId="0" fontId="31" fillId="11" borderId="51" xfId="0" applyFont="1" applyFill="1" applyBorder="1" applyAlignment="1">
      <alignment horizontal="right" vertical="center"/>
    </xf>
    <xf numFmtId="0" fontId="31" fillId="11" borderId="49" xfId="0" applyFont="1" applyFill="1" applyBorder="1" applyAlignment="1">
      <alignment horizontal="right" vertical="center"/>
    </xf>
    <xf numFmtId="0" fontId="32" fillId="8" borderId="64" xfId="0" applyFont="1" applyFill="1" applyBorder="1" applyAlignment="1">
      <alignment horizontal="center" vertical="center"/>
    </xf>
    <xf numFmtId="0" fontId="32" fillId="8" borderId="65" xfId="0" applyFont="1" applyFill="1" applyBorder="1" applyAlignment="1">
      <alignment horizontal="center" vertical="center"/>
    </xf>
    <xf numFmtId="0" fontId="32" fillId="8" borderId="66" xfId="0" applyFont="1" applyFill="1" applyBorder="1" applyAlignment="1">
      <alignment horizontal="center" vertical="center"/>
    </xf>
    <xf numFmtId="0" fontId="31" fillId="7" borderId="51" xfId="0" applyFont="1" applyFill="1" applyBorder="1" applyAlignment="1">
      <alignment horizontal="right" vertical="center"/>
    </xf>
    <xf numFmtId="0" fontId="31" fillId="7" borderId="49" xfId="0" applyFont="1" applyFill="1" applyBorder="1" applyAlignment="1">
      <alignment horizontal="right" vertical="center"/>
    </xf>
    <xf numFmtId="0" fontId="31" fillId="9" borderId="51" xfId="0" applyFont="1" applyFill="1" applyBorder="1" applyAlignment="1">
      <alignment horizontal="right" vertical="center"/>
    </xf>
    <xf numFmtId="0" fontId="31" fillId="9" borderId="49" xfId="0" applyFont="1" applyFill="1" applyBorder="1" applyAlignment="1">
      <alignment horizontal="right" vertical="center"/>
    </xf>
    <xf numFmtId="0" fontId="31" fillId="10" borderId="51" xfId="0" applyFont="1" applyFill="1" applyBorder="1" applyAlignment="1">
      <alignment horizontal="right" vertical="center"/>
    </xf>
    <xf numFmtId="0" fontId="31" fillId="10" borderId="49" xfId="0" applyFont="1" applyFill="1" applyBorder="1" applyAlignment="1">
      <alignment horizontal="right" vertical="center"/>
    </xf>
    <xf numFmtId="0" fontId="31" fillId="12" borderId="51" xfId="0" applyFont="1" applyFill="1" applyBorder="1" applyAlignment="1">
      <alignment horizontal="center" vertical="center"/>
    </xf>
    <xf numFmtId="0" fontId="31" fillId="12" borderId="49" xfId="0" applyFont="1" applyFill="1" applyBorder="1" applyAlignment="1">
      <alignment horizontal="center" vertical="center"/>
    </xf>
    <xf numFmtId="0" fontId="31" fillId="13" borderId="51" xfId="0" applyFont="1" applyFill="1" applyBorder="1" applyAlignment="1">
      <alignment horizontal="right" vertical="center"/>
    </xf>
    <xf numFmtId="0" fontId="31" fillId="13" borderId="49" xfId="0" applyFont="1" applyFill="1" applyBorder="1" applyAlignment="1">
      <alignment horizontal="right" vertical="center"/>
    </xf>
    <xf numFmtId="3" fontId="1" fillId="3" borderId="0" xfId="0" applyNumberFormat="1" applyFont="1" applyFill="1" applyAlignment="1">
      <alignment horizontal="left" vertical="top" wrapText="1"/>
    </xf>
    <xf numFmtId="0" fontId="1" fillId="3" borderId="0" xfId="0" applyFont="1" applyFill="1" applyAlignment="1">
      <alignment horizontal="left" vertical="top" wrapText="1"/>
    </xf>
    <xf numFmtId="0" fontId="10" fillId="0" borderId="0" xfId="0" applyFont="1" applyAlignment="1">
      <alignment horizontal="left" vertical="top" wrapText="1"/>
    </xf>
    <xf numFmtId="0" fontId="11" fillId="0" borderId="1" xfId="0" applyFont="1" applyBorder="1" applyAlignment="1">
      <alignment horizontal="left" vertical="top" wrapText="1"/>
    </xf>
    <xf numFmtId="0" fontId="11" fillId="0" borderId="0" xfId="0" applyFont="1" applyAlignment="1">
      <alignment horizontal="left" vertical="top" wrapText="1"/>
    </xf>
    <xf numFmtId="0" fontId="10" fillId="0" borderId="9" xfId="0" applyFont="1" applyBorder="1" applyAlignment="1">
      <alignment horizontal="left" vertical="top" wrapText="1"/>
    </xf>
  </cellXfs>
  <cellStyles count="3">
    <cellStyle name="Comma" xfId="1" builtinId="3"/>
    <cellStyle name="Hyperlink" xfId="2" builtinId="8"/>
    <cellStyle name="Normal" xfId="0" builtinId="0"/>
  </cellStyles>
  <dxfs count="0"/>
  <tableStyles count="1" defaultTableStyle="TableStyleMedium9" defaultPivotStyle="PivotStyleLight16">
    <tableStyle name="Invisible" pivot="0" table="0" count="0" xr9:uid="{AD83C36C-6D7F-49D3-AE72-8A2099C8EB87}"/>
  </tableStyles>
  <colors>
    <indexedColors>
      <rgbColor rgb="00000000"/>
      <rgbColor rgb="00FFFFFF"/>
      <rgbColor rgb="00FF0000"/>
      <rgbColor rgb="0000FF00"/>
      <rgbColor rgb="000000FF"/>
      <rgbColor rgb="00FFFF00"/>
      <rgbColor rgb="00FF00FF"/>
      <rgbColor rgb="0000FFFF"/>
      <rgbColor rgb="00C0C0C0"/>
      <rgbColor rgb="00969696"/>
      <rgbColor rgb="00808080"/>
      <rgbColor rgb="00FFFF00"/>
      <rgbColor rgb="00FF0000"/>
      <rgbColor rgb="00000000"/>
      <rgbColor rgb="0000FF00"/>
      <rgbColor rgb="00333333"/>
      <rgbColor rgb="00008000"/>
      <rgbColor rgb="00999999"/>
      <rgbColor rgb="00CCCCCC"/>
      <rgbColor rgb="00DDDDDD"/>
      <rgbColor rgb="00FFFFFF"/>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BD8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dk1">
                    <a:shade val="51000"/>
                    <a:satMod val="130000"/>
                  </a:schemeClr>
                </a:gs>
                <a:gs pos="80000">
                  <a:schemeClr val="dk1">
                    <a:shade val="93000"/>
                    <a:satMod val="130000"/>
                  </a:schemeClr>
                </a:gs>
                <a:gs pos="100000">
                  <a:schemeClr val="dk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chemeClr val="tx1">
                  <a:lumMod val="75000"/>
                  <a:lumOff val="2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0-F159-4C0B-83FE-6410655572E6}"/>
              </c:ext>
            </c:extLst>
          </c:dPt>
          <c:dPt>
            <c:idx val="1"/>
            <c:invertIfNegative val="0"/>
            <c:bubble3D val="0"/>
            <c:spPr>
              <a:solidFill>
                <a:schemeClr val="accent6">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F159-4C0B-83FE-6410655572E6}"/>
              </c:ext>
            </c:extLst>
          </c:dPt>
          <c:dPt>
            <c:idx val="2"/>
            <c:invertIfNegative val="0"/>
            <c:bubble3D val="0"/>
            <c:spPr>
              <a:solidFill>
                <a:schemeClr val="bg2">
                  <a:lumMod val="2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F159-4C0B-83FE-6410655572E6}"/>
              </c:ext>
            </c:extLst>
          </c:dPt>
          <c:dPt>
            <c:idx val="3"/>
            <c:invertIfNegative val="0"/>
            <c:bubble3D val="0"/>
            <c:spPr>
              <a:solidFill>
                <a:schemeClr val="bg2">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F159-4C0B-83FE-6410655572E6}"/>
              </c:ext>
            </c:extLst>
          </c:dPt>
          <c:dPt>
            <c:idx val="4"/>
            <c:invertIfNegative val="0"/>
            <c:bubble3D val="0"/>
            <c:spPr>
              <a:solidFill>
                <a:schemeClr val="bg1">
                  <a:lumMod val="6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F159-4C0B-83FE-6410655572E6}"/>
              </c:ext>
            </c:extLst>
          </c:dPt>
          <c:dPt>
            <c:idx val="5"/>
            <c:invertIfNegative val="0"/>
            <c:bubble3D val="0"/>
            <c:spPr>
              <a:solidFill>
                <a:schemeClr val="bg1">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F159-4C0B-83FE-6410655572E6}"/>
              </c:ext>
            </c:extLst>
          </c:dPt>
          <c:dLbls>
            <c:delete val="1"/>
          </c:dLbls>
          <c:cat>
            <c:strRef>
              <c:f>(datasheet!$A$6,datasheet!$A$8,datasheet!$A$13,datasheet!$A$18,datasheet!$A$22,datasheet!$A$26)</c:f>
              <c:strCache>
                <c:ptCount val="6"/>
                <c:pt idx="0">
                  <c:v>Chromium</c:v>
                </c:pt>
                <c:pt idx="1">
                  <c:v>Copper</c:v>
                </c:pt>
                <c:pt idx="2">
                  <c:v>Manganese</c:v>
                </c:pt>
                <c:pt idx="3">
                  <c:v>Rare earths </c:v>
                </c:pt>
                <c:pt idx="4">
                  <c:v>Titanium</c:v>
                </c:pt>
                <c:pt idx="5">
                  <c:v>Zinc</c:v>
                </c:pt>
              </c:strCache>
            </c:strRef>
          </c:cat>
          <c:val>
            <c:numRef>
              <c:f>(datasheet!$C$6,datasheet!$C$8,datasheet!$C$13,datasheet!$C$18,datasheet!$C$22,datasheet!$C$26)</c:f>
              <c:numCache>
                <c:formatCode>#,##0</c:formatCode>
                <c:ptCount val="6"/>
                <c:pt idx="0">
                  <c:v>350000000</c:v>
                </c:pt>
                <c:pt idx="1">
                  <c:v>630000000</c:v>
                </c:pt>
                <c:pt idx="2">
                  <c:v>630000000</c:v>
                </c:pt>
                <c:pt idx="3">
                  <c:v>110000000</c:v>
                </c:pt>
                <c:pt idx="4">
                  <c:v>690000000</c:v>
                </c:pt>
                <c:pt idx="5">
                  <c:v>250000000</c:v>
                </c:pt>
              </c:numCache>
            </c:numRef>
          </c:val>
          <c:extLst>
            <c:ext xmlns:c16="http://schemas.microsoft.com/office/drawing/2014/chart" uri="{C3380CC4-5D6E-409C-BE32-E72D297353CC}">
              <c16:uniqueId val="{00000006-F159-4C0B-83FE-6410655572E6}"/>
            </c:ext>
          </c:extLst>
        </c:ser>
        <c:dLbls>
          <c:showLegendKey val="0"/>
          <c:showVal val="1"/>
          <c:showCatName val="0"/>
          <c:showSerName val="0"/>
          <c:showPercent val="0"/>
          <c:showBubbleSize val="0"/>
        </c:dLbls>
        <c:gapWidth val="150"/>
        <c:overlap val="-25"/>
        <c:axId val="38728064"/>
        <c:axId val="38729600"/>
      </c:barChart>
      <c:catAx>
        <c:axId val="38728064"/>
        <c:scaling>
          <c:orientation val="minMax"/>
        </c:scaling>
        <c:delete val="0"/>
        <c:axPos val="b"/>
        <c:numFmt formatCode="General" sourceLinked="0"/>
        <c:majorTickMark val="none"/>
        <c:minorTickMark val="none"/>
        <c:tickLblPos val="nextTo"/>
        <c:spPr>
          <a:ln>
            <a:noFill/>
          </a:ln>
        </c:spPr>
        <c:txPr>
          <a:bodyPr/>
          <a:lstStyle/>
          <a:p>
            <a:pPr>
              <a:defRPr sz="1200" b="1"/>
            </a:pPr>
            <a:endParaRPr lang="en-US"/>
          </a:p>
        </c:txPr>
        <c:crossAx val="38729600"/>
        <c:crosses val="autoZero"/>
        <c:auto val="1"/>
        <c:lblAlgn val="ctr"/>
        <c:lblOffset val="100"/>
        <c:noMultiLvlLbl val="0"/>
      </c:catAx>
      <c:valAx>
        <c:axId val="38729600"/>
        <c:scaling>
          <c:orientation val="minMax"/>
        </c:scaling>
        <c:delete val="1"/>
        <c:axPos val="l"/>
        <c:numFmt formatCode="#,##0" sourceLinked="1"/>
        <c:majorTickMark val="out"/>
        <c:minorTickMark val="none"/>
        <c:tickLblPos val="none"/>
        <c:crossAx val="38728064"/>
        <c:crosses val="autoZero"/>
        <c:crossBetween val="between"/>
      </c:valAx>
      <c:spPr>
        <a:noFill/>
        <a:ln w="25400">
          <a:noFill/>
        </a:ln>
      </c:spPr>
    </c:plotArea>
    <c:plotVisOnly val="1"/>
    <c:dispBlanksAs val="gap"/>
    <c:showDLblsOverMax val="0"/>
  </c:chart>
  <c:spPr>
    <a:noFill/>
    <a:ln>
      <a:noFill/>
    </a:ln>
  </c:spPr>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cap="flat" cmpd="sng" algn="ctr">
              <a:solidFill>
                <a:schemeClr val="accent5">
                  <a:shade val="95000"/>
                  <a:satMod val="105000"/>
                </a:schemeClr>
              </a:solidFill>
              <a:prstDash val="solid"/>
            </a:ln>
            <a:effectLst>
              <a:outerShdw blurRad="40000" dist="23000" dir="5400000" rotWithShape="0">
                <a:srgbClr val="000000">
                  <a:alpha val="35000"/>
                </a:srgbClr>
              </a:outerShdw>
            </a:effectLst>
          </c:spPr>
          <c:invertIfNegative val="0"/>
          <c:dPt>
            <c:idx val="0"/>
            <c:invertIfNegative val="0"/>
            <c:bubble3D val="0"/>
            <c:spPr>
              <a:gradFill rotWithShape="1">
                <a:gsLst>
                  <a:gs pos="0">
                    <a:schemeClr val="dk1">
                      <a:shade val="51000"/>
                      <a:satMod val="130000"/>
                    </a:schemeClr>
                  </a:gs>
                  <a:gs pos="80000">
                    <a:schemeClr val="dk1">
                      <a:shade val="93000"/>
                      <a:satMod val="130000"/>
                    </a:schemeClr>
                  </a:gs>
                  <a:gs pos="100000">
                    <a:schemeClr val="dk1">
                      <a:shade val="94000"/>
                      <a:satMod val="135000"/>
                    </a:schemeClr>
                  </a:gs>
                </a:gsLst>
                <a:lin ang="16200000" scaled="0"/>
              </a:gradFill>
              <a:ln w="9525" cap="flat" cmpd="sng" algn="ctr">
                <a:solidFill>
                  <a:schemeClr val="dk1">
                    <a:shade val="95000"/>
                    <a:satMod val="105000"/>
                  </a:schemeClr>
                </a:solidFill>
                <a:prstDash val="solid"/>
              </a:ln>
              <a:effectLst>
                <a:outerShdw blurRad="40000" dist="23000" dir="5400000" rotWithShape="0">
                  <a:srgbClr val="000000">
                    <a:alpha val="35000"/>
                  </a:srgbClr>
                </a:outerShdw>
              </a:effectLst>
            </c:spPr>
            <c:extLst>
              <c:ext xmlns:c16="http://schemas.microsoft.com/office/drawing/2014/chart" uri="{C3380CC4-5D6E-409C-BE32-E72D297353CC}">
                <c16:uniqueId val="{00000000-1BAD-4DF1-A937-9CB539682A80}"/>
              </c:ext>
            </c:extLst>
          </c:dPt>
          <c:dPt>
            <c:idx val="1"/>
            <c:invertIfNegative val="0"/>
            <c:bubble3D val="0"/>
            <c:spPr>
              <a:solidFill>
                <a:schemeClr val="tx1">
                  <a:lumMod val="75000"/>
                  <a:lumOff val="25000"/>
                </a:schemeClr>
              </a:solidFill>
              <a:ln w="9525" cap="flat" cmpd="sng" algn="ctr">
                <a:noFill/>
                <a:prstDash val="solid"/>
              </a:ln>
              <a:effectLst>
                <a:outerShdw blurRad="40000" dist="23000" dir="5400000" rotWithShape="0">
                  <a:srgbClr val="000000">
                    <a:alpha val="35000"/>
                  </a:srgbClr>
                </a:outerShdw>
              </a:effectLst>
            </c:spPr>
            <c:extLst>
              <c:ext xmlns:c16="http://schemas.microsoft.com/office/drawing/2014/chart" uri="{C3380CC4-5D6E-409C-BE32-E72D297353CC}">
                <c16:uniqueId val="{00000001-1BAD-4DF1-A937-9CB539682A80}"/>
              </c:ext>
            </c:extLst>
          </c:dPt>
          <c:dPt>
            <c:idx val="2"/>
            <c:invertIfNegative val="0"/>
            <c:bubble3D val="0"/>
            <c:spPr>
              <a:solidFill>
                <a:schemeClr val="tx1">
                  <a:lumMod val="50000"/>
                  <a:lumOff val="50000"/>
                </a:schemeClr>
              </a:solidFill>
              <a:ln w="9525" cap="flat" cmpd="sng" algn="ctr">
                <a:noFill/>
                <a:prstDash val="solid"/>
              </a:ln>
              <a:effectLst>
                <a:outerShdw blurRad="40000" dist="23000" dir="5400000" rotWithShape="0">
                  <a:srgbClr val="000000">
                    <a:alpha val="35000"/>
                  </a:srgbClr>
                </a:outerShdw>
              </a:effectLst>
            </c:spPr>
            <c:extLst>
              <c:ext xmlns:c16="http://schemas.microsoft.com/office/drawing/2014/chart" uri="{C3380CC4-5D6E-409C-BE32-E72D297353CC}">
                <c16:uniqueId val="{00000002-1BAD-4DF1-A937-9CB539682A80}"/>
              </c:ext>
            </c:extLst>
          </c:dPt>
          <c:cat>
            <c:strRef>
              <c:f>(datasheet!$A$10,datasheet!$A$12,datasheet!$A$15)</c:f>
              <c:strCache>
                <c:ptCount val="3"/>
                <c:pt idx="0">
                  <c:v>Graphite</c:v>
                </c:pt>
                <c:pt idx="1">
                  <c:v>Lead</c:v>
                </c:pt>
                <c:pt idx="2">
                  <c:v>Nickel</c:v>
                </c:pt>
              </c:strCache>
            </c:strRef>
          </c:cat>
          <c:val>
            <c:numRef>
              <c:f>(datasheet!$C$10,datasheet!$C$12,datasheet!$C$15)</c:f>
              <c:numCache>
                <c:formatCode>#,##0</c:formatCode>
                <c:ptCount val="3"/>
                <c:pt idx="0">
                  <c:v>71000000</c:v>
                </c:pt>
                <c:pt idx="1">
                  <c:v>80000000</c:v>
                </c:pt>
                <c:pt idx="2">
                  <c:v>76000000</c:v>
                </c:pt>
              </c:numCache>
            </c:numRef>
          </c:val>
          <c:extLst>
            <c:ext xmlns:c16="http://schemas.microsoft.com/office/drawing/2014/chart" uri="{C3380CC4-5D6E-409C-BE32-E72D297353CC}">
              <c16:uniqueId val="{00000003-1BAD-4DF1-A937-9CB539682A80}"/>
            </c:ext>
          </c:extLst>
        </c:ser>
        <c:dLbls>
          <c:showLegendKey val="0"/>
          <c:showVal val="0"/>
          <c:showCatName val="0"/>
          <c:showSerName val="0"/>
          <c:showPercent val="0"/>
          <c:showBubbleSize val="0"/>
        </c:dLbls>
        <c:gapWidth val="150"/>
        <c:axId val="50204032"/>
        <c:axId val="53464064"/>
      </c:barChart>
      <c:catAx>
        <c:axId val="50204032"/>
        <c:scaling>
          <c:orientation val="minMax"/>
        </c:scaling>
        <c:delete val="0"/>
        <c:axPos val="b"/>
        <c:numFmt formatCode="General" sourceLinked="0"/>
        <c:majorTickMark val="out"/>
        <c:minorTickMark val="none"/>
        <c:tickLblPos val="nextTo"/>
        <c:spPr>
          <a:ln>
            <a:noFill/>
          </a:ln>
        </c:spPr>
        <c:txPr>
          <a:bodyPr/>
          <a:lstStyle/>
          <a:p>
            <a:pPr>
              <a:defRPr b="1"/>
            </a:pPr>
            <a:endParaRPr lang="en-US"/>
          </a:p>
        </c:txPr>
        <c:crossAx val="53464064"/>
        <c:crosses val="autoZero"/>
        <c:auto val="1"/>
        <c:lblAlgn val="ctr"/>
        <c:lblOffset val="100"/>
        <c:noMultiLvlLbl val="0"/>
      </c:catAx>
      <c:valAx>
        <c:axId val="53464064"/>
        <c:scaling>
          <c:orientation val="minMax"/>
        </c:scaling>
        <c:delete val="1"/>
        <c:axPos val="l"/>
        <c:numFmt formatCode="#,##0" sourceLinked="1"/>
        <c:majorTickMark val="out"/>
        <c:minorTickMark val="none"/>
        <c:tickLblPos val="none"/>
        <c:crossAx val="50204032"/>
        <c:crosses val="autoZero"/>
        <c:crossBetween val="between"/>
      </c:valAx>
    </c:plotArea>
    <c:plotVisOnly val="1"/>
    <c:dispBlanksAs val="gap"/>
    <c:showDLblsOverMax val="0"/>
  </c:chart>
  <c:spPr>
    <a:noFill/>
    <a:ln>
      <a:noFill/>
    </a:ln>
  </c:spPr>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0-336D-435E-8D70-10E4C1871FEE}"/>
              </c:ext>
            </c:extLst>
          </c:dPt>
          <c:dPt>
            <c:idx val="1"/>
            <c:invertIfNegative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36D-435E-8D70-10E4C1871FEE}"/>
              </c:ext>
            </c:extLst>
          </c:dPt>
          <c:dLbls>
            <c:delete val="1"/>
          </c:dLbls>
          <c:cat>
            <c:strRef>
              <c:f>(datasheet!$A$3,datasheet!$A$17)</c:f>
              <c:strCache>
                <c:ptCount val="2"/>
                <c:pt idx="0">
                  <c:v>Aluminium</c:v>
                </c:pt>
                <c:pt idx="1">
                  <c:v>Phosphorus</c:v>
                </c:pt>
              </c:strCache>
            </c:strRef>
          </c:cat>
          <c:val>
            <c:numRef>
              <c:f>(datasheet!$C$3,datasheet!$C$17)</c:f>
              <c:numCache>
                <c:formatCode>#,##0</c:formatCode>
                <c:ptCount val="2"/>
                <c:pt idx="0">
                  <c:v>75000000000</c:v>
                </c:pt>
                <c:pt idx="1">
                  <c:v>65000000000</c:v>
                </c:pt>
              </c:numCache>
            </c:numRef>
          </c:val>
          <c:extLst>
            <c:ext xmlns:c16="http://schemas.microsoft.com/office/drawing/2014/chart" uri="{C3380CC4-5D6E-409C-BE32-E72D297353CC}">
              <c16:uniqueId val="{00000002-336D-435E-8D70-10E4C1871FEE}"/>
            </c:ext>
          </c:extLst>
        </c:ser>
        <c:dLbls>
          <c:showLegendKey val="0"/>
          <c:showVal val="1"/>
          <c:showCatName val="0"/>
          <c:showSerName val="0"/>
          <c:showPercent val="0"/>
          <c:showBubbleSize val="0"/>
        </c:dLbls>
        <c:gapWidth val="150"/>
        <c:overlap val="-25"/>
        <c:axId val="54070656"/>
        <c:axId val="59782272"/>
      </c:barChart>
      <c:catAx>
        <c:axId val="54070656"/>
        <c:scaling>
          <c:orientation val="minMax"/>
        </c:scaling>
        <c:delete val="0"/>
        <c:axPos val="b"/>
        <c:numFmt formatCode="General" sourceLinked="0"/>
        <c:majorTickMark val="none"/>
        <c:minorTickMark val="none"/>
        <c:tickLblPos val="nextTo"/>
        <c:spPr>
          <a:noFill/>
          <a:ln>
            <a:noFill/>
          </a:ln>
        </c:spPr>
        <c:txPr>
          <a:bodyPr/>
          <a:lstStyle/>
          <a:p>
            <a:pPr>
              <a:defRPr sz="1400" b="1"/>
            </a:pPr>
            <a:endParaRPr lang="en-US"/>
          </a:p>
        </c:txPr>
        <c:crossAx val="59782272"/>
        <c:crosses val="autoZero"/>
        <c:auto val="1"/>
        <c:lblAlgn val="ctr"/>
        <c:lblOffset val="100"/>
        <c:noMultiLvlLbl val="0"/>
      </c:catAx>
      <c:valAx>
        <c:axId val="59782272"/>
        <c:scaling>
          <c:orientation val="minMax"/>
        </c:scaling>
        <c:delete val="1"/>
        <c:axPos val="l"/>
        <c:numFmt formatCode="#,##0" sourceLinked="1"/>
        <c:majorTickMark val="out"/>
        <c:minorTickMark val="none"/>
        <c:tickLblPos val="none"/>
        <c:crossAx val="54070656"/>
        <c:crosses val="autoZero"/>
        <c:crossBetween val="between"/>
      </c:valAx>
      <c:spPr>
        <a:noFill/>
        <a:ln w="25400">
          <a:noFill/>
        </a:ln>
      </c:spPr>
    </c:plotArea>
    <c:plotVisOnly val="1"/>
    <c:dispBlanksAs val="gap"/>
    <c:showDLblsOverMax val="0"/>
  </c:chart>
  <c:spPr>
    <a:noFill/>
    <a:ln>
      <a:noFill/>
    </a:ln>
  </c:spPr>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119460500963391E-2"/>
          <c:y val="7.407407407407407E-2"/>
          <c:w val="0.95761078998073179"/>
          <c:h val="0.83309419655876393"/>
        </c:manualLayout>
      </c:layout>
      <c:barChart>
        <c:barDir val="col"/>
        <c:grouping val="clustered"/>
        <c:varyColors val="0"/>
        <c:ser>
          <c:idx val="0"/>
          <c:order val="0"/>
          <c:spPr>
            <a:solidFill>
              <a:schemeClr val="accent6"/>
            </a:solidFill>
            <a:ln w="25400" cap="flat" cmpd="sng" algn="ctr">
              <a:solidFill>
                <a:schemeClr val="accent6">
                  <a:shade val="50000"/>
                </a:schemeClr>
              </a:solidFill>
              <a:prstDash val="solid"/>
            </a:ln>
            <a:effectLst/>
          </c:spPr>
          <c:invertIfNegative val="0"/>
          <c:dPt>
            <c:idx val="0"/>
            <c:invertIfNegative val="0"/>
            <c:bubble3D val="0"/>
            <c:spPr>
              <a:solidFill>
                <a:schemeClr val="bg1">
                  <a:lumMod val="65000"/>
                </a:schemeClr>
              </a:solidFill>
              <a:ln w="25400" cap="flat" cmpd="sng" algn="ctr">
                <a:solidFill>
                  <a:schemeClr val="tx1">
                    <a:lumMod val="65000"/>
                    <a:lumOff val="35000"/>
                  </a:schemeClr>
                </a:solidFill>
                <a:prstDash val="solid"/>
              </a:ln>
              <a:effectLst/>
            </c:spPr>
            <c:extLst>
              <c:ext xmlns:c16="http://schemas.microsoft.com/office/drawing/2014/chart" uri="{C3380CC4-5D6E-409C-BE32-E72D297353CC}">
                <c16:uniqueId val="{00000000-81FB-4535-8982-0B546AE1E234}"/>
              </c:ext>
            </c:extLst>
          </c:dPt>
          <c:dPt>
            <c:idx val="1"/>
            <c:invertIfNegative val="0"/>
            <c:bubble3D val="0"/>
            <c:spPr>
              <a:solidFill>
                <a:schemeClr val="tx2">
                  <a:lumMod val="60000"/>
                  <a:lumOff val="40000"/>
                </a:schemeClr>
              </a:solidFill>
              <a:ln w="25400" cap="flat" cmpd="sng" algn="ctr">
                <a:solidFill>
                  <a:srgbClr val="0070C0"/>
                </a:solidFill>
                <a:prstDash val="solid"/>
              </a:ln>
              <a:effectLst/>
            </c:spPr>
            <c:extLst>
              <c:ext xmlns:c16="http://schemas.microsoft.com/office/drawing/2014/chart" uri="{C3380CC4-5D6E-409C-BE32-E72D297353CC}">
                <c16:uniqueId val="{00000001-81FB-4535-8982-0B546AE1E234}"/>
              </c:ext>
            </c:extLst>
          </c:dPt>
          <c:dPt>
            <c:idx val="2"/>
            <c:invertIfNegative val="0"/>
            <c:bubble3D val="0"/>
            <c:spPr>
              <a:solidFill>
                <a:schemeClr val="bg1">
                  <a:lumMod val="50000"/>
                </a:schemeClr>
              </a:solidFill>
              <a:ln w="25400" cap="flat" cmpd="sng" algn="ctr">
                <a:solidFill>
                  <a:schemeClr val="tx1">
                    <a:lumMod val="75000"/>
                    <a:lumOff val="25000"/>
                  </a:schemeClr>
                </a:solidFill>
                <a:prstDash val="solid"/>
              </a:ln>
              <a:effectLst/>
            </c:spPr>
            <c:extLst>
              <c:ext xmlns:c16="http://schemas.microsoft.com/office/drawing/2014/chart" uri="{C3380CC4-5D6E-409C-BE32-E72D297353CC}">
                <c16:uniqueId val="{00000002-81FB-4535-8982-0B546AE1E234}"/>
              </c:ext>
            </c:extLst>
          </c:dPt>
          <c:dPt>
            <c:idx val="3"/>
            <c:invertIfNegative val="0"/>
            <c:bubble3D val="0"/>
            <c:spPr>
              <a:solidFill>
                <a:schemeClr val="bg1">
                  <a:lumMod val="85000"/>
                </a:schemeClr>
              </a:solidFill>
              <a:ln w="25400" cap="flat" cmpd="sng" algn="ctr">
                <a:solidFill>
                  <a:schemeClr val="bg1">
                    <a:lumMod val="50000"/>
                  </a:schemeClr>
                </a:solidFill>
                <a:prstDash val="solid"/>
              </a:ln>
              <a:effectLst/>
            </c:spPr>
            <c:extLst>
              <c:ext xmlns:c16="http://schemas.microsoft.com/office/drawing/2014/chart" uri="{C3380CC4-5D6E-409C-BE32-E72D297353CC}">
                <c16:uniqueId val="{00000003-81FB-4535-8982-0B546AE1E234}"/>
              </c:ext>
            </c:extLst>
          </c:dPt>
          <c:dPt>
            <c:idx val="4"/>
            <c:invertIfNegative val="0"/>
            <c:bubble3D val="0"/>
            <c:spPr>
              <a:solidFill>
                <a:schemeClr val="bg1">
                  <a:lumMod val="95000"/>
                </a:schemeClr>
              </a:solidFill>
              <a:ln w="25400" cap="flat" cmpd="sng" algn="ctr">
                <a:solidFill>
                  <a:schemeClr val="bg1">
                    <a:lumMod val="50000"/>
                  </a:schemeClr>
                </a:solidFill>
                <a:prstDash val="solid"/>
              </a:ln>
              <a:effectLst/>
            </c:spPr>
            <c:extLst>
              <c:ext xmlns:c16="http://schemas.microsoft.com/office/drawing/2014/chart" uri="{C3380CC4-5D6E-409C-BE32-E72D297353CC}">
                <c16:uniqueId val="{00000004-81FB-4535-8982-0B546AE1E234}"/>
              </c:ext>
            </c:extLst>
          </c:dPt>
          <c:dPt>
            <c:idx val="5"/>
            <c:invertIfNegative val="0"/>
            <c:bubble3D val="0"/>
            <c:spPr>
              <a:solidFill>
                <a:srgbClr val="FBD875"/>
              </a:solidFill>
              <a:ln w="25400" cap="flat" cmpd="sng" algn="ctr">
                <a:solidFill>
                  <a:schemeClr val="accent6">
                    <a:shade val="50000"/>
                  </a:schemeClr>
                </a:solidFill>
                <a:prstDash val="solid"/>
              </a:ln>
              <a:effectLst/>
            </c:spPr>
            <c:extLst>
              <c:ext xmlns:c16="http://schemas.microsoft.com/office/drawing/2014/chart" uri="{C3380CC4-5D6E-409C-BE32-E72D297353CC}">
                <c16:uniqueId val="{00000005-81FB-4535-8982-0B546AE1E234}"/>
              </c:ext>
            </c:extLst>
          </c:dPt>
          <c:cat>
            <c:strRef>
              <c:f>(datasheet!$A$4,datasheet!$A$7,datasheet!$A$14,datasheet!$A$21,datasheet!$A$23,datasheet!$A$24)</c:f>
              <c:strCache>
                <c:ptCount val="6"/>
                <c:pt idx="0">
                  <c:v>Antimony</c:v>
                </c:pt>
                <c:pt idx="1">
                  <c:v>Cobalt</c:v>
                </c:pt>
                <c:pt idx="2">
                  <c:v>Molybdenum</c:v>
                </c:pt>
                <c:pt idx="3">
                  <c:v>Tin</c:v>
                </c:pt>
                <c:pt idx="4">
                  <c:v>Tungsten</c:v>
                </c:pt>
                <c:pt idx="5">
                  <c:v>Uranium</c:v>
                </c:pt>
              </c:strCache>
            </c:strRef>
          </c:cat>
          <c:val>
            <c:numRef>
              <c:f>(datasheet!$C$4,datasheet!$C$7,datasheet!$C$14,datasheet!$C$21,datasheet!$C$23,datasheet!$C$24)</c:f>
              <c:numCache>
                <c:formatCode>#,##0</c:formatCode>
                <c:ptCount val="6"/>
                <c:pt idx="0">
                  <c:v>1800000</c:v>
                </c:pt>
                <c:pt idx="1">
                  <c:v>7300000</c:v>
                </c:pt>
                <c:pt idx="2">
                  <c:v>9800000</c:v>
                </c:pt>
                <c:pt idx="3">
                  <c:v>5200000</c:v>
                </c:pt>
                <c:pt idx="4">
                  <c:v>2900000</c:v>
                </c:pt>
                <c:pt idx="5">
                  <c:v>5469000</c:v>
                </c:pt>
              </c:numCache>
            </c:numRef>
          </c:val>
          <c:extLst>
            <c:ext xmlns:c16="http://schemas.microsoft.com/office/drawing/2014/chart" uri="{C3380CC4-5D6E-409C-BE32-E72D297353CC}">
              <c16:uniqueId val="{00000006-81FB-4535-8982-0B546AE1E234}"/>
            </c:ext>
          </c:extLst>
        </c:ser>
        <c:dLbls>
          <c:showLegendKey val="0"/>
          <c:showVal val="0"/>
          <c:showCatName val="0"/>
          <c:showSerName val="0"/>
          <c:showPercent val="0"/>
          <c:showBubbleSize val="0"/>
        </c:dLbls>
        <c:gapWidth val="150"/>
        <c:axId val="74683904"/>
        <c:axId val="74685824"/>
      </c:barChart>
      <c:catAx>
        <c:axId val="74683904"/>
        <c:scaling>
          <c:orientation val="minMax"/>
        </c:scaling>
        <c:delete val="0"/>
        <c:axPos val="b"/>
        <c:numFmt formatCode="General" sourceLinked="0"/>
        <c:majorTickMark val="out"/>
        <c:minorTickMark val="none"/>
        <c:tickLblPos val="nextTo"/>
        <c:spPr>
          <a:ln>
            <a:noFill/>
          </a:ln>
        </c:spPr>
        <c:txPr>
          <a:bodyPr/>
          <a:lstStyle/>
          <a:p>
            <a:pPr>
              <a:defRPr sz="900" b="1"/>
            </a:pPr>
            <a:endParaRPr lang="en-US"/>
          </a:p>
        </c:txPr>
        <c:crossAx val="74685824"/>
        <c:crosses val="autoZero"/>
        <c:auto val="1"/>
        <c:lblAlgn val="ctr"/>
        <c:lblOffset val="100"/>
        <c:noMultiLvlLbl val="0"/>
      </c:catAx>
      <c:valAx>
        <c:axId val="74685824"/>
        <c:scaling>
          <c:orientation val="minMax"/>
        </c:scaling>
        <c:delete val="1"/>
        <c:axPos val="l"/>
        <c:numFmt formatCode="#,##0" sourceLinked="1"/>
        <c:majorTickMark val="out"/>
        <c:minorTickMark val="none"/>
        <c:tickLblPos val="none"/>
        <c:crossAx val="74683904"/>
        <c:crosses val="autoZero"/>
        <c:crossBetween val="between"/>
      </c:valAx>
      <c:spPr>
        <a:noFill/>
      </c:spPr>
    </c:plotArea>
    <c:plotVisOnly val="1"/>
    <c:dispBlanksAs val="gap"/>
    <c:showDLblsOverMax val="0"/>
  </c:chart>
  <c:spPr>
    <a:noFill/>
    <a:ln>
      <a:noFill/>
    </a:ln>
  </c:spPr>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gradFill rotWithShape="1">
              <a:gsLst>
                <a:gs pos="0">
                  <a:schemeClr val="dk1">
                    <a:tint val="50000"/>
                    <a:satMod val="300000"/>
                  </a:schemeClr>
                </a:gs>
                <a:gs pos="35000">
                  <a:schemeClr val="dk1">
                    <a:tint val="37000"/>
                    <a:satMod val="300000"/>
                  </a:schemeClr>
                </a:gs>
                <a:gs pos="100000">
                  <a:schemeClr val="dk1">
                    <a:tint val="15000"/>
                    <a:satMod val="350000"/>
                  </a:schemeClr>
                </a:gs>
              </a:gsLst>
              <a:lin ang="16200000" scaled="1"/>
            </a:gradFill>
            <a:ln w="9525" cap="flat" cmpd="sng" algn="ctr">
              <a:solidFill>
                <a:schemeClr val="bg1">
                  <a:lumMod val="65000"/>
                </a:schemeClr>
              </a:solidFill>
              <a:prstDash val="solid"/>
            </a:ln>
            <a:effectLst>
              <a:outerShdw blurRad="40000" dist="20000" dir="5400000" rotWithShape="0">
                <a:srgbClr val="000000">
                  <a:alpha val="38000"/>
                </a:srgbClr>
              </a:outerShdw>
            </a:effectLst>
          </c:spPr>
          <c:invertIfNegative val="0"/>
          <c:cat>
            <c:strRef>
              <c:f>(datasheet!$A$5,datasheet!$A$19,datasheet!$A$20,datasheet!$A$25)</c:f>
              <c:strCache>
                <c:ptCount val="4"/>
                <c:pt idx="0">
                  <c:v>Cadmium</c:v>
                </c:pt>
                <c:pt idx="1">
                  <c:v>Silver</c:v>
                </c:pt>
                <c:pt idx="2">
                  <c:v>Tantalum</c:v>
                </c:pt>
                <c:pt idx="3">
                  <c:v>Yttrium</c:v>
                </c:pt>
              </c:strCache>
            </c:strRef>
          </c:cat>
          <c:val>
            <c:numRef>
              <c:f>(datasheet!$C$5,datasheet!$C$19,datasheet!$C$20,datasheet!$C$25)</c:f>
              <c:numCache>
                <c:formatCode>#,##0</c:formatCode>
                <c:ptCount val="4"/>
                <c:pt idx="0">
                  <c:v>660000</c:v>
                </c:pt>
                <c:pt idx="1">
                  <c:v>510000</c:v>
                </c:pt>
                <c:pt idx="2">
                  <c:v>110000</c:v>
                </c:pt>
                <c:pt idx="3">
                  <c:v>540000</c:v>
                </c:pt>
              </c:numCache>
            </c:numRef>
          </c:val>
          <c:extLst>
            <c:ext xmlns:c16="http://schemas.microsoft.com/office/drawing/2014/chart" uri="{C3380CC4-5D6E-409C-BE32-E72D297353CC}">
              <c16:uniqueId val="{00000000-B2F1-45A6-A56E-2499741C2DE9}"/>
            </c:ext>
          </c:extLst>
        </c:ser>
        <c:dLbls>
          <c:showLegendKey val="0"/>
          <c:showVal val="0"/>
          <c:showCatName val="0"/>
          <c:showSerName val="0"/>
          <c:showPercent val="0"/>
          <c:showBubbleSize val="0"/>
        </c:dLbls>
        <c:gapWidth val="150"/>
        <c:axId val="38689408"/>
        <c:axId val="38691200"/>
      </c:barChart>
      <c:catAx>
        <c:axId val="38689408"/>
        <c:scaling>
          <c:orientation val="minMax"/>
        </c:scaling>
        <c:delete val="0"/>
        <c:axPos val="b"/>
        <c:numFmt formatCode="General" sourceLinked="0"/>
        <c:majorTickMark val="out"/>
        <c:minorTickMark val="none"/>
        <c:tickLblPos val="nextTo"/>
        <c:spPr>
          <a:ln>
            <a:noFill/>
          </a:ln>
        </c:spPr>
        <c:txPr>
          <a:bodyPr/>
          <a:lstStyle/>
          <a:p>
            <a:pPr>
              <a:defRPr sz="900" b="1"/>
            </a:pPr>
            <a:endParaRPr lang="en-US"/>
          </a:p>
        </c:txPr>
        <c:crossAx val="38691200"/>
        <c:crosses val="autoZero"/>
        <c:auto val="1"/>
        <c:lblAlgn val="ctr"/>
        <c:lblOffset val="100"/>
        <c:noMultiLvlLbl val="0"/>
      </c:catAx>
      <c:valAx>
        <c:axId val="38691200"/>
        <c:scaling>
          <c:orientation val="minMax"/>
        </c:scaling>
        <c:delete val="1"/>
        <c:axPos val="l"/>
        <c:numFmt formatCode="#,##0" sourceLinked="1"/>
        <c:majorTickMark val="out"/>
        <c:minorTickMark val="none"/>
        <c:tickLblPos val="none"/>
        <c:crossAx val="38689408"/>
        <c:crosses val="autoZero"/>
        <c:crossBetween val="between"/>
      </c:valAx>
    </c:plotArea>
    <c:plotVisOnly val="1"/>
    <c:dispBlanksAs val="gap"/>
    <c:showDLblsOverMax val="0"/>
  </c:chart>
  <c:spPr>
    <a:ln>
      <a:noFill/>
    </a:ln>
  </c:spPr>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C000"/>
            </a:solidFill>
            <a:ln>
              <a:noFill/>
            </a:ln>
          </c:spPr>
          <c:invertIfNegative val="0"/>
          <c:dPt>
            <c:idx val="0"/>
            <c:invertIfNegative val="0"/>
            <c:bubble3D val="0"/>
            <c:spPr>
              <a:solidFill>
                <a:srgbClr val="FFC000"/>
              </a:solidFill>
              <a:ln w="9525" cap="flat" cmpd="sng" algn="ctr">
                <a:noFill/>
                <a:prstDash val="solid"/>
              </a:ln>
              <a:effectLst>
                <a:outerShdw blurRad="40000" dist="23000" dir="5400000" rotWithShape="0">
                  <a:srgbClr val="000000">
                    <a:alpha val="35000"/>
                  </a:srgbClr>
                </a:outerShdw>
              </a:effectLst>
            </c:spPr>
            <c:extLst>
              <c:ext xmlns:c16="http://schemas.microsoft.com/office/drawing/2014/chart" uri="{C3380CC4-5D6E-409C-BE32-E72D297353CC}">
                <c16:uniqueId val="{00000000-7692-46C3-ABE6-6EECFA8F9A14}"/>
              </c:ext>
            </c:extLst>
          </c:dPt>
          <c:dPt>
            <c:idx val="1"/>
            <c:invertIfNegative val="0"/>
            <c:bubble3D val="0"/>
            <c:spPr>
              <a:solidFill>
                <a:schemeClr val="bg1">
                  <a:lumMod val="75000"/>
                </a:schemeClr>
              </a:solidFill>
              <a:ln>
                <a:noFill/>
              </a:ln>
            </c:spPr>
            <c:extLst>
              <c:ext xmlns:c16="http://schemas.microsoft.com/office/drawing/2014/chart" uri="{C3380CC4-5D6E-409C-BE32-E72D297353CC}">
                <c16:uniqueId val="{00000001-7692-46C3-ABE6-6EECFA8F9A14}"/>
              </c:ext>
            </c:extLst>
          </c:dPt>
          <c:dPt>
            <c:idx val="2"/>
            <c:invertIfNegative val="0"/>
            <c:bubble3D val="0"/>
            <c:spPr>
              <a:solidFill>
                <a:schemeClr val="bg1">
                  <a:lumMod val="50000"/>
                </a:schemeClr>
              </a:solidFill>
              <a:ln>
                <a:noFill/>
              </a:ln>
            </c:spPr>
            <c:extLst>
              <c:ext xmlns:c16="http://schemas.microsoft.com/office/drawing/2014/chart" uri="{C3380CC4-5D6E-409C-BE32-E72D297353CC}">
                <c16:uniqueId val="{00000002-7692-46C3-ABE6-6EECFA8F9A14}"/>
              </c:ext>
            </c:extLst>
          </c:dPt>
          <c:cat>
            <c:strRef>
              <c:f>(datasheet!$A$9,datasheet!$A$11,datasheet!$A$16)</c:f>
              <c:strCache>
                <c:ptCount val="3"/>
                <c:pt idx="0">
                  <c:v>Gold</c:v>
                </c:pt>
                <c:pt idx="1">
                  <c:v>Indium</c:v>
                </c:pt>
                <c:pt idx="2">
                  <c:v>Platinum</c:v>
                </c:pt>
              </c:strCache>
            </c:strRef>
          </c:cat>
          <c:val>
            <c:numRef>
              <c:f>(datasheet!$C$9,datasheet!$C$11,datasheet!$C$16)</c:f>
              <c:numCache>
                <c:formatCode>#,##0</c:formatCode>
                <c:ptCount val="3"/>
                <c:pt idx="0">
                  <c:v>51000</c:v>
                </c:pt>
                <c:pt idx="1">
                  <c:v>11000</c:v>
                </c:pt>
                <c:pt idx="2">
                  <c:v>66000</c:v>
                </c:pt>
              </c:numCache>
            </c:numRef>
          </c:val>
          <c:extLst>
            <c:ext xmlns:c16="http://schemas.microsoft.com/office/drawing/2014/chart" uri="{C3380CC4-5D6E-409C-BE32-E72D297353CC}">
              <c16:uniqueId val="{00000003-7692-46C3-ABE6-6EECFA8F9A14}"/>
            </c:ext>
          </c:extLst>
        </c:ser>
        <c:dLbls>
          <c:showLegendKey val="0"/>
          <c:showVal val="0"/>
          <c:showCatName val="0"/>
          <c:showSerName val="0"/>
          <c:showPercent val="0"/>
          <c:showBubbleSize val="0"/>
        </c:dLbls>
        <c:gapWidth val="150"/>
        <c:axId val="38707968"/>
        <c:axId val="38709504"/>
      </c:barChart>
      <c:catAx>
        <c:axId val="38707968"/>
        <c:scaling>
          <c:orientation val="minMax"/>
        </c:scaling>
        <c:delete val="0"/>
        <c:axPos val="b"/>
        <c:numFmt formatCode="General" sourceLinked="0"/>
        <c:majorTickMark val="out"/>
        <c:minorTickMark val="none"/>
        <c:tickLblPos val="nextTo"/>
        <c:spPr>
          <a:ln>
            <a:noFill/>
          </a:ln>
        </c:spPr>
        <c:crossAx val="38709504"/>
        <c:crosses val="autoZero"/>
        <c:auto val="1"/>
        <c:lblAlgn val="ctr"/>
        <c:lblOffset val="100"/>
        <c:noMultiLvlLbl val="0"/>
      </c:catAx>
      <c:valAx>
        <c:axId val="38709504"/>
        <c:scaling>
          <c:orientation val="minMax"/>
        </c:scaling>
        <c:delete val="1"/>
        <c:axPos val="l"/>
        <c:numFmt formatCode="#,##0" sourceLinked="1"/>
        <c:majorTickMark val="out"/>
        <c:minorTickMark val="none"/>
        <c:tickLblPos val="none"/>
        <c:crossAx val="38707968"/>
        <c:crosses val="autoZero"/>
        <c:crossBetween val="between"/>
      </c:valAx>
      <c:spPr>
        <a:noFill/>
        <a:ln w="25400">
          <a:noFill/>
        </a:ln>
      </c:spPr>
    </c:plotArea>
    <c:plotVisOnly val="1"/>
    <c:dispBlanksAs val="gap"/>
    <c:showDLblsOverMax val="0"/>
  </c:chart>
  <c:spPr>
    <a:noFill/>
    <a:ln>
      <a:noFill/>
    </a:ln>
  </c:spPr>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image" Target="../media/image2.png"/><Relationship Id="rId10" Type="http://schemas.openxmlformats.org/officeDocument/2006/relationships/image" Target="../media/image4.png"/><Relationship Id="rId4" Type="http://schemas.openxmlformats.org/officeDocument/2006/relationships/image" Target="../media/image1.png"/><Relationship Id="rId9" Type="http://schemas.openxmlformats.org/officeDocument/2006/relationships/chart" Target="../charts/chart6.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276222</xdr:colOff>
      <xdr:row>5</xdr:row>
      <xdr:rowOff>103413</xdr:rowOff>
    </xdr:from>
    <xdr:to>
      <xdr:col>18</xdr:col>
      <xdr:colOff>171449</xdr:colOff>
      <xdr:row>21</xdr:row>
      <xdr:rowOff>19049</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129208</xdr:colOff>
      <xdr:row>28</xdr:row>
      <xdr:rowOff>135420</xdr:rowOff>
    </xdr:from>
    <xdr:to>
      <xdr:col>5</xdr:col>
      <xdr:colOff>94510</xdr:colOff>
      <xdr:row>42</xdr:row>
      <xdr:rowOff>133349</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6</xdr:row>
      <xdr:rowOff>76774</xdr:rowOff>
    </xdr:from>
    <xdr:to>
      <xdr:col>4</xdr:col>
      <xdr:colOff>409575</xdr:colOff>
      <xdr:row>21</xdr:row>
      <xdr:rowOff>57150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580539</xdr:colOff>
      <xdr:row>5</xdr:row>
      <xdr:rowOff>53789</xdr:rowOff>
    </xdr:from>
    <xdr:to>
      <xdr:col>4</xdr:col>
      <xdr:colOff>96609</xdr:colOff>
      <xdr:row>19</xdr:row>
      <xdr:rowOff>89619</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846804" y="1028701"/>
          <a:ext cx="827158" cy="2232183"/>
        </a:xfrm>
        <a:prstGeom prst="rect">
          <a:avLst/>
        </a:prstGeom>
      </xdr:spPr>
    </xdr:pic>
    <xdr:clientData/>
  </xdr:twoCellAnchor>
  <xdr:twoCellAnchor>
    <xdr:from>
      <xdr:col>0</xdr:col>
      <xdr:colOff>517508</xdr:colOff>
      <xdr:row>5</xdr:row>
      <xdr:rowOff>55678</xdr:rowOff>
    </xdr:from>
    <xdr:to>
      <xdr:col>2</xdr:col>
      <xdr:colOff>78401</xdr:colOff>
      <xdr:row>19</xdr:row>
      <xdr:rowOff>91508</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17508" y="1030590"/>
          <a:ext cx="827158" cy="2232183"/>
        </a:xfrm>
        <a:prstGeom prst="rect">
          <a:avLst/>
        </a:prstGeom>
      </xdr:spPr>
    </xdr:pic>
    <xdr:clientData/>
  </xdr:twoCellAnchor>
  <xdr:twoCellAnchor editAs="oneCell">
    <xdr:from>
      <xdr:col>14</xdr:col>
      <xdr:colOff>49189</xdr:colOff>
      <xdr:row>5</xdr:row>
      <xdr:rowOff>93748</xdr:rowOff>
    </xdr:from>
    <xdr:to>
      <xdr:col>15</xdr:col>
      <xdr:colOff>224581</xdr:colOff>
      <xdr:row>19</xdr:row>
      <xdr:rowOff>97646</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951129" y="1099588"/>
          <a:ext cx="724032" cy="2350858"/>
        </a:xfrm>
        <a:prstGeom prst="rect">
          <a:avLst/>
        </a:prstGeom>
      </xdr:spPr>
    </xdr:pic>
    <xdr:clientData/>
  </xdr:twoCellAnchor>
  <xdr:twoCellAnchor editAs="oneCell">
    <xdr:from>
      <xdr:col>8</xdr:col>
      <xdr:colOff>8903</xdr:colOff>
      <xdr:row>5</xdr:row>
      <xdr:rowOff>108952</xdr:rowOff>
    </xdr:from>
    <xdr:to>
      <xdr:col>9</xdr:col>
      <xdr:colOff>166905</xdr:colOff>
      <xdr:row>19</xdr:row>
      <xdr:rowOff>108952</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870463" y="1114792"/>
          <a:ext cx="737122" cy="2346960"/>
        </a:xfrm>
        <a:prstGeom prst="rect">
          <a:avLst/>
        </a:prstGeom>
      </xdr:spPr>
    </xdr:pic>
    <xdr:clientData/>
  </xdr:twoCellAnchor>
  <xdr:twoCellAnchor editAs="oneCell">
    <xdr:from>
      <xdr:col>11</xdr:col>
      <xdr:colOff>460372</xdr:colOff>
      <xdr:row>5</xdr:row>
      <xdr:rowOff>131780</xdr:rowOff>
    </xdr:from>
    <xdr:to>
      <xdr:col>13</xdr:col>
      <xdr:colOff>103912</xdr:colOff>
      <xdr:row>19</xdr:row>
      <xdr:rowOff>131780</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899272" y="1137620"/>
          <a:ext cx="717960" cy="2346960"/>
        </a:xfrm>
        <a:prstGeom prst="rect">
          <a:avLst/>
        </a:prstGeom>
      </xdr:spPr>
    </xdr:pic>
    <xdr:clientData/>
  </xdr:twoCellAnchor>
  <xdr:twoCellAnchor editAs="oneCell">
    <xdr:from>
      <xdr:col>16</xdr:col>
      <xdr:colOff>34889</xdr:colOff>
      <xdr:row>5</xdr:row>
      <xdr:rowOff>136497</xdr:rowOff>
    </xdr:from>
    <xdr:to>
      <xdr:col>17</xdr:col>
      <xdr:colOff>193483</xdr:colOff>
      <xdr:row>19</xdr:row>
      <xdr:rowOff>145071</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858849" y="1142337"/>
          <a:ext cx="737714" cy="2355534"/>
        </a:xfrm>
        <a:prstGeom prst="rect">
          <a:avLst/>
        </a:prstGeom>
      </xdr:spPr>
    </xdr:pic>
    <xdr:clientData/>
  </xdr:twoCellAnchor>
  <xdr:twoCellAnchor editAs="oneCell">
    <xdr:from>
      <xdr:col>9</xdr:col>
      <xdr:colOff>410734</xdr:colOff>
      <xdr:row>5</xdr:row>
      <xdr:rowOff>165164</xdr:rowOff>
    </xdr:from>
    <xdr:to>
      <xdr:col>11</xdr:col>
      <xdr:colOff>117603</xdr:colOff>
      <xdr:row>19</xdr:row>
      <xdr:rowOff>165164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851414" y="1171004"/>
          <a:ext cx="705089" cy="2346960"/>
        </a:xfrm>
        <a:prstGeom prst="rect">
          <a:avLst/>
        </a:prstGeom>
      </xdr:spPr>
    </xdr:pic>
    <xdr:clientData/>
  </xdr:twoCellAnchor>
  <xdr:twoCellAnchor editAs="oneCell">
    <xdr:from>
      <xdr:col>5</xdr:col>
      <xdr:colOff>603516</xdr:colOff>
      <xdr:row>5</xdr:row>
      <xdr:rowOff>118197</xdr:rowOff>
    </xdr:from>
    <xdr:to>
      <xdr:col>7</xdr:col>
      <xdr:colOff>134651</xdr:colOff>
      <xdr:row>19</xdr:row>
      <xdr:rowOff>118197</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880116" y="1124037"/>
          <a:ext cx="704615" cy="2346960"/>
        </a:xfrm>
        <a:prstGeom prst="rect">
          <a:avLst/>
        </a:prstGeom>
      </xdr:spPr>
    </xdr:pic>
    <xdr:clientData/>
  </xdr:twoCellAnchor>
  <xdr:twoCellAnchor>
    <xdr:from>
      <xdr:col>4</xdr:col>
      <xdr:colOff>400051</xdr:colOff>
      <xdr:row>28</xdr:row>
      <xdr:rowOff>76200</xdr:rowOff>
    </xdr:from>
    <xdr:to>
      <xdr:col>14</xdr:col>
      <xdr:colOff>211207</xdr:colOff>
      <xdr:row>41</xdr:row>
      <xdr:rowOff>2112</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95974</xdr:colOff>
      <xdr:row>29</xdr:row>
      <xdr:rowOff>109355</xdr:rowOff>
    </xdr:from>
    <xdr:to>
      <xdr:col>5</xdr:col>
      <xdr:colOff>493110</xdr:colOff>
      <xdr:row>40</xdr:row>
      <xdr:rowOff>5160</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375202" y="5537948"/>
          <a:ext cx="397136" cy="1898026"/>
        </a:xfrm>
        <a:prstGeom prst="rect">
          <a:avLst/>
        </a:prstGeom>
      </xdr:spPr>
    </xdr:pic>
    <xdr:clientData/>
  </xdr:twoCellAnchor>
  <xdr:twoCellAnchor>
    <xdr:from>
      <xdr:col>6</xdr:col>
      <xdr:colOff>268989</xdr:colOff>
      <xdr:row>29</xdr:row>
      <xdr:rowOff>118629</xdr:rowOff>
    </xdr:from>
    <xdr:to>
      <xdr:col>7</xdr:col>
      <xdr:colOff>128242</xdr:colOff>
      <xdr:row>40</xdr:row>
      <xdr:rowOff>14434</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173582" y="5547222"/>
          <a:ext cx="405791" cy="1898026"/>
        </a:xfrm>
        <a:prstGeom prst="rect">
          <a:avLst/>
        </a:prstGeom>
      </xdr:spPr>
    </xdr:pic>
    <xdr:clientData/>
  </xdr:twoCellAnchor>
  <xdr:twoCellAnchor>
    <xdr:from>
      <xdr:col>8</xdr:col>
      <xdr:colOff>121860</xdr:colOff>
      <xdr:row>29</xdr:row>
      <xdr:rowOff>100304</xdr:rowOff>
    </xdr:from>
    <xdr:to>
      <xdr:col>8</xdr:col>
      <xdr:colOff>518996</xdr:colOff>
      <xdr:row>39</xdr:row>
      <xdr:rowOff>152991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982894" y="5528897"/>
          <a:ext cx="397136" cy="1886742"/>
        </a:xfrm>
        <a:prstGeom prst="rect">
          <a:avLst/>
        </a:prstGeom>
      </xdr:spPr>
    </xdr:pic>
    <xdr:clientData/>
  </xdr:twoCellAnchor>
  <xdr:twoCellAnchor>
    <xdr:from>
      <xdr:col>9</xdr:col>
      <xdr:colOff>347206</xdr:colOff>
      <xdr:row>29</xdr:row>
      <xdr:rowOff>100530</xdr:rowOff>
    </xdr:from>
    <xdr:to>
      <xdr:col>10</xdr:col>
      <xdr:colOff>318518</xdr:colOff>
      <xdr:row>39</xdr:row>
      <xdr:rowOff>153217</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786309" y="5529123"/>
          <a:ext cx="412747" cy="1886742"/>
        </a:xfrm>
        <a:prstGeom prst="rect">
          <a:avLst/>
        </a:prstGeom>
      </xdr:spPr>
    </xdr:pic>
    <xdr:clientData/>
  </xdr:twoCellAnchor>
  <xdr:twoCellAnchor>
    <xdr:from>
      <xdr:col>11</xdr:col>
      <xdr:colOff>160616</xdr:colOff>
      <xdr:row>29</xdr:row>
      <xdr:rowOff>109354</xdr:rowOff>
    </xdr:from>
    <xdr:to>
      <xdr:col>12</xdr:col>
      <xdr:colOff>87105</xdr:colOff>
      <xdr:row>40</xdr:row>
      <xdr:rowOff>5159</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598202" y="5537947"/>
          <a:ext cx="404710" cy="1898026"/>
        </a:xfrm>
        <a:prstGeom prst="rect">
          <a:avLst/>
        </a:prstGeom>
      </xdr:spPr>
    </xdr:pic>
    <xdr:clientData/>
  </xdr:twoCellAnchor>
  <xdr:twoCellAnchor>
    <xdr:from>
      <xdr:col>12</xdr:col>
      <xdr:colOff>484132</xdr:colOff>
      <xdr:row>29</xdr:row>
      <xdr:rowOff>109354</xdr:rowOff>
    </xdr:from>
    <xdr:to>
      <xdr:col>13</xdr:col>
      <xdr:colOff>265770</xdr:colOff>
      <xdr:row>40</xdr:row>
      <xdr:rowOff>5160</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1" r="8258"/>
        <a:stretch/>
      </xdr:blipFill>
      <xdr:spPr>
        <a:xfrm>
          <a:off x="7399939" y="5537947"/>
          <a:ext cx="375472" cy="1898027"/>
        </a:xfrm>
        <a:prstGeom prst="rect">
          <a:avLst/>
        </a:prstGeom>
      </xdr:spPr>
    </xdr:pic>
    <xdr:clientData/>
  </xdr:twoCellAnchor>
  <xdr:twoCellAnchor editAs="oneCell">
    <xdr:from>
      <xdr:col>0</xdr:col>
      <xdr:colOff>400050</xdr:colOff>
      <xdr:row>29</xdr:row>
      <xdr:rowOff>76200</xdr:rowOff>
    </xdr:from>
    <xdr:to>
      <xdr:col>1</xdr:col>
      <xdr:colOff>485774</xdr:colOff>
      <xdr:row>41</xdr:row>
      <xdr:rowOff>47626</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5462" b="2521"/>
        <a:stretch/>
      </xdr:blipFill>
      <xdr:spPr>
        <a:xfrm>
          <a:off x="400050" y="5275729"/>
          <a:ext cx="690842" cy="2033309"/>
        </a:xfrm>
        <a:prstGeom prst="rect">
          <a:avLst/>
        </a:prstGeom>
      </xdr:spPr>
    </xdr:pic>
    <xdr:clientData/>
  </xdr:twoCellAnchor>
  <xdr:twoCellAnchor editAs="oneCell">
    <xdr:from>
      <xdr:col>2</xdr:col>
      <xdr:colOff>85725</xdr:colOff>
      <xdr:row>29</xdr:row>
      <xdr:rowOff>47625</xdr:rowOff>
    </xdr:from>
    <xdr:to>
      <xdr:col>3</xdr:col>
      <xdr:colOff>171449</xdr:colOff>
      <xdr:row>41</xdr:row>
      <xdr:rowOff>57150</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4202" b="2101"/>
        <a:stretch/>
      </xdr:blipFill>
      <xdr:spPr>
        <a:xfrm>
          <a:off x="1351990" y="5247154"/>
          <a:ext cx="690841" cy="2071408"/>
        </a:xfrm>
        <a:prstGeom prst="rect">
          <a:avLst/>
        </a:prstGeom>
      </xdr:spPr>
    </xdr:pic>
    <xdr:clientData/>
  </xdr:twoCellAnchor>
  <xdr:twoCellAnchor editAs="oneCell">
    <xdr:from>
      <xdr:col>3</xdr:col>
      <xdr:colOff>428625</xdr:colOff>
      <xdr:row>29</xdr:row>
      <xdr:rowOff>66674</xdr:rowOff>
    </xdr:from>
    <xdr:to>
      <xdr:col>4</xdr:col>
      <xdr:colOff>419099</xdr:colOff>
      <xdr:row>41</xdr:row>
      <xdr:rowOff>66675</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4621" b="2101"/>
        <a:stretch/>
      </xdr:blipFill>
      <xdr:spPr>
        <a:xfrm>
          <a:off x="2300007" y="5266203"/>
          <a:ext cx="696445" cy="2061884"/>
        </a:xfrm>
        <a:prstGeom prst="rect">
          <a:avLst/>
        </a:prstGeom>
      </xdr:spPr>
    </xdr:pic>
    <xdr:clientData/>
  </xdr:twoCellAnchor>
  <xdr:twoCellAnchor>
    <xdr:from>
      <xdr:col>14</xdr:col>
      <xdr:colOff>82327</xdr:colOff>
      <xdr:row>25</xdr:row>
      <xdr:rowOff>52303</xdr:rowOff>
    </xdr:from>
    <xdr:to>
      <xdr:col>18</xdr:col>
      <xdr:colOff>548019</xdr:colOff>
      <xdr:row>34</xdr:row>
      <xdr:rowOff>57154</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251410</xdr:colOff>
      <xdr:row>24</xdr:row>
      <xdr:rowOff>149186</xdr:rowOff>
    </xdr:from>
    <xdr:to>
      <xdr:col>15</xdr:col>
      <xdr:colOff>149141</xdr:colOff>
      <xdr:row>32</xdr:row>
      <xdr:rowOff>67490</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938645" y="4351392"/>
          <a:ext cx="435614" cy="1386274"/>
        </a:xfrm>
        <a:prstGeom prst="rect">
          <a:avLst/>
        </a:prstGeom>
      </xdr:spPr>
    </xdr:pic>
    <xdr:clientData/>
  </xdr:twoCellAnchor>
  <xdr:twoCellAnchor>
    <xdr:from>
      <xdr:col>16</xdr:col>
      <xdr:colOff>317980</xdr:colOff>
      <xdr:row>25</xdr:row>
      <xdr:rowOff>32510</xdr:rowOff>
    </xdr:from>
    <xdr:to>
      <xdr:col>17</xdr:col>
      <xdr:colOff>194945</xdr:colOff>
      <xdr:row>32</xdr:row>
      <xdr:rowOff>141314</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915328" y="4587945"/>
          <a:ext cx="440182" cy="1434021"/>
        </a:xfrm>
        <a:prstGeom prst="rect">
          <a:avLst/>
        </a:prstGeom>
      </xdr:spPr>
    </xdr:pic>
    <xdr:clientData/>
  </xdr:twoCellAnchor>
  <xdr:twoCellAnchor>
    <xdr:from>
      <xdr:col>15</xdr:col>
      <xdr:colOff>220583</xdr:colOff>
      <xdr:row>25</xdr:row>
      <xdr:rowOff>44616</xdr:rowOff>
    </xdr:from>
    <xdr:to>
      <xdr:col>16</xdr:col>
      <xdr:colOff>296069</xdr:colOff>
      <xdr:row>32</xdr:row>
      <xdr:rowOff>153420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453496" y="4600051"/>
          <a:ext cx="439921" cy="1434021"/>
        </a:xfrm>
        <a:prstGeom prst="rect">
          <a:avLst/>
        </a:prstGeom>
      </xdr:spPr>
    </xdr:pic>
    <xdr:clientData/>
  </xdr:twoCellAnchor>
  <xdr:twoCellAnchor>
    <xdr:from>
      <xdr:col>17</xdr:col>
      <xdr:colOff>269937</xdr:colOff>
      <xdr:row>25</xdr:row>
      <xdr:rowOff>46656</xdr:rowOff>
    </xdr:from>
    <xdr:to>
      <xdr:col>18</xdr:col>
      <xdr:colOff>367834</xdr:colOff>
      <xdr:row>32</xdr:row>
      <xdr:rowOff>155460</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30502" y="4602091"/>
          <a:ext cx="429202" cy="1434021"/>
        </a:xfrm>
        <a:prstGeom prst="rect">
          <a:avLst/>
        </a:prstGeom>
      </xdr:spPr>
    </xdr:pic>
    <xdr:clientData/>
  </xdr:twoCellAnchor>
  <xdr:twoCellAnchor>
    <xdr:from>
      <xdr:col>5</xdr:col>
      <xdr:colOff>428625</xdr:colOff>
      <xdr:row>20</xdr:row>
      <xdr:rowOff>142874</xdr:rowOff>
    </xdr:from>
    <xdr:to>
      <xdr:col>7</xdr:col>
      <xdr:colOff>219075</xdr:colOff>
      <xdr:row>21</xdr:row>
      <xdr:rowOff>180975</xdr:rowOff>
    </xdr:to>
    <xdr:sp macro="" textlink="'Data for Dashboard'!D12">
      <xdr:nvSpPr>
        <xdr:cNvPr id="39" name="Rectangle 38">
          <a:extLst>
            <a:ext uri="{FF2B5EF4-FFF2-40B4-BE49-F238E27FC236}">
              <a16:creationId xmlns:a16="http://schemas.microsoft.com/office/drawing/2014/main" id="{00000000-0008-0000-0000-000027000000}"/>
            </a:ext>
          </a:extLst>
        </xdr:cNvPr>
        <xdr:cNvSpPr/>
      </xdr:nvSpPr>
      <xdr:spPr>
        <a:xfrm>
          <a:off x="3619500" y="3562349"/>
          <a:ext cx="933450" cy="24765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0A1352D4-21E8-4B65-9D33-FBC4CA5240A4}" type="TxLink">
            <a:rPr lang="en-US" sz="1400" b="1" u="sng"/>
            <a:pPr algn="ctr"/>
            <a:t>0.35</a:t>
          </a:fld>
          <a:endParaRPr lang="en-US" sz="1400" b="1" u="sng"/>
        </a:p>
      </xdr:txBody>
    </xdr:sp>
    <xdr:clientData/>
  </xdr:twoCellAnchor>
  <xdr:twoCellAnchor>
    <xdr:from>
      <xdr:col>7</xdr:col>
      <xdr:colOff>238124</xdr:colOff>
      <xdr:row>20</xdr:row>
      <xdr:rowOff>142874</xdr:rowOff>
    </xdr:from>
    <xdr:to>
      <xdr:col>9</xdr:col>
      <xdr:colOff>247650</xdr:colOff>
      <xdr:row>21</xdr:row>
      <xdr:rowOff>180975</xdr:rowOff>
    </xdr:to>
    <xdr:sp macro="" textlink="'Data for Dashboard'!D10">
      <xdr:nvSpPr>
        <xdr:cNvPr id="40" name="Rectangle 39">
          <a:extLst>
            <a:ext uri="{FF2B5EF4-FFF2-40B4-BE49-F238E27FC236}">
              <a16:creationId xmlns:a16="http://schemas.microsoft.com/office/drawing/2014/main" id="{00000000-0008-0000-0000-000028000000}"/>
            </a:ext>
          </a:extLst>
        </xdr:cNvPr>
        <xdr:cNvSpPr/>
      </xdr:nvSpPr>
      <xdr:spPr>
        <a:xfrm>
          <a:off x="4571999" y="3562349"/>
          <a:ext cx="971551" cy="24765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F9BB41F1-C96C-4E8D-98BB-8C2F13AEB8AA}" type="TxLink">
            <a:rPr lang="en-US" sz="1400" b="1" u="sng"/>
            <a:pPr algn="ctr"/>
            <a:t>0.63</a:t>
          </a:fld>
          <a:endParaRPr lang="en-US" sz="1400" b="1" u="sng"/>
        </a:p>
      </xdr:txBody>
    </xdr:sp>
    <xdr:clientData/>
  </xdr:twoCellAnchor>
  <xdr:twoCellAnchor>
    <xdr:from>
      <xdr:col>9</xdr:col>
      <xdr:colOff>276225</xdr:colOff>
      <xdr:row>20</xdr:row>
      <xdr:rowOff>152399</xdr:rowOff>
    </xdr:from>
    <xdr:to>
      <xdr:col>11</xdr:col>
      <xdr:colOff>209550</xdr:colOff>
      <xdr:row>21</xdr:row>
      <xdr:rowOff>190500</xdr:rowOff>
    </xdr:to>
    <xdr:sp macro="" textlink="'Data for Dashboard'!D11">
      <xdr:nvSpPr>
        <xdr:cNvPr id="41" name="Rectangle 40">
          <a:extLst>
            <a:ext uri="{FF2B5EF4-FFF2-40B4-BE49-F238E27FC236}">
              <a16:creationId xmlns:a16="http://schemas.microsoft.com/office/drawing/2014/main" id="{00000000-0008-0000-0000-000029000000}"/>
            </a:ext>
          </a:extLst>
        </xdr:cNvPr>
        <xdr:cNvSpPr/>
      </xdr:nvSpPr>
      <xdr:spPr>
        <a:xfrm>
          <a:off x="5572125" y="3571874"/>
          <a:ext cx="904875" cy="24765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3948BB6C-9373-4ADD-A389-88C24ED96503}" type="TxLink">
            <a:rPr lang="en-US" sz="1400" b="1" u="sng"/>
            <a:pPr algn="ctr"/>
            <a:t>0.63</a:t>
          </a:fld>
          <a:endParaRPr lang="en-US" sz="1400" b="1" u="sng"/>
        </a:p>
      </xdr:txBody>
    </xdr:sp>
    <xdr:clientData/>
  </xdr:twoCellAnchor>
  <xdr:twoCellAnchor>
    <xdr:from>
      <xdr:col>11</xdr:col>
      <xdr:colOff>257175</xdr:colOff>
      <xdr:row>20</xdr:row>
      <xdr:rowOff>152399</xdr:rowOff>
    </xdr:from>
    <xdr:to>
      <xdr:col>13</xdr:col>
      <xdr:colOff>200025</xdr:colOff>
      <xdr:row>21</xdr:row>
      <xdr:rowOff>190500</xdr:rowOff>
    </xdr:to>
    <xdr:sp macro="" textlink="'Data for Dashboard'!D14">
      <xdr:nvSpPr>
        <xdr:cNvPr id="42" name="Rectangle 41">
          <a:extLst>
            <a:ext uri="{FF2B5EF4-FFF2-40B4-BE49-F238E27FC236}">
              <a16:creationId xmlns:a16="http://schemas.microsoft.com/office/drawing/2014/main" id="{00000000-0008-0000-0000-00002A000000}"/>
            </a:ext>
          </a:extLst>
        </xdr:cNvPr>
        <xdr:cNvSpPr/>
      </xdr:nvSpPr>
      <xdr:spPr>
        <a:xfrm>
          <a:off x="6524625" y="3571874"/>
          <a:ext cx="990600" cy="24765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61F4FC67-ACF1-4CEC-AA66-1956E30D363E}" type="TxLink">
            <a:rPr lang="en-US" sz="1400" b="1" u="sng"/>
            <a:pPr algn="ctr"/>
            <a:t>0.11</a:t>
          </a:fld>
          <a:endParaRPr lang="en-US" sz="1400" b="1" u="sng"/>
        </a:p>
      </xdr:txBody>
    </xdr:sp>
    <xdr:clientData/>
  </xdr:twoCellAnchor>
  <xdr:twoCellAnchor>
    <xdr:from>
      <xdr:col>13</xdr:col>
      <xdr:colOff>276225</xdr:colOff>
      <xdr:row>20</xdr:row>
      <xdr:rowOff>152399</xdr:rowOff>
    </xdr:from>
    <xdr:to>
      <xdr:col>15</xdr:col>
      <xdr:colOff>266700</xdr:colOff>
      <xdr:row>21</xdr:row>
      <xdr:rowOff>190500</xdr:rowOff>
    </xdr:to>
    <xdr:sp macro="" textlink="'Data for Dashboard'!D9">
      <xdr:nvSpPr>
        <xdr:cNvPr id="43" name="Rectangle 42">
          <a:extLst>
            <a:ext uri="{FF2B5EF4-FFF2-40B4-BE49-F238E27FC236}">
              <a16:creationId xmlns:a16="http://schemas.microsoft.com/office/drawing/2014/main" id="{00000000-0008-0000-0000-00002B000000}"/>
            </a:ext>
          </a:extLst>
        </xdr:cNvPr>
        <xdr:cNvSpPr/>
      </xdr:nvSpPr>
      <xdr:spPr>
        <a:xfrm>
          <a:off x="7591425" y="3571874"/>
          <a:ext cx="933450" cy="24765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E7B879D6-1904-4FB8-9DE2-1207796A4B52}" type="TxLink">
            <a:rPr lang="en-US" sz="1400" b="1" u="sng"/>
            <a:pPr algn="ctr"/>
            <a:t>0.69</a:t>
          </a:fld>
          <a:endParaRPr lang="en-US" sz="1400" b="1" u="sng"/>
        </a:p>
      </xdr:txBody>
    </xdr:sp>
    <xdr:clientData/>
  </xdr:twoCellAnchor>
  <xdr:twoCellAnchor>
    <xdr:from>
      <xdr:col>15</xdr:col>
      <xdr:colOff>295275</xdr:colOff>
      <xdr:row>20</xdr:row>
      <xdr:rowOff>152399</xdr:rowOff>
    </xdr:from>
    <xdr:to>
      <xdr:col>18</xdr:col>
      <xdr:colOff>0</xdr:colOff>
      <xdr:row>21</xdr:row>
      <xdr:rowOff>190500</xdr:rowOff>
    </xdr:to>
    <xdr:sp macro="" textlink="'Data for Dashboard'!D13">
      <xdr:nvSpPr>
        <xdr:cNvPr id="44" name="Rectangle 43">
          <a:extLst>
            <a:ext uri="{FF2B5EF4-FFF2-40B4-BE49-F238E27FC236}">
              <a16:creationId xmlns:a16="http://schemas.microsoft.com/office/drawing/2014/main" id="{00000000-0008-0000-0000-00002C000000}"/>
            </a:ext>
          </a:extLst>
        </xdr:cNvPr>
        <xdr:cNvSpPr/>
      </xdr:nvSpPr>
      <xdr:spPr>
        <a:xfrm>
          <a:off x="8553450" y="3571874"/>
          <a:ext cx="933450" cy="24765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7DA1CCFB-D92A-4BD2-8C7E-C570BF703AA3}" type="TxLink">
            <a:rPr lang="en-US" sz="1400" b="1" u="sng"/>
            <a:pPr algn="ctr"/>
            <a:t>0.25</a:t>
          </a:fld>
          <a:endParaRPr lang="en-US" sz="1400" b="1" u="sng"/>
        </a:p>
      </xdr:txBody>
    </xdr:sp>
    <xdr:clientData/>
  </xdr:twoCellAnchor>
  <xdr:twoCellAnchor>
    <xdr:from>
      <xdr:col>0</xdr:col>
      <xdr:colOff>266700</xdr:colOff>
      <xdr:row>42</xdr:row>
      <xdr:rowOff>9525</xdr:rowOff>
    </xdr:from>
    <xdr:to>
      <xdr:col>1</xdr:col>
      <xdr:colOff>590550</xdr:colOff>
      <xdr:row>43</xdr:row>
      <xdr:rowOff>95251</xdr:rowOff>
    </xdr:to>
    <xdr:sp macro="" textlink="'Data for Dashboard'!D20">
      <xdr:nvSpPr>
        <xdr:cNvPr id="45" name="Rectangle 44">
          <a:extLst>
            <a:ext uri="{FF2B5EF4-FFF2-40B4-BE49-F238E27FC236}">
              <a16:creationId xmlns:a16="http://schemas.microsoft.com/office/drawing/2014/main" id="{00000000-0008-0000-0000-00002D000000}"/>
            </a:ext>
          </a:extLst>
        </xdr:cNvPr>
        <xdr:cNvSpPr/>
      </xdr:nvSpPr>
      <xdr:spPr>
        <a:xfrm>
          <a:off x="266700" y="7572375"/>
          <a:ext cx="933450" cy="24765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49607B6D-0D18-4451-BB6E-929A9012A741}" type="TxLink">
            <a:rPr lang="en-US" sz="1200" b="1" u="sng"/>
            <a:pPr algn="ctr"/>
            <a:t>71</a:t>
          </a:fld>
          <a:endParaRPr lang="en-US" sz="1200" b="1" u="sng"/>
        </a:p>
      </xdr:txBody>
    </xdr:sp>
    <xdr:clientData/>
  </xdr:twoCellAnchor>
  <xdr:twoCellAnchor>
    <xdr:from>
      <xdr:col>14</xdr:col>
      <xdr:colOff>371476</xdr:colOff>
      <xdr:row>37</xdr:row>
      <xdr:rowOff>53339</xdr:rowOff>
    </xdr:from>
    <xdr:to>
      <xdr:col>18</xdr:col>
      <xdr:colOff>276225</xdr:colOff>
      <xdr:row>43</xdr:row>
      <xdr:rowOff>161924</xdr:rowOff>
    </xdr:to>
    <xdr:graphicFrame macro="">
      <xdr:nvGraphicFramePr>
        <xdr:cNvPr id="46" name="Chart 45">
          <a:extLst>
            <a:ext uri="{FF2B5EF4-FFF2-40B4-BE49-F238E27FC236}">
              <a16:creationId xmlns:a16="http://schemas.microsoft.com/office/drawing/2014/main" id="{00000000-0008-0000-00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103095</xdr:colOff>
      <xdr:row>37</xdr:row>
      <xdr:rowOff>172570</xdr:rowOff>
    </xdr:from>
    <xdr:to>
      <xdr:col>15</xdr:col>
      <xdr:colOff>303853</xdr:colOff>
      <xdr:row>41</xdr:row>
      <xdr:rowOff>148131</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328213" y="6772835"/>
          <a:ext cx="200758" cy="636708"/>
        </a:xfrm>
        <a:prstGeom prst="rect">
          <a:avLst/>
        </a:prstGeom>
      </xdr:spPr>
    </xdr:pic>
    <xdr:clientData/>
  </xdr:twoCellAnchor>
  <xdr:twoCellAnchor>
    <xdr:from>
      <xdr:col>16</xdr:col>
      <xdr:colOff>219076</xdr:colOff>
      <xdr:row>37</xdr:row>
      <xdr:rowOff>163045</xdr:rowOff>
    </xdr:from>
    <xdr:to>
      <xdr:col>16</xdr:col>
      <xdr:colOff>419834</xdr:colOff>
      <xdr:row>41</xdr:row>
      <xdr:rowOff>138606</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802782" y="6763310"/>
          <a:ext cx="200758" cy="636708"/>
        </a:xfrm>
        <a:prstGeom prst="rect">
          <a:avLst/>
        </a:prstGeom>
      </xdr:spPr>
    </xdr:pic>
    <xdr:clientData/>
  </xdr:twoCellAnchor>
  <xdr:twoCellAnchor>
    <xdr:from>
      <xdr:col>17</xdr:col>
      <xdr:colOff>133351</xdr:colOff>
      <xdr:row>37</xdr:row>
      <xdr:rowOff>172570</xdr:rowOff>
    </xdr:from>
    <xdr:to>
      <xdr:col>18</xdr:col>
      <xdr:colOff>734</xdr:colOff>
      <xdr:row>41</xdr:row>
      <xdr:rowOff>148131</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277351" y="6772835"/>
          <a:ext cx="203559" cy="636708"/>
        </a:xfrm>
        <a:prstGeom prst="rect">
          <a:avLst/>
        </a:prstGeom>
      </xdr:spPr>
    </xdr:pic>
    <xdr:clientData/>
  </xdr:twoCellAnchor>
  <xdr:twoCellAnchor>
    <xdr:from>
      <xdr:col>0</xdr:col>
      <xdr:colOff>457200</xdr:colOff>
      <xdr:row>20</xdr:row>
      <xdr:rowOff>152401</xdr:rowOff>
    </xdr:from>
    <xdr:to>
      <xdr:col>2</xdr:col>
      <xdr:colOff>123825</xdr:colOff>
      <xdr:row>22</xdr:row>
      <xdr:rowOff>95250</xdr:rowOff>
    </xdr:to>
    <xdr:sp macro="" textlink="'Data for Dashboard'!D4">
      <xdr:nvSpPr>
        <xdr:cNvPr id="50" name="Rectangle 49">
          <a:extLst>
            <a:ext uri="{FF2B5EF4-FFF2-40B4-BE49-F238E27FC236}">
              <a16:creationId xmlns:a16="http://schemas.microsoft.com/office/drawing/2014/main" id="{00000000-0008-0000-0000-000032000000}"/>
            </a:ext>
          </a:extLst>
        </xdr:cNvPr>
        <xdr:cNvSpPr/>
      </xdr:nvSpPr>
      <xdr:spPr>
        <a:xfrm>
          <a:off x="457200" y="3571876"/>
          <a:ext cx="933450" cy="35242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C20E1139-B924-4089-B989-08B3C1EA0786}" type="TxLink">
            <a:rPr lang="en-US" sz="1600" b="1" u="sng"/>
            <a:pPr algn="ctr"/>
            <a:t>75.00</a:t>
          </a:fld>
          <a:endParaRPr lang="en-US" sz="1600" b="1" u="sng"/>
        </a:p>
      </xdr:txBody>
    </xdr:sp>
    <xdr:clientData/>
  </xdr:twoCellAnchor>
  <xdr:twoCellAnchor>
    <xdr:from>
      <xdr:col>2</xdr:col>
      <xdr:colOff>447675</xdr:colOff>
      <xdr:row>20</xdr:row>
      <xdr:rowOff>152400</xdr:rowOff>
    </xdr:from>
    <xdr:to>
      <xdr:col>4</xdr:col>
      <xdr:colOff>104776</xdr:colOff>
      <xdr:row>22</xdr:row>
      <xdr:rowOff>76200</xdr:rowOff>
    </xdr:to>
    <xdr:sp macro="" textlink="'Data for Dashboard'!D5">
      <xdr:nvSpPr>
        <xdr:cNvPr id="51" name="Rectangle 50">
          <a:extLst>
            <a:ext uri="{FF2B5EF4-FFF2-40B4-BE49-F238E27FC236}">
              <a16:creationId xmlns:a16="http://schemas.microsoft.com/office/drawing/2014/main" id="{00000000-0008-0000-0000-000033000000}"/>
            </a:ext>
          </a:extLst>
        </xdr:cNvPr>
        <xdr:cNvSpPr/>
      </xdr:nvSpPr>
      <xdr:spPr>
        <a:xfrm>
          <a:off x="1714500" y="3571875"/>
          <a:ext cx="971551" cy="33337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B8F35A6B-C002-4BD2-A261-A39CA176E7E7}" type="TxLink">
            <a:rPr lang="en-US" sz="1600" b="1" u="sng"/>
            <a:pPr algn="ctr"/>
            <a:t>65.00</a:t>
          </a:fld>
          <a:endParaRPr lang="en-US" sz="1600" b="1" u="sng"/>
        </a:p>
      </xdr:txBody>
    </xdr:sp>
    <xdr:clientData/>
  </xdr:twoCellAnchor>
  <xdr:twoCellAnchor>
    <xdr:from>
      <xdr:col>1</xdr:col>
      <xdr:colOff>619125</xdr:colOff>
      <xdr:row>42</xdr:row>
      <xdr:rowOff>9525</xdr:rowOff>
    </xdr:from>
    <xdr:to>
      <xdr:col>3</xdr:col>
      <xdr:colOff>285750</xdr:colOff>
      <xdr:row>43</xdr:row>
      <xdr:rowOff>95251</xdr:rowOff>
    </xdr:to>
    <xdr:sp macro="" textlink="'Data for Dashboard'!D18">
      <xdr:nvSpPr>
        <xdr:cNvPr id="52" name="Rectangle 51">
          <a:extLst>
            <a:ext uri="{FF2B5EF4-FFF2-40B4-BE49-F238E27FC236}">
              <a16:creationId xmlns:a16="http://schemas.microsoft.com/office/drawing/2014/main" id="{00000000-0008-0000-0000-000034000000}"/>
            </a:ext>
          </a:extLst>
        </xdr:cNvPr>
        <xdr:cNvSpPr/>
      </xdr:nvSpPr>
      <xdr:spPr>
        <a:xfrm>
          <a:off x="1228725" y="7572375"/>
          <a:ext cx="933450" cy="24765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22D8EA5D-3703-4A3B-8B02-F42250C861AC}" type="TxLink">
            <a:rPr lang="en-US" sz="1200" b="1" u="sng"/>
            <a:pPr algn="ctr"/>
            <a:t>80</a:t>
          </a:fld>
          <a:endParaRPr lang="en-US" sz="1200" b="1" u="sng"/>
        </a:p>
      </xdr:txBody>
    </xdr:sp>
    <xdr:clientData/>
  </xdr:twoCellAnchor>
  <xdr:twoCellAnchor>
    <xdr:from>
      <xdr:col>3</xdr:col>
      <xdr:colOff>304800</xdr:colOff>
      <xdr:row>42</xdr:row>
      <xdr:rowOff>9525</xdr:rowOff>
    </xdr:from>
    <xdr:to>
      <xdr:col>4</xdr:col>
      <xdr:colOff>533400</xdr:colOff>
      <xdr:row>43</xdr:row>
      <xdr:rowOff>95251</xdr:rowOff>
    </xdr:to>
    <xdr:sp macro="" textlink="'Data for Dashboard'!D19">
      <xdr:nvSpPr>
        <xdr:cNvPr id="53" name="Rectangle 52">
          <a:extLst>
            <a:ext uri="{FF2B5EF4-FFF2-40B4-BE49-F238E27FC236}">
              <a16:creationId xmlns:a16="http://schemas.microsoft.com/office/drawing/2014/main" id="{00000000-0008-0000-0000-000035000000}"/>
            </a:ext>
          </a:extLst>
        </xdr:cNvPr>
        <xdr:cNvSpPr/>
      </xdr:nvSpPr>
      <xdr:spPr>
        <a:xfrm>
          <a:off x="2181225" y="7572375"/>
          <a:ext cx="933450" cy="24765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078C496D-46C9-4377-8712-C60194B1CF3D}" type="TxLink">
            <a:rPr lang="en-US" sz="1200" b="1" u="sng"/>
            <a:pPr algn="ctr"/>
            <a:t>76</a:t>
          </a:fld>
          <a:endParaRPr lang="en-US" sz="1200" b="1" u="sng"/>
        </a:p>
      </xdr:txBody>
    </xdr:sp>
    <xdr:clientData/>
  </xdr:twoCellAnchor>
  <xdr:twoCellAnchor>
    <xdr:from>
      <xdr:col>4</xdr:col>
      <xdr:colOff>600075</xdr:colOff>
      <xdr:row>40</xdr:row>
      <xdr:rowOff>133350</xdr:rowOff>
    </xdr:from>
    <xdr:to>
      <xdr:col>5</xdr:col>
      <xdr:colOff>581025</xdr:colOff>
      <xdr:row>42</xdr:row>
      <xdr:rowOff>57151</xdr:rowOff>
    </xdr:to>
    <xdr:sp macro="" textlink="'Data for Dashboard'!D29">
      <xdr:nvSpPr>
        <xdr:cNvPr id="54" name="Rectangle 53">
          <a:extLst>
            <a:ext uri="{FF2B5EF4-FFF2-40B4-BE49-F238E27FC236}">
              <a16:creationId xmlns:a16="http://schemas.microsoft.com/office/drawing/2014/main" id="{00000000-0008-0000-0000-000036000000}"/>
            </a:ext>
          </a:extLst>
        </xdr:cNvPr>
        <xdr:cNvSpPr/>
      </xdr:nvSpPr>
      <xdr:spPr>
        <a:xfrm>
          <a:off x="3181350" y="7372350"/>
          <a:ext cx="590550" cy="24765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0B3883C3-D61A-41BA-94AE-2860733B1907}" type="TxLink">
            <a:rPr lang="en-US" sz="1100" b="1" u="sng"/>
            <a:pPr algn="ctr"/>
            <a:t>1.8</a:t>
          </a:fld>
          <a:endParaRPr lang="en-US" sz="1100" b="1" u="sng"/>
        </a:p>
      </xdr:txBody>
    </xdr:sp>
    <xdr:clientData/>
  </xdr:twoCellAnchor>
  <xdr:twoCellAnchor>
    <xdr:from>
      <xdr:col>6</xdr:col>
      <xdr:colOff>161925</xdr:colOff>
      <xdr:row>40</xdr:row>
      <xdr:rowOff>133350</xdr:rowOff>
    </xdr:from>
    <xdr:to>
      <xdr:col>7</xdr:col>
      <xdr:colOff>219075</xdr:colOff>
      <xdr:row>42</xdr:row>
      <xdr:rowOff>57151</xdr:rowOff>
    </xdr:to>
    <xdr:sp macro="" textlink="'Data for Dashboard'!D25">
      <xdr:nvSpPr>
        <xdr:cNvPr id="55" name="Rectangle 54">
          <a:extLst>
            <a:ext uri="{FF2B5EF4-FFF2-40B4-BE49-F238E27FC236}">
              <a16:creationId xmlns:a16="http://schemas.microsoft.com/office/drawing/2014/main" id="{00000000-0008-0000-0000-000037000000}"/>
            </a:ext>
          </a:extLst>
        </xdr:cNvPr>
        <xdr:cNvSpPr/>
      </xdr:nvSpPr>
      <xdr:spPr>
        <a:xfrm>
          <a:off x="3962400" y="7372350"/>
          <a:ext cx="590550" cy="24765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36B2A753-3CF1-4261-8D51-72FFB3955C00}" type="TxLink">
            <a:rPr lang="en-US" sz="1100" b="1" u="sng"/>
            <a:pPr algn="ctr"/>
            <a:t>7.3</a:t>
          </a:fld>
          <a:endParaRPr lang="en-US" sz="1100" b="1" u="sng"/>
        </a:p>
      </xdr:txBody>
    </xdr:sp>
    <xdr:clientData/>
  </xdr:twoCellAnchor>
  <xdr:twoCellAnchor>
    <xdr:from>
      <xdr:col>8</xdr:col>
      <xdr:colOff>28575</xdr:colOff>
      <xdr:row>40</xdr:row>
      <xdr:rowOff>133350</xdr:rowOff>
    </xdr:from>
    <xdr:to>
      <xdr:col>9</xdr:col>
      <xdr:colOff>57150</xdr:colOff>
      <xdr:row>42</xdr:row>
      <xdr:rowOff>57151</xdr:rowOff>
    </xdr:to>
    <xdr:sp macro="" textlink="'Data for Dashboard'!D24">
      <xdr:nvSpPr>
        <xdr:cNvPr id="56" name="Rectangle 55">
          <a:extLst>
            <a:ext uri="{FF2B5EF4-FFF2-40B4-BE49-F238E27FC236}">
              <a16:creationId xmlns:a16="http://schemas.microsoft.com/office/drawing/2014/main" id="{00000000-0008-0000-0000-000038000000}"/>
            </a:ext>
          </a:extLst>
        </xdr:cNvPr>
        <xdr:cNvSpPr/>
      </xdr:nvSpPr>
      <xdr:spPr>
        <a:xfrm>
          <a:off x="4762500" y="7372350"/>
          <a:ext cx="590550" cy="24765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C4F0BCF0-BF13-497E-95B8-2AEFCF2875FE}" type="TxLink">
            <a:rPr lang="en-US" sz="1100" b="1" u="sng"/>
            <a:pPr algn="ctr"/>
            <a:t>9.8</a:t>
          </a:fld>
          <a:endParaRPr lang="en-US" sz="1100" b="1" u="sng"/>
        </a:p>
      </xdr:txBody>
    </xdr:sp>
    <xdr:clientData/>
  </xdr:twoCellAnchor>
  <xdr:twoCellAnchor>
    <xdr:from>
      <xdr:col>9</xdr:col>
      <xdr:colOff>247650</xdr:colOff>
      <xdr:row>40</xdr:row>
      <xdr:rowOff>133350</xdr:rowOff>
    </xdr:from>
    <xdr:to>
      <xdr:col>10</xdr:col>
      <xdr:colOff>409575</xdr:colOff>
      <xdr:row>42</xdr:row>
      <xdr:rowOff>57151</xdr:rowOff>
    </xdr:to>
    <xdr:sp macro="" textlink="'Data for Dashboard'!D27">
      <xdr:nvSpPr>
        <xdr:cNvPr id="57" name="Rectangle 56">
          <a:extLst>
            <a:ext uri="{FF2B5EF4-FFF2-40B4-BE49-F238E27FC236}">
              <a16:creationId xmlns:a16="http://schemas.microsoft.com/office/drawing/2014/main" id="{00000000-0008-0000-0000-000039000000}"/>
            </a:ext>
          </a:extLst>
        </xdr:cNvPr>
        <xdr:cNvSpPr/>
      </xdr:nvSpPr>
      <xdr:spPr>
        <a:xfrm>
          <a:off x="5543550" y="7372350"/>
          <a:ext cx="590550" cy="24765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9D4AC0B4-823A-43F6-9817-1D7A7FC6128A}" type="TxLink">
            <a:rPr lang="en-US" sz="1100" b="1" u="sng"/>
            <a:pPr algn="ctr"/>
            <a:t>5.2</a:t>
          </a:fld>
          <a:endParaRPr lang="en-US" sz="1100" b="1" u="sng"/>
        </a:p>
      </xdr:txBody>
    </xdr:sp>
    <xdr:clientData/>
  </xdr:twoCellAnchor>
  <xdr:twoCellAnchor>
    <xdr:from>
      <xdr:col>11</xdr:col>
      <xdr:colOff>47625</xdr:colOff>
      <xdr:row>40</xdr:row>
      <xdr:rowOff>133350</xdr:rowOff>
    </xdr:from>
    <xdr:to>
      <xdr:col>12</xdr:col>
      <xdr:colOff>171450</xdr:colOff>
      <xdr:row>42</xdr:row>
      <xdr:rowOff>57151</xdr:rowOff>
    </xdr:to>
    <xdr:sp macro="" textlink="'Data for Dashboard'!D28">
      <xdr:nvSpPr>
        <xdr:cNvPr id="58" name="Rectangle 57">
          <a:extLst>
            <a:ext uri="{FF2B5EF4-FFF2-40B4-BE49-F238E27FC236}">
              <a16:creationId xmlns:a16="http://schemas.microsoft.com/office/drawing/2014/main" id="{00000000-0008-0000-0000-00003A000000}"/>
            </a:ext>
          </a:extLst>
        </xdr:cNvPr>
        <xdr:cNvSpPr/>
      </xdr:nvSpPr>
      <xdr:spPr>
        <a:xfrm>
          <a:off x="6315075" y="7372350"/>
          <a:ext cx="590550" cy="24765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8FC2864F-41CE-4FCD-8C7F-6D59CE00A46E}" type="TxLink">
            <a:rPr lang="en-US" sz="1100" b="1" u="sng"/>
            <a:pPr algn="ctr"/>
            <a:t>2.9</a:t>
          </a:fld>
          <a:endParaRPr lang="en-US" sz="1100" b="1" u="sng"/>
        </a:p>
      </xdr:txBody>
    </xdr:sp>
    <xdr:clientData/>
  </xdr:twoCellAnchor>
  <xdr:twoCellAnchor>
    <xdr:from>
      <xdr:col>12</xdr:col>
      <xdr:colOff>381000</xdr:colOff>
      <xdr:row>40</xdr:row>
      <xdr:rowOff>133350</xdr:rowOff>
    </xdr:from>
    <xdr:to>
      <xdr:col>14</xdr:col>
      <xdr:colOff>9525</xdr:colOff>
      <xdr:row>42</xdr:row>
      <xdr:rowOff>57151</xdr:rowOff>
    </xdr:to>
    <xdr:sp macro="" textlink="'Data for Dashboard'!D26">
      <xdr:nvSpPr>
        <xdr:cNvPr id="59" name="Rectangle 58">
          <a:extLst>
            <a:ext uri="{FF2B5EF4-FFF2-40B4-BE49-F238E27FC236}">
              <a16:creationId xmlns:a16="http://schemas.microsoft.com/office/drawing/2014/main" id="{00000000-0008-0000-0000-00003B000000}"/>
            </a:ext>
          </a:extLst>
        </xdr:cNvPr>
        <xdr:cNvSpPr/>
      </xdr:nvSpPr>
      <xdr:spPr>
        <a:xfrm>
          <a:off x="7115175" y="7372350"/>
          <a:ext cx="590550" cy="24765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0546813F-28EF-460D-A39C-3E0B10F8E657}" type="TxLink">
            <a:rPr lang="en-US" sz="1100" b="1" u="sng"/>
            <a:pPr algn="ctr"/>
            <a:t>5.5</a:t>
          </a:fld>
          <a:endParaRPr lang="en-US" sz="1100" b="1" u="sng"/>
        </a:p>
      </xdr:txBody>
    </xdr:sp>
    <xdr:clientData/>
  </xdr:twoCellAnchor>
  <xdr:twoCellAnchor>
    <xdr:from>
      <xdr:col>14</xdr:col>
      <xdr:colOff>180975</xdr:colOff>
      <xdr:row>33</xdr:row>
      <xdr:rowOff>57150</xdr:rowOff>
    </xdr:from>
    <xdr:to>
      <xdr:col>15</xdr:col>
      <xdr:colOff>209550</xdr:colOff>
      <xdr:row>34</xdr:row>
      <xdr:rowOff>142876</xdr:rowOff>
    </xdr:to>
    <xdr:sp macro="" textlink="'Data for Dashboard'!D33">
      <xdr:nvSpPr>
        <xdr:cNvPr id="60" name="Rectangle 59">
          <a:extLst>
            <a:ext uri="{FF2B5EF4-FFF2-40B4-BE49-F238E27FC236}">
              <a16:creationId xmlns:a16="http://schemas.microsoft.com/office/drawing/2014/main" id="{00000000-0008-0000-0000-00003C000000}"/>
            </a:ext>
          </a:extLst>
        </xdr:cNvPr>
        <xdr:cNvSpPr/>
      </xdr:nvSpPr>
      <xdr:spPr>
        <a:xfrm>
          <a:off x="7877175" y="6000750"/>
          <a:ext cx="590550" cy="24765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4010D6D3-93C6-4AC3-AD69-14C99F1AE25A}" type="TxLink">
            <a:rPr lang="en-US" sz="1050" b="0" u="sng"/>
            <a:pPr algn="ctr"/>
            <a:t>660</a:t>
          </a:fld>
          <a:endParaRPr lang="en-US" sz="1050" b="0" u="sng"/>
        </a:p>
      </xdr:txBody>
    </xdr:sp>
    <xdr:clientData/>
  </xdr:twoCellAnchor>
  <xdr:twoCellAnchor>
    <xdr:from>
      <xdr:col>15</xdr:col>
      <xdr:colOff>104775</xdr:colOff>
      <xdr:row>33</xdr:row>
      <xdr:rowOff>57150</xdr:rowOff>
    </xdr:from>
    <xdr:to>
      <xdr:col>16</xdr:col>
      <xdr:colOff>361950</xdr:colOff>
      <xdr:row>34</xdr:row>
      <xdr:rowOff>142876</xdr:rowOff>
    </xdr:to>
    <xdr:sp macro="" textlink="'Data for Dashboard'!D35">
      <xdr:nvSpPr>
        <xdr:cNvPr id="61" name="Rectangle 60">
          <a:extLst>
            <a:ext uri="{FF2B5EF4-FFF2-40B4-BE49-F238E27FC236}">
              <a16:creationId xmlns:a16="http://schemas.microsoft.com/office/drawing/2014/main" id="{00000000-0008-0000-0000-00003D000000}"/>
            </a:ext>
          </a:extLst>
        </xdr:cNvPr>
        <xdr:cNvSpPr/>
      </xdr:nvSpPr>
      <xdr:spPr>
        <a:xfrm>
          <a:off x="8362950" y="6000750"/>
          <a:ext cx="590550" cy="24765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A33C2185-F912-44C7-937A-576A21566E0F}" type="TxLink">
            <a:rPr lang="en-US" sz="1050" b="0" u="sng"/>
            <a:pPr algn="ctr"/>
            <a:t>510</a:t>
          </a:fld>
          <a:endParaRPr lang="en-US" sz="1050" b="0" u="sng"/>
        </a:p>
      </xdr:txBody>
    </xdr:sp>
    <xdr:clientData/>
  </xdr:twoCellAnchor>
  <xdr:twoCellAnchor>
    <xdr:from>
      <xdr:col>16</xdr:col>
      <xdr:colOff>276225</xdr:colOff>
      <xdr:row>33</xdr:row>
      <xdr:rowOff>57150</xdr:rowOff>
    </xdr:from>
    <xdr:to>
      <xdr:col>17</xdr:col>
      <xdr:colOff>304800</xdr:colOff>
      <xdr:row>34</xdr:row>
      <xdr:rowOff>142876</xdr:rowOff>
    </xdr:to>
    <xdr:sp macro="" textlink="'Data for Dashboard'!D36">
      <xdr:nvSpPr>
        <xdr:cNvPr id="62" name="Rectangle 61">
          <a:extLst>
            <a:ext uri="{FF2B5EF4-FFF2-40B4-BE49-F238E27FC236}">
              <a16:creationId xmlns:a16="http://schemas.microsoft.com/office/drawing/2014/main" id="{00000000-0008-0000-0000-00003E000000}"/>
            </a:ext>
          </a:extLst>
        </xdr:cNvPr>
        <xdr:cNvSpPr/>
      </xdr:nvSpPr>
      <xdr:spPr>
        <a:xfrm>
          <a:off x="8867775" y="6000750"/>
          <a:ext cx="590550" cy="24765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444518E5-A966-4379-84DD-61A909BF492B}" type="TxLink">
            <a:rPr lang="en-US" sz="1050" b="0" u="sng"/>
            <a:pPr algn="ctr"/>
            <a:t>110</a:t>
          </a:fld>
          <a:endParaRPr lang="en-US" sz="1050" b="0" u="sng"/>
        </a:p>
      </xdr:txBody>
    </xdr:sp>
    <xdr:clientData/>
  </xdr:twoCellAnchor>
  <xdr:twoCellAnchor>
    <xdr:from>
      <xdr:col>17</xdr:col>
      <xdr:colOff>200025</xdr:colOff>
      <xdr:row>33</xdr:row>
      <xdr:rowOff>57150</xdr:rowOff>
    </xdr:from>
    <xdr:to>
      <xdr:col>18</xdr:col>
      <xdr:colOff>457200</xdr:colOff>
      <xdr:row>34</xdr:row>
      <xdr:rowOff>142876</xdr:rowOff>
    </xdr:to>
    <xdr:sp macro="" textlink="'Data for Dashboard'!D34">
      <xdr:nvSpPr>
        <xdr:cNvPr id="63" name="Rectangle 62">
          <a:extLst>
            <a:ext uri="{FF2B5EF4-FFF2-40B4-BE49-F238E27FC236}">
              <a16:creationId xmlns:a16="http://schemas.microsoft.com/office/drawing/2014/main" id="{00000000-0008-0000-0000-00003F000000}"/>
            </a:ext>
          </a:extLst>
        </xdr:cNvPr>
        <xdr:cNvSpPr/>
      </xdr:nvSpPr>
      <xdr:spPr>
        <a:xfrm>
          <a:off x="9353550" y="6000750"/>
          <a:ext cx="590550" cy="24765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731C0ABF-1707-433F-8433-0E47BAFB8910}" type="TxLink">
            <a:rPr lang="en-US" sz="1050" b="0" u="sng"/>
            <a:pPr algn="ctr"/>
            <a:t>540</a:t>
          </a:fld>
          <a:endParaRPr lang="en-US" sz="1050" b="0" u="sng"/>
        </a:p>
      </xdr:txBody>
    </xdr:sp>
    <xdr:clientData/>
  </xdr:twoCellAnchor>
  <xdr:twoCellAnchor>
    <xdr:from>
      <xdr:col>14</xdr:col>
      <xdr:colOff>457200</xdr:colOff>
      <xdr:row>43</xdr:row>
      <xdr:rowOff>9525</xdr:rowOff>
    </xdr:from>
    <xdr:to>
      <xdr:col>16</xdr:col>
      <xdr:colOff>152400</xdr:colOff>
      <xdr:row>44</xdr:row>
      <xdr:rowOff>95251</xdr:rowOff>
    </xdr:to>
    <xdr:sp macro="" textlink="'Data for Dashboard'!D41">
      <xdr:nvSpPr>
        <xdr:cNvPr id="64" name="Rectangle 63">
          <a:extLst>
            <a:ext uri="{FF2B5EF4-FFF2-40B4-BE49-F238E27FC236}">
              <a16:creationId xmlns:a16="http://schemas.microsoft.com/office/drawing/2014/main" id="{00000000-0008-0000-0000-000040000000}"/>
            </a:ext>
          </a:extLst>
        </xdr:cNvPr>
        <xdr:cNvSpPr/>
      </xdr:nvSpPr>
      <xdr:spPr>
        <a:xfrm>
          <a:off x="8153400" y="7734300"/>
          <a:ext cx="590550" cy="24765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F92A887E-B0BB-46A6-8C77-30FFB1316548}" type="TxLink">
            <a:rPr lang="en-US" sz="900" b="0" u="sng"/>
            <a:pPr algn="ctr"/>
            <a:t>51</a:t>
          </a:fld>
          <a:endParaRPr lang="en-US" sz="900" b="0" u="sng"/>
        </a:p>
      </xdr:txBody>
    </xdr:sp>
    <xdr:clientData/>
  </xdr:twoCellAnchor>
  <xdr:twoCellAnchor>
    <xdr:from>
      <xdr:col>16</xdr:col>
      <xdr:colOff>28575</xdr:colOff>
      <xdr:row>43</xdr:row>
      <xdr:rowOff>9525</xdr:rowOff>
    </xdr:from>
    <xdr:to>
      <xdr:col>17</xdr:col>
      <xdr:colOff>57150</xdr:colOff>
      <xdr:row>44</xdr:row>
      <xdr:rowOff>95251</xdr:rowOff>
    </xdr:to>
    <xdr:sp macro="" textlink="'Data for Dashboard'!D42">
      <xdr:nvSpPr>
        <xdr:cNvPr id="65" name="Rectangle 64">
          <a:extLst>
            <a:ext uri="{FF2B5EF4-FFF2-40B4-BE49-F238E27FC236}">
              <a16:creationId xmlns:a16="http://schemas.microsoft.com/office/drawing/2014/main" id="{00000000-0008-0000-0000-000041000000}"/>
            </a:ext>
          </a:extLst>
        </xdr:cNvPr>
        <xdr:cNvSpPr/>
      </xdr:nvSpPr>
      <xdr:spPr>
        <a:xfrm>
          <a:off x="8620125" y="7734300"/>
          <a:ext cx="590550" cy="24765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C2580A2B-0A6A-440A-B9FE-E5995CA644D2}" type="TxLink">
            <a:rPr lang="en-US" sz="900" b="0" u="sng"/>
            <a:pPr algn="ctr"/>
            <a:t>11</a:t>
          </a:fld>
          <a:endParaRPr lang="en-US" sz="900" b="0" u="sng"/>
        </a:p>
      </xdr:txBody>
    </xdr:sp>
    <xdr:clientData/>
  </xdr:twoCellAnchor>
  <xdr:twoCellAnchor>
    <xdr:from>
      <xdr:col>16</xdr:col>
      <xdr:colOff>504825</xdr:colOff>
      <xdr:row>43</xdr:row>
      <xdr:rowOff>9525</xdr:rowOff>
    </xdr:from>
    <xdr:to>
      <xdr:col>18</xdr:col>
      <xdr:colOff>200025</xdr:colOff>
      <xdr:row>44</xdr:row>
      <xdr:rowOff>95251</xdr:rowOff>
    </xdr:to>
    <xdr:sp macro="" textlink="'Data for Dashboard'!D40">
      <xdr:nvSpPr>
        <xdr:cNvPr id="66" name="Rectangle 65">
          <a:extLst>
            <a:ext uri="{FF2B5EF4-FFF2-40B4-BE49-F238E27FC236}">
              <a16:creationId xmlns:a16="http://schemas.microsoft.com/office/drawing/2014/main" id="{00000000-0008-0000-0000-000042000000}"/>
            </a:ext>
          </a:extLst>
        </xdr:cNvPr>
        <xdr:cNvSpPr/>
      </xdr:nvSpPr>
      <xdr:spPr>
        <a:xfrm>
          <a:off x="9096375" y="7734300"/>
          <a:ext cx="590550" cy="24765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421A88C1-60FF-43D7-8D62-A40B1A4D9867}" type="TxLink">
            <a:rPr lang="en-US" sz="900" b="0" u="sng"/>
            <a:pPr algn="ctr"/>
            <a:t>66</a:t>
          </a:fld>
          <a:endParaRPr lang="en-US" sz="900" b="0" u="sng"/>
        </a:p>
      </xdr:txBody>
    </xdr:sp>
    <xdr:clientData/>
  </xdr:twoCellAnchor>
  <xdr:twoCellAnchor>
    <xdr:from>
      <xdr:col>4</xdr:col>
      <xdr:colOff>390526</xdr:colOff>
      <xdr:row>21</xdr:row>
      <xdr:rowOff>123825</xdr:rowOff>
    </xdr:from>
    <xdr:to>
      <xdr:col>5</xdr:col>
      <xdr:colOff>9526</xdr:colOff>
      <xdr:row>23</xdr:row>
      <xdr:rowOff>9525</xdr:rowOff>
    </xdr:to>
    <xdr:sp macro="" textlink="">
      <xdr:nvSpPr>
        <xdr:cNvPr id="16" name="Right Triangle 15">
          <a:extLst>
            <a:ext uri="{FF2B5EF4-FFF2-40B4-BE49-F238E27FC236}">
              <a16:creationId xmlns:a16="http://schemas.microsoft.com/office/drawing/2014/main" id="{00000000-0008-0000-0000-000010000000}"/>
            </a:ext>
          </a:extLst>
        </xdr:cNvPr>
        <xdr:cNvSpPr/>
      </xdr:nvSpPr>
      <xdr:spPr>
        <a:xfrm flipH="1">
          <a:off x="2967879" y="3664884"/>
          <a:ext cx="224118" cy="255494"/>
        </a:xfrm>
        <a:prstGeom prst="rtTriangle">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370116</xdr:colOff>
      <xdr:row>13</xdr:row>
      <xdr:rowOff>5443</xdr:rowOff>
    </xdr:from>
    <xdr:to>
      <xdr:col>27</xdr:col>
      <xdr:colOff>609601</xdr:colOff>
      <xdr:row>14</xdr:row>
      <xdr:rowOff>97973</xdr:rowOff>
    </xdr:to>
    <xdr:sp macro="" textlink="">
      <xdr:nvSpPr>
        <xdr:cNvPr id="67" name="Right Triangle 66">
          <a:extLst>
            <a:ext uri="{FF2B5EF4-FFF2-40B4-BE49-F238E27FC236}">
              <a16:creationId xmlns:a16="http://schemas.microsoft.com/office/drawing/2014/main" id="{00000000-0008-0000-0000-000043000000}"/>
            </a:ext>
          </a:extLst>
        </xdr:cNvPr>
        <xdr:cNvSpPr/>
      </xdr:nvSpPr>
      <xdr:spPr>
        <a:xfrm flipH="1">
          <a:off x="15686316" y="2302329"/>
          <a:ext cx="239485" cy="255815"/>
        </a:xfrm>
        <a:prstGeom prst="rtTriangle">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371476</xdr:colOff>
      <xdr:row>43</xdr:row>
      <xdr:rowOff>66675</xdr:rowOff>
    </xdr:from>
    <xdr:to>
      <xdr:col>4</xdr:col>
      <xdr:colOff>600076</xdr:colOff>
      <xdr:row>44</xdr:row>
      <xdr:rowOff>161925</xdr:rowOff>
    </xdr:to>
    <xdr:sp macro="" textlink="">
      <xdr:nvSpPr>
        <xdr:cNvPr id="68" name="Right Triangle 67">
          <a:extLst>
            <a:ext uri="{FF2B5EF4-FFF2-40B4-BE49-F238E27FC236}">
              <a16:creationId xmlns:a16="http://schemas.microsoft.com/office/drawing/2014/main" id="{00000000-0008-0000-0000-000044000000}"/>
            </a:ext>
          </a:extLst>
        </xdr:cNvPr>
        <xdr:cNvSpPr/>
      </xdr:nvSpPr>
      <xdr:spPr>
        <a:xfrm flipH="1">
          <a:off x="2948829" y="7641851"/>
          <a:ext cx="228600" cy="252133"/>
        </a:xfrm>
        <a:prstGeom prst="rtTriangle">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152401</xdr:colOff>
      <xdr:row>43</xdr:row>
      <xdr:rowOff>76200</xdr:rowOff>
    </xdr:from>
    <xdr:to>
      <xdr:col>14</xdr:col>
      <xdr:colOff>1</xdr:colOff>
      <xdr:row>45</xdr:row>
      <xdr:rowOff>0</xdr:rowOff>
    </xdr:to>
    <xdr:sp macro="" textlink="">
      <xdr:nvSpPr>
        <xdr:cNvPr id="69" name="Right Triangle 68">
          <a:extLst>
            <a:ext uri="{FF2B5EF4-FFF2-40B4-BE49-F238E27FC236}">
              <a16:creationId xmlns:a16="http://schemas.microsoft.com/office/drawing/2014/main" id="{00000000-0008-0000-0000-000045000000}"/>
            </a:ext>
          </a:extLst>
        </xdr:cNvPr>
        <xdr:cNvSpPr/>
      </xdr:nvSpPr>
      <xdr:spPr>
        <a:xfrm flipH="1">
          <a:off x="7458636" y="7651376"/>
          <a:ext cx="228600" cy="248771"/>
        </a:xfrm>
        <a:prstGeom prst="rtTriangle">
          <a:avLst/>
        </a:prstGeom>
        <a:solidFill>
          <a:schemeClr val="bg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371476</xdr:colOff>
      <xdr:row>34</xdr:row>
      <xdr:rowOff>76200</xdr:rowOff>
    </xdr:from>
    <xdr:to>
      <xdr:col>18</xdr:col>
      <xdr:colOff>600076</xdr:colOff>
      <xdr:row>36</xdr:row>
      <xdr:rowOff>5846</xdr:rowOff>
    </xdr:to>
    <xdr:sp macro="" textlink="">
      <xdr:nvSpPr>
        <xdr:cNvPr id="70" name="Right Triangle 69">
          <a:extLst>
            <a:ext uri="{FF2B5EF4-FFF2-40B4-BE49-F238E27FC236}">
              <a16:creationId xmlns:a16="http://schemas.microsoft.com/office/drawing/2014/main" id="{00000000-0008-0000-0000-000046000000}"/>
            </a:ext>
          </a:extLst>
        </xdr:cNvPr>
        <xdr:cNvSpPr/>
      </xdr:nvSpPr>
      <xdr:spPr>
        <a:xfrm flipH="1">
          <a:off x="9851652" y="6060141"/>
          <a:ext cx="228600" cy="254617"/>
        </a:xfrm>
        <a:prstGeom prst="rtTriangle">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371476</xdr:colOff>
      <xdr:row>43</xdr:row>
      <xdr:rowOff>66675</xdr:rowOff>
    </xdr:from>
    <xdr:to>
      <xdr:col>18</xdr:col>
      <xdr:colOff>600076</xdr:colOff>
      <xdr:row>44</xdr:row>
      <xdr:rowOff>161925</xdr:rowOff>
    </xdr:to>
    <xdr:sp macro="" textlink="">
      <xdr:nvSpPr>
        <xdr:cNvPr id="71" name="Right Triangle 70">
          <a:extLst>
            <a:ext uri="{FF2B5EF4-FFF2-40B4-BE49-F238E27FC236}">
              <a16:creationId xmlns:a16="http://schemas.microsoft.com/office/drawing/2014/main" id="{00000000-0008-0000-0000-000047000000}"/>
            </a:ext>
          </a:extLst>
        </xdr:cNvPr>
        <xdr:cNvSpPr/>
      </xdr:nvSpPr>
      <xdr:spPr>
        <a:xfrm flipH="1">
          <a:off x="9851652" y="7641851"/>
          <a:ext cx="228600" cy="252133"/>
        </a:xfrm>
        <a:prstGeom prst="rtTriangle">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217558</xdr:colOff>
      <xdr:row>13</xdr:row>
      <xdr:rowOff>127158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27158" cy="2232183"/>
        </a:xfrm>
        <a:prstGeom prst="rect">
          <a:avLst/>
        </a:prstGeom>
      </xdr:spPr>
    </xdr:pic>
    <xdr:clientData/>
  </xdr:twoCellAnchor>
  <xdr:twoCellAnchor editAs="oneCell">
    <xdr:from>
      <xdr:col>1</xdr:col>
      <xdr:colOff>514350</xdr:colOff>
      <xdr:row>0</xdr:row>
      <xdr:rowOff>0</xdr:rowOff>
    </xdr:from>
    <xdr:to>
      <xdr:col>2</xdr:col>
      <xdr:colOff>600075</xdr:colOff>
      <xdr:row>13</xdr:row>
      <xdr:rowOff>91328</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3950" y="0"/>
          <a:ext cx="695325" cy="2196353"/>
        </a:xfrm>
        <a:prstGeom prst="rect">
          <a:avLst/>
        </a:prstGeom>
      </xdr:spPr>
    </xdr:pic>
    <xdr:clientData/>
  </xdr:twoCellAnchor>
  <xdr:twoCellAnchor>
    <xdr:from>
      <xdr:col>3</xdr:col>
      <xdr:colOff>219075</xdr:colOff>
      <xdr:row>2</xdr:row>
      <xdr:rowOff>57150</xdr:rowOff>
    </xdr:from>
    <xdr:to>
      <xdr:col>4</xdr:col>
      <xdr:colOff>6611</xdr:colOff>
      <xdr:row>13</xdr:row>
      <xdr:rowOff>76780</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47875" y="381000"/>
          <a:ext cx="397136" cy="1800805"/>
        </a:xfrm>
        <a:prstGeom prst="rect">
          <a:avLst/>
        </a:prstGeom>
      </xdr:spPr>
    </xdr:pic>
    <xdr:clientData/>
  </xdr:twoCellAnchor>
  <xdr:twoCellAnchor>
    <xdr:from>
      <xdr:col>4</xdr:col>
      <xdr:colOff>161925</xdr:colOff>
      <xdr:row>5</xdr:row>
      <xdr:rowOff>19050</xdr:rowOff>
    </xdr:from>
    <xdr:to>
      <xdr:col>4</xdr:col>
      <xdr:colOff>595998</xdr:colOff>
      <xdr:row>13</xdr:row>
      <xdr:rowOff>109924</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00325" y="828675"/>
          <a:ext cx="434073" cy="1386274"/>
        </a:xfrm>
        <a:prstGeom prst="rect">
          <a:avLst/>
        </a:prstGeom>
      </xdr:spPr>
    </xdr:pic>
    <xdr:clientData/>
  </xdr:twoCellAnchor>
  <xdr:twoCellAnchor>
    <xdr:from>
      <xdr:col>5</xdr:col>
      <xdr:colOff>142875</xdr:colOff>
      <xdr:row>9</xdr:row>
      <xdr:rowOff>85725</xdr:rowOff>
    </xdr:from>
    <xdr:to>
      <xdr:col>5</xdr:col>
      <xdr:colOff>343633</xdr:colOff>
      <xdr:row>13</xdr:row>
      <xdr:rowOff>74733</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190875" y="1543050"/>
          <a:ext cx="200758" cy="63670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www.linkedin.com/in/raheelrupani" TargetMode="External"/><Relationship Id="rId2" Type="http://schemas.openxmlformats.org/officeDocument/2006/relationships/hyperlink" Target="mailto:raheel@dmatrixsolutions.com" TargetMode="External"/><Relationship Id="rId1" Type="http://schemas.openxmlformats.org/officeDocument/2006/relationships/hyperlink" Target="mailto:raheelrupani@gmail.com" TargetMode="External"/><Relationship Id="rId4" Type="http://schemas.openxmlformats.org/officeDocument/2006/relationships/hyperlink" Target="http://www.youtube.com/c/raheelrupani"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8"/>
  <sheetViews>
    <sheetView showRowColHeaders="0" tabSelected="1" zoomScale="70" zoomScaleNormal="70" workbookViewId="0">
      <selection activeCell="AC39" sqref="AC39"/>
    </sheetView>
  </sheetViews>
  <sheetFormatPr defaultColWidth="9.109375" defaultRowHeight="13.2" x14ac:dyDescent="0.25"/>
  <cols>
    <col min="1" max="1" width="9.109375" style="112"/>
    <col min="2" max="2" width="9.88671875" style="112" customWidth="1"/>
    <col min="3" max="3" width="9.109375" style="112"/>
    <col min="4" max="4" width="10.5546875" style="112" customWidth="1"/>
    <col min="5" max="6" width="9.109375" style="112"/>
    <col min="7" max="7" width="8" style="112" customWidth="1"/>
    <col min="8" max="8" width="6" style="112" customWidth="1"/>
    <col min="9" max="9" width="8.44140625" style="112" customWidth="1"/>
    <col min="10" max="10" width="6.44140625" style="112" customWidth="1"/>
    <col min="11" max="11" width="8.109375" style="112" customWidth="1"/>
    <col min="12" max="12" width="7" style="112" customWidth="1"/>
    <col min="13" max="13" width="8.6640625" style="112" customWidth="1"/>
    <col min="14" max="14" width="5.6640625" style="112" customWidth="1"/>
    <col min="15" max="15" width="8" style="112" customWidth="1"/>
    <col min="16" max="16" width="5.44140625" style="112" customWidth="1"/>
    <col min="17" max="17" width="8.44140625" style="112" customWidth="1"/>
    <col min="18" max="18" width="5" style="112" customWidth="1"/>
    <col min="19" max="16384" width="9.109375" style="112"/>
  </cols>
  <sheetData>
    <row r="1" spans="1:19" x14ac:dyDescent="0.25">
      <c r="A1" s="170" t="s">
        <v>267</v>
      </c>
      <c r="B1" s="171"/>
      <c r="C1" s="171"/>
      <c r="D1" s="171"/>
      <c r="E1" s="171"/>
      <c r="F1" s="171"/>
      <c r="G1" s="171"/>
      <c r="H1" s="171"/>
      <c r="I1" s="171"/>
      <c r="J1" s="171"/>
      <c r="K1" s="171"/>
      <c r="L1" s="171"/>
      <c r="M1" s="171"/>
      <c r="N1" s="171"/>
      <c r="O1" s="171"/>
      <c r="P1" s="171"/>
      <c r="Q1" s="171"/>
      <c r="R1" s="171"/>
      <c r="S1" s="172"/>
    </row>
    <row r="2" spans="1:19" x14ac:dyDescent="0.25">
      <c r="A2" s="173"/>
      <c r="B2" s="174"/>
      <c r="C2" s="174"/>
      <c r="D2" s="174"/>
      <c r="E2" s="174"/>
      <c r="F2" s="174"/>
      <c r="G2" s="174"/>
      <c r="H2" s="174"/>
      <c r="I2" s="174"/>
      <c r="J2" s="174"/>
      <c r="K2" s="174"/>
      <c r="L2" s="174"/>
      <c r="M2" s="174"/>
      <c r="N2" s="174"/>
      <c r="O2" s="174"/>
      <c r="P2" s="174"/>
      <c r="Q2" s="174"/>
      <c r="R2" s="174"/>
      <c r="S2" s="175"/>
    </row>
    <row r="3" spans="1:19" ht="13.8" thickBot="1" x14ac:dyDescent="0.3">
      <c r="A3" s="176"/>
      <c r="B3" s="177"/>
      <c r="C3" s="177"/>
      <c r="D3" s="177"/>
      <c r="E3" s="177"/>
      <c r="F3" s="177"/>
      <c r="G3" s="177"/>
      <c r="H3" s="177"/>
      <c r="I3" s="177"/>
      <c r="J3" s="177"/>
      <c r="K3" s="177"/>
      <c r="L3" s="177"/>
      <c r="M3" s="177"/>
      <c r="N3" s="177"/>
      <c r="O3" s="177"/>
      <c r="P3" s="177"/>
      <c r="Q3" s="177"/>
      <c r="R3" s="177"/>
      <c r="S3" s="178"/>
    </row>
    <row r="4" spans="1:19" ht="23.4" x14ac:dyDescent="0.25">
      <c r="A4" s="179" t="s">
        <v>252</v>
      </c>
      <c r="B4" s="180"/>
      <c r="C4" s="180"/>
      <c r="D4" s="180"/>
      <c r="E4" s="181"/>
      <c r="F4" s="118"/>
      <c r="G4" s="180" t="s">
        <v>253</v>
      </c>
      <c r="H4" s="180"/>
      <c r="I4" s="180"/>
      <c r="J4" s="180"/>
      <c r="K4" s="180"/>
      <c r="L4" s="180"/>
      <c r="M4" s="180"/>
      <c r="N4" s="180"/>
      <c r="O4" s="180"/>
      <c r="P4" s="180"/>
      <c r="Q4" s="180"/>
      <c r="R4" s="180"/>
      <c r="S4" s="119"/>
    </row>
    <row r="5" spans="1:19" ht="15.6" x14ac:dyDescent="0.25">
      <c r="A5" s="182" t="s">
        <v>259</v>
      </c>
      <c r="B5" s="183"/>
      <c r="C5" s="183"/>
      <c r="D5" s="183"/>
      <c r="E5" s="184"/>
      <c r="F5" s="113"/>
      <c r="G5" s="183" t="s">
        <v>260</v>
      </c>
      <c r="H5" s="183"/>
      <c r="I5" s="183"/>
      <c r="J5" s="183"/>
      <c r="K5" s="183"/>
      <c r="L5" s="183"/>
      <c r="M5" s="183"/>
      <c r="N5" s="183"/>
      <c r="O5" s="183"/>
      <c r="P5" s="183"/>
      <c r="Q5" s="183"/>
      <c r="R5" s="183"/>
      <c r="S5" s="120"/>
    </row>
    <row r="6" spans="1:19" x14ac:dyDescent="0.25">
      <c r="A6" s="113"/>
      <c r="B6" s="103"/>
      <c r="C6" s="103"/>
      <c r="D6" s="103"/>
      <c r="E6" s="114"/>
      <c r="F6" s="113"/>
      <c r="G6" s="103"/>
      <c r="H6" s="103"/>
      <c r="I6" s="103"/>
      <c r="J6" s="103"/>
      <c r="K6" s="103"/>
      <c r="L6" s="103"/>
      <c r="M6" s="103"/>
      <c r="N6" s="103"/>
      <c r="O6" s="103"/>
      <c r="P6" s="103"/>
      <c r="Q6" s="103"/>
      <c r="R6" s="103"/>
      <c r="S6" s="120"/>
    </row>
    <row r="7" spans="1:19" x14ac:dyDescent="0.25">
      <c r="A7" s="113"/>
      <c r="B7" s="103"/>
      <c r="C7" s="103"/>
      <c r="D7" s="103"/>
      <c r="E7" s="114"/>
      <c r="F7" s="113"/>
      <c r="G7" s="103"/>
      <c r="H7" s="103"/>
      <c r="I7" s="103"/>
      <c r="J7" s="103"/>
      <c r="K7" s="103"/>
      <c r="L7" s="103"/>
      <c r="M7" s="103"/>
      <c r="N7" s="103"/>
      <c r="O7" s="103"/>
      <c r="P7" s="103"/>
      <c r="Q7" s="103"/>
      <c r="R7" s="103"/>
      <c r="S7" s="120"/>
    </row>
    <row r="8" spans="1:19" x14ac:dyDescent="0.25">
      <c r="A8" s="113"/>
      <c r="B8" s="103"/>
      <c r="C8" s="103"/>
      <c r="D8" s="103"/>
      <c r="E8" s="114"/>
      <c r="F8" s="113"/>
      <c r="G8" s="103"/>
      <c r="H8" s="103"/>
      <c r="I8" s="103"/>
      <c r="J8" s="103"/>
      <c r="K8" s="103"/>
      <c r="L8" s="103"/>
      <c r="M8" s="103"/>
      <c r="N8" s="103"/>
      <c r="O8" s="103"/>
      <c r="P8" s="103"/>
      <c r="Q8" s="103"/>
      <c r="R8" s="103"/>
      <c r="S8" s="120"/>
    </row>
    <row r="9" spans="1:19" x14ac:dyDescent="0.25">
      <c r="A9" s="113"/>
      <c r="B9" s="103"/>
      <c r="C9" s="103"/>
      <c r="D9" s="103"/>
      <c r="E9" s="114"/>
      <c r="F9" s="113"/>
      <c r="G9" s="103"/>
      <c r="H9" s="103"/>
      <c r="I9" s="103"/>
      <c r="J9" s="103"/>
      <c r="K9" s="103"/>
      <c r="L9" s="103"/>
      <c r="M9" s="103"/>
      <c r="N9" s="103"/>
      <c r="O9" s="103"/>
      <c r="P9" s="103"/>
      <c r="Q9" s="103"/>
      <c r="R9" s="103"/>
      <c r="S9" s="120"/>
    </row>
    <row r="10" spans="1:19" x14ac:dyDescent="0.25">
      <c r="A10" s="113"/>
      <c r="B10" s="103"/>
      <c r="C10" s="103"/>
      <c r="D10" s="103"/>
      <c r="E10" s="114"/>
      <c r="F10" s="113"/>
      <c r="G10" s="103"/>
      <c r="H10" s="103"/>
      <c r="I10" s="103"/>
      <c r="J10" s="103"/>
      <c r="K10" s="103"/>
      <c r="L10" s="103"/>
      <c r="M10" s="103"/>
      <c r="N10" s="103"/>
      <c r="O10" s="103"/>
      <c r="P10" s="103"/>
      <c r="Q10" s="103"/>
      <c r="R10" s="103"/>
      <c r="S10" s="120"/>
    </row>
    <row r="11" spans="1:19" x14ac:dyDescent="0.25">
      <c r="A11" s="113"/>
      <c r="B11" s="103"/>
      <c r="C11" s="103"/>
      <c r="D11" s="103"/>
      <c r="E11" s="114"/>
      <c r="F11" s="113"/>
      <c r="G11" s="103"/>
      <c r="H11" s="103"/>
      <c r="I11" s="103"/>
      <c r="J11" s="103"/>
      <c r="K11" s="103"/>
      <c r="L11" s="103"/>
      <c r="M11" s="103"/>
      <c r="N11" s="103"/>
      <c r="O11" s="103"/>
      <c r="P11" s="103"/>
      <c r="Q11" s="103"/>
      <c r="R11" s="103"/>
      <c r="S11" s="120"/>
    </row>
    <row r="12" spans="1:19" x14ac:dyDescent="0.25">
      <c r="A12" s="113"/>
      <c r="B12" s="103"/>
      <c r="C12" s="103"/>
      <c r="D12" s="103"/>
      <c r="E12" s="114"/>
      <c r="F12" s="113"/>
      <c r="G12" s="103"/>
      <c r="H12" s="103"/>
      <c r="I12" s="103"/>
      <c r="J12" s="103"/>
      <c r="K12" s="103"/>
      <c r="L12" s="103"/>
      <c r="M12" s="103"/>
      <c r="N12" s="103"/>
      <c r="O12" s="103"/>
      <c r="P12" s="103"/>
      <c r="Q12" s="103"/>
      <c r="R12" s="103"/>
      <c r="S12" s="120"/>
    </row>
    <row r="13" spans="1:19" x14ac:dyDescent="0.25">
      <c r="A13" s="113"/>
      <c r="B13" s="103"/>
      <c r="C13" s="103"/>
      <c r="D13" s="103"/>
      <c r="E13" s="114"/>
      <c r="F13" s="113"/>
      <c r="G13" s="103"/>
      <c r="H13" s="103"/>
      <c r="I13" s="103"/>
      <c r="J13" s="103"/>
      <c r="K13" s="103"/>
      <c r="L13" s="103"/>
      <c r="M13" s="103"/>
      <c r="N13" s="103"/>
      <c r="O13" s="103"/>
      <c r="P13" s="103"/>
      <c r="Q13" s="103"/>
      <c r="R13" s="103"/>
      <c r="S13" s="120"/>
    </row>
    <row r="14" spans="1:19" x14ac:dyDescent="0.25">
      <c r="A14" s="113"/>
      <c r="B14" s="103"/>
      <c r="C14" s="103"/>
      <c r="D14" s="103"/>
      <c r="E14" s="114"/>
      <c r="F14" s="113"/>
      <c r="G14" s="103"/>
      <c r="H14" s="103"/>
      <c r="I14" s="103"/>
      <c r="J14" s="103"/>
      <c r="K14" s="103"/>
      <c r="L14" s="103"/>
      <c r="M14" s="103"/>
      <c r="N14" s="103"/>
      <c r="O14" s="103"/>
      <c r="P14" s="103"/>
      <c r="Q14" s="103"/>
      <c r="R14" s="103"/>
      <c r="S14" s="120"/>
    </row>
    <row r="15" spans="1:19" x14ac:dyDescent="0.25">
      <c r="A15" s="113"/>
      <c r="B15" s="103"/>
      <c r="C15" s="103"/>
      <c r="D15" s="103"/>
      <c r="E15" s="114"/>
      <c r="F15" s="113"/>
      <c r="G15" s="103"/>
      <c r="H15" s="103"/>
      <c r="I15" s="103"/>
      <c r="J15" s="103"/>
      <c r="K15" s="103"/>
      <c r="L15" s="103"/>
      <c r="M15" s="103"/>
      <c r="N15" s="103"/>
      <c r="O15" s="103"/>
      <c r="P15" s="103"/>
      <c r="Q15" s="103"/>
      <c r="R15" s="103"/>
      <c r="S15" s="120"/>
    </row>
    <row r="16" spans="1:19" x14ac:dyDescent="0.25">
      <c r="A16" s="113"/>
      <c r="B16" s="103"/>
      <c r="C16" s="103"/>
      <c r="D16" s="103"/>
      <c r="E16" s="114"/>
      <c r="F16" s="113"/>
      <c r="G16" s="103"/>
      <c r="H16" s="103"/>
      <c r="I16" s="103"/>
      <c r="J16" s="103"/>
      <c r="K16" s="103"/>
      <c r="L16" s="103"/>
      <c r="M16" s="103"/>
      <c r="N16" s="103"/>
      <c r="O16" s="103"/>
      <c r="P16" s="103"/>
      <c r="Q16" s="103"/>
      <c r="R16" s="103"/>
      <c r="S16" s="120"/>
    </row>
    <row r="17" spans="1:19" x14ac:dyDescent="0.25">
      <c r="A17" s="113"/>
      <c r="B17" s="103"/>
      <c r="C17" s="103"/>
      <c r="D17" s="103"/>
      <c r="E17" s="114"/>
      <c r="F17" s="113"/>
      <c r="G17" s="103"/>
      <c r="H17" s="103"/>
      <c r="I17" s="103"/>
      <c r="J17" s="103"/>
      <c r="K17" s="103"/>
      <c r="L17" s="103"/>
      <c r="M17" s="103"/>
      <c r="N17" s="103"/>
      <c r="O17" s="103"/>
      <c r="P17" s="103"/>
      <c r="Q17" s="103"/>
      <c r="R17" s="103"/>
      <c r="S17" s="120"/>
    </row>
    <row r="18" spans="1:19" x14ac:dyDescent="0.25">
      <c r="A18" s="113"/>
      <c r="B18" s="103"/>
      <c r="C18" s="103"/>
      <c r="D18" s="103"/>
      <c r="E18" s="114"/>
      <c r="F18" s="113"/>
      <c r="G18" s="103"/>
      <c r="H18" s="103"/>
      <c r="I18" s="103"/>
      <c r="J18" s="103"/>
      <c r="K18" s="103"/>
      <c r="L18" s="103"/>
      <c r="M18" s="103"/>
      <c r="N18" s="103"/>
      <c r="O18" s="103"/>
      <c r="P18" s="103"/>
      <c r="Q18" s="103"/>
      <c r="R18" s="103"/>
      <c r="S18" s="120"/>
    </row>
    <row r="19" spans="1:19" x14ac:dyDescent="0.25">
      <c r="A19" s="113"/>
      <c r="B19" s="103"/>
      <c r="C19" s="103"/>
      <c r="D19" s="103"/>
      <c r="E19" s="114"/>
      <c r="F19" s="113"/>
      <c r="G19" s="103"/>
      <c r="H19" s="103"/>
      <c r="I19" s="103"/>
      <c r="J19" s="103"/>
      <c r="K19" s="103"/>
      <c r="L19" s="103"/>
      <c r="M19" s="103"/>
      <c r="N19" s="103"/>
      <c r="O19" s="103"/>
      <c r="P19" s="103"/>
      <c r="Q19" s="103"/>
      <c r="R19" s="103"/>
      <c r="S19" s="120"/>
    </row>
    <row r="20" spans="1:19" x14ac:dyDescent="0.25">
      <c r="A20" s="113"/>
      <c r="B20" s="103"/>
      <c r="C20" s="103"/>
      <c r="D20" s="103"/>
      <c r="E20" s="114"/>
      <c r="F20" s="113"/>
      <c r="G20" s="103"/>
      <c r="H20" s="103"/>
      <c r="I20" s="103"/>
      <c r="J20" s="103"/>
      <c r="K20" s="103"/>
      <c r="L20" s="103"/>
      <c r="M20" s="103"/>
      <c r="N20" s="103"/>
      <c r="O20" s="103"/>
      <c r="P20" s="103"/>
      <c r="Q20" s="103"/>
      <c r="R20" s="103"/>
      <c r="S20" s="120"/>
    </row>
    <row r="21" spans="1:19" ht="16.5" customHeight="1" x14ac:dyDescent="0.25">
      <c r="A21" s="113"/>
      <c r="B21" s="105"/>
      <c r="C21" s="103"/>
      <c r="D21" s="105"/>
      <c r="E21" s="114"/>
      <c r="F21" s="113"/>
      <c r="G21" s="103"/>
      <c r="H21" s="103"/>
      <c r="I21" s="103"/>
      <c r="J21" s="103"/>
      <c r="K21" s="103"/>
      <c r="L21" s="103"/>
      <c r="M21" s="103"/>
      <c r="N21" s="103"/>
      <c r="O21" s="103"/>
      <c r="P21" s="103"/>
      <c r="Q21" s="106"/>
      <c r="R21" s="103"/>
      <c r="S21" s="120"/>
    </row>
    <row r="22" spans="1:19" ht="15.6" x14ac:dyDescent="0.25">
      <c r="A22" s="113"/>
      <c r="B22" s="107"/>
      <c r="C22" s="103"/>
      <c r="D22" s="107"/>
      <c r="E22" s="114"/>
      <c r="F22" s="113"/>
      <c r="G22" s="108"/>
      <c r="H22" s="103"/>
      <c r="I22" s="108"/>
      <c r="J22" s="103"/>
      <c r="K22" s="108"/>
      <c r="L22" s="103"/>
      <c r="M22" s="108"/>
      <c r="N22" s="103"/>
      <c r="O22" s="111"/>
      <c r="P22" s="103"/>
      <c r="Q22" s="108"/>
      <c r="R22" s="103"/>
      <c r="S22" s="120"/>
    </row>
    <row r="23" spans="1:19" ht="13.8" thickBot="1" x14ac:dyDescent="0.3">
      <c r="A23" s="115"/>
      <c r="B23" s="116"/>
      <c r="C23" s="116"/>
      <c r="D23" s="116"/>
      <c r="E23" s="117"/>
      <c r="F23" s="121"/>
      <c r="G23" s="122"/>
      <c r="H23" s="122"/>
      <c r="I23" s="122"/>
      <c r="J23" s="122"/>
      <c r="K23" s="122"/>
      <c r="L23" s="122"/>
      <c r="M23" s="122"/>
      <c r="N23" s="122"/>
      <c r="O23" s="122"/>
      <c r="P23" s="122"/>
      <c r="Q23" s="122"/>
      <c r="R23" s="122"/>
      <c r="S23" s="123"/>
    </row>
    <row r="24" spans="1:19" ht="23.4" x14ac:dyDescent="0.25">
      <c r="A24" s="124"/>
      <c r="B24" s="125"/>
      <c r="C24" s="125"/>
      <c r="D24" s="125"/>
      <c r="E24" s="126"/>
      <c r="F24" s="130"/>
      <c r="G24" s="131"/>
      <c r="H24" s="131"/>
      <c r="I24" s="131"/>
      <c r="J24" s="131"/>
      <c r="K24" s="131"/>
      <c r="L24" s="131"/>
      <c r="M24" s="131"/>
      <c r="N24" s="132"/>
      <c r="O24" s="164" t="s">
        <v>256</v>
      </c>
      <c r="P24" s="165"/>
      <c r="Q24" s="165"/>
      <c r="R24" s="165"/>
      <c r="S24" s="166"/>
    </row>
    <row r="25" spans="1:19" ht="14.4" x14ac:dyDescent="0.25">
      <c r="A25" s="104"/>
      <c r="B25" s="103"/>
      <c r="C25" s="103"/>
      <c r="D25" s="103"/>
      <c r="E25" s="127"/>
      <c r="F25" s="133"/>
      <c r="G25" s="103"/>
      <c r="H25" s="103"/>
      <c r="I25" s="103"/>
      <c r="J25" s="103"/>
      <c r="K25" s="103"/>
      <c r="L25" s="103"/>
      <c r="M25" s="103"/>
      <c r="N25" s="134"/>
      <c r="O25" s="167" t="s">
        <v>263</v>
      </c>
      <c r="P25" s="168"/>
      <c r="Q25" s="168"/>
      <c r="R25" s="168"/>
      <c r="S25" s="169"/>
    </row>
    <row r="26" spans="1:19" x14ac:dyDescent="0.25">
      <c r="A26" s="104"/>
      <c r="B26" s="103"/>
      <c r="C26" s="103"/>
      <c r="D26" s="103"/>
      <c r="E26" s="127"/>
      <c r="F26" s="133"/>
      <c r="G26" s="103"/>
      <c r="H26" s="103"/>
      <c r="I26" s="103"/>
      <c r="J26" s="103"/>
      <c r="K26" s="103"/>
      <c r="L26" s="103"/>
      <c r="M26" s="103"/>
      <c r="N26" s="134"/>
      <c r="O26" s="138"/>
      <c r="P26" s="103"/>
      <c r="Q26" s="103"/>
      <c r="R26" s="103"/>
      <c r="S26" s="143"/>
    </row>
    <row r="27" spans="1:19" ht="23.4" x14ac:dyDescent="0.25">
      <c r="A27" s="189" t="s">
        <v>254</v>
      </c>
      <c r="B27" s="190"/>
      <c r="C27" s="190"/>
      <c r="D27" s="190"/>
      <c r="E27" s="191"/>
      <c r="F27" s="194" t="s">
        <v>255</v>
      </c>
      <c r="G27" s="190"/>
      <c r="H27" s="190"/>
      <c r="I27" s="190"/>
      <c r="J27" s="190"/>
      <c r="K27" s="190"/>
      <c r="L27" s="190"/>
      <c r="M27" s="190"/>
      <c r="N27" s="195"/>
      <c r="O27" s="138"/>
      <c r="P27" s="103"/>
      <c r="Q27" s="103"/>
      <c r="R27" s="103"/>
      <c r="S27" s="143"/>
    </row>
    <row r="28" spans="1:19" ht="15.6" x14ac:dyDescent="0.25">
      <c r="A28" s="192" t="s">
        <v>261</v>
      </c>
      <c r="B28" s="183"/>
      <c r="C28" s="183"/>
      <c r="D28" s="183"/>
      <c r="E28" s="193"/>
      <c r="F28" s="196" t="s">
        <v>262</v>
      </c>
      <c r="G28" s="168"/>
      <c r="H28" s="168"/>
      <c r="I28" s="168"/>
      <c r="J28" s="168"/>
      <c r="K28" s="168"/>
      <c r="L28" s="168"/>
      <c r="M28" s="168"/>
      <c r="N28" s="197"/>
      <c r="O28" s="138"/>
      <c r="P28" s="103"/>
      <c r="Q28" s="103"/>
      <c r="R28" s="103"/>
      <c r="S28" s="143"/>
    </row>
    <row r="29" spans="1:19" x14ac:dyDescent="0.25">
      <c r="A29" s="104"/>
      <c r="B29" s="103"/>
      <c r="C29" s="103"/>
      <c r="D29" s="103"/>
      <c r="E29" s="127"/>
      <c r="F29" s="133"/>
      <c r="G29" s="103"/>
      <c r="H29" s="103"/>
      <c r="I29" s="103"/>
      <c r="J29" s="103"/>
      <c r="K29" s="103"/>
      <c r="L29" s="103"/>
      <c r="M29" s="103"/>
      <c r="N29" s="134"/>
      <c r="O29" s="138"/>
      <c r="P29" s="103"/>
      <c r="Q29" s="103"/>
      <c r="R29" s="103"/>
      <c r="S29" s="143"/>
    </row>
    <row r="30" spans="1:19" x14ac:dyDescent="0.25">
      <c r="A30" s="104"/>
      <c r="B30" s="103"/>
      <c r="C30" s="103"/>
      <c r="D30" s="103"/>
      <c r="E30" s="127"/>
      <c r="F30" s="133"/>
      <c r="G30" s="103"/>
      <c r="H30" s="103"/>
      <c r="I30" s="103"/>
      <c r="J30" s="103"/>
      <c r="K30" s="103"/>
      <c r="L30" s="103"/>
      <c r="M30" s="103"/>
      <c r="N30" s="134"/>
      <c r="O30" s="138"/>
      <c r="P30" s="103"/>
      <c r="Q30" s="103"/>
      <c r="R30" s="103"/>
      <c r="S30" s="143"/>
    </row>
    <row r="31" spans="1:19" x14ac:dyDescent="0.25">
      <c r="A31" s="104"/>
      <c r="B31" s="103"/>
      <c r="C31" s="103"/>
      <c r="D31" s="103"/>
      <c r="E31" s="127"/>
      <c r="F31" s="133"/>
      <c r="G31" s="103"/>
      <c r="H31" s="103"/>
      <c r="I31" s="103"/>
      <c r="J31" s="103"/>
      <c r="K31" s="103"/>
      <c r="L31" s="103"/>
      <c r="M31" s="103"/>
      <c r="N31" s="134"/>
      <c r="O31" s="138"/>
      <c r="P31" s="103"/>
      <c r="Q31" s="103"/>
      <c r="R31" s="103"/>
      <c r="S31" s="143"/>
    </row>
    <row r="32" spans="1:19" x14ac:dyDescent="0.25">
      <c r="A32" s="104"/>
      <c r="B32" s="103"/>
      <c r="C32" s="103"/>
      <c r="D32" s="103"/>
      <c r="E32" s="127"/>
      <c r="F32" s="133"/>
      <c r="G32" s="103"/>
      <c r="H32" s="103"/>
      <c r="I32" s="103"/>
      <c r="J32" s="103"/>
      <c r="K32" s="103"/>
      <c r="L32" s="103"/>
      <c r="M32" s="103"/>
      <c r="N32" s="134"/>
      <c r="O32" s="138"/>
      <c r="P32" s="103"/>
      <c r="Q32" s="103"/>
      <c r="R32" s="103"/>
      <c r="S32" s="143"/>
    </row>
    <row r="33" spans="1:19" x14ac:dyDescent="0.25">
      <c r="A33" s="104"/>
      <c r="B33" s="103"/>
      <c r="C33" s="103"/>
      <c r="D33" s="103"/>
      <c r="E33" s="127"/>
      <c r="F33" s="133"/>
      <c r="G33" s="103"/>
      <c r="H33" s="103"/>
      <c r="I33" s="103"/>
      <c r="J33" s="103"/>
      <c r="K33" s="103"/>
      <c r="L33" s="103"/>
      <c r="M33" s="103"/>
      <c r="N33" s="134"/>
      <c r="O33" s="138"/>
      <c r="P33" s="103"/>
      <c r="Q33" s="103"/>
      <c r="R33" s="103"/>
      <c r="S33" s="143"/>
    </row>
    <row r="34" spans="1:19" x14ac:dyDescent="0.25">
      <c r="A34" s="104"/>
      <c r="B34" s="103"/>
      <c r="C34" s="103"/>
      <c r="D34" s="103"/>
      <c r="E34" s="127"/>
      <c r="F34" s="133"/>
      <c r="G34" s="103"/>
      <c r="H34" s="103"/>
      <c r="I34" s="103"/>
      <c r="J34" s="103"/>
      <c r="K34" s="103"/>
      <c r="L34" s="103"/>
      <c r="M34" s="103"/>
      <c r="N34" s="134"/>
      <c r="O34" s="138"/>
      <c r="P34" s="103"/>
      <c r="Q34" s="103"/>
      <c r="R34" s="103"/>
      <c r="S34" s="143"/>
    </row>
    <row r="35" spans="1:19" x14ac:dyDescent="0.25">
      <c r="A35" s="104"/>
      <c r="B35" s="103"/>
      <c r="C35" s="103"/>
      <c r="D35" s="103"/>
      <c r="E35" s="127"/>
      <c r="F35" s="133"/>
      <c r="G35" s="103"/>
      <c r="H35" s="103"/>
      <c r="I35" s="103"/>
      <c r="J35" s="103"/>
      <c r="K35" s="103"/>
      <c r="L35" s="103"/>
      <c r="M35" s="103"/>
      <c r="N35" s="134"/>
      <c r="O35" s="138"/>
      <c r="P35" s="103"/>
      <c r="Q35" s="103"/>
      <c r="R35" s="103"/>
      <c r="S35" s="143"/>
    </row>
    <row r="36" spans="1:19" ht="13.8" thickBot="1" x14ac:dyDescent="0.3">
      <c r="A36" s="104"/>
      <c r="B36" s="103"/>
      <c r="C36" s="103"/>
      <c r="D36" s="103"/>
      <c r="E36" s="127"/>
      <c r="F36" s="133"/>
      <c r="G36" s="103"/>
      <c r="H36" s="103"/>
      <c r="I36" s="103"/>
      <c r="J36" s="103"/>
      <c r="K36" s="103"/>
      <c r="L36" s="103"/>
      <c r="M36" s="103"/>
      <c r="N36" s="134"/>
      <c r="O36" s="144"/>
      <c r="P36" s="145"/>
      <c r="Q36" s="145"/>
      <c r="R36" s="145"/>
      <c r="S36" s="146"/>
    </row>
    <row r="37" spans="1:19" ht="23.4" x14ac:dyDescent="0.25">
      <c r="A37" s="104"/>
      <c r="B37" s="103"/>
      <c r="C37" s="103"/>
      <c r="D37" s="103"/>
      <c r="E37" s="127"/>
      <c r="F37" s="133"/>
      <c r="G37" s="103"/>
      <c r="H37" s="103"/>
      <c r="I37" s="103"/>
      <c r="J37" s="103"/>
      <c r="K37" s="103"/>
      <c r="L37" s="103"/>
      <c r="M37" s="103"/>
      <c r="N37" s="134"/>
      <c r="O37" s="185" t="s">
        <v>258</v>
      </c>
      <c r="P37" s="186"/>
      <c r="Q37" s="186"/>
      <c r="R37" s="186"/>
      <c r="S37" s="187"/>
    </row>
    <row r="38" spans="1:19" ht="14.4" x14ac:dyDescent="0.25">
      <c r="A38" s="104"/>
      <c r="B38" s="103"/>
      <c r="C38" s="103"/>
      <c r="D38" s="103"/>
      <c r="E38" s="127"/>
      <c r="F38" s="133"/>
      <c r="G38" s="103"/>
      <c r="H38" s="103"/>
      <c r="I38" s="103"/>
      <c r="J38" s="103"/>
      <c r="K38" s="103"/>
      <c r="L38" s="103"/>
      <c r="M38" s="103"/>
      <c r="N38" s="134"/>
      <c r="O38" s="167" t="s">
        <v>263</v>
      </c>
      <c r="P38" s="168"/>
      <c r="Q38" s="168"/>
      <c r="R38" s="168"/>
      <c r="S38" s="188"/>
    </row>
    <row r="39" spans="1:19" x14ac:dyDescent="0.25">
      <c r="A39" s="104"/>
      <c r="B39" s="103"/>
      <c r="C39" s="103"/>
      <c r="D39" s="103"/>
      <c r="E39" s="127"/>
      <c r="F39" s="133"/>
      <c r="G39" s="103"/>
      <c r="H39" s="103"/>
      <c r="I39" s="103"/>
      <c r="J39" s="103"/>
      <c r="K39" s="103"/>
      <c r="L39" s="103"/>
      <c r="M39" s="103"/>
      <c r="N39" s="134"/>
      <c r="O39" s="138"/>
      <c r="P39" s="103"/>
      <c r="Q39" s="103"/>
      <c r="R39" s="103"/>
      <c r="S39" s="139"/>
    </row>
    <row r="40" spans="1:19" x14ac:dyDescent="0.25">
      <c r="A40" s="104"/>
      <c r="B40" s="103"/>
      <c r="C40" s="103"/>
      <c r="D40" s="103"/>
      <c r="E40" s="127"/>
      <c r="F40" s="133"/>
      <c r="G40" s="103"/>
      <c r="H40" s="103"/>
      <c r="I40" s="103"/>
      <c r="J40" s="103"/>
      <c r="K40" s="103"/>
      <c r="L40" s="103"/>
      <c r="M40" s="103"/>
      <c r="N40" s="134"/>
      <c r="O40" s="138"/>
      <c r="P40" s="103"/>
      <c r="Q40" s="103"/>
      <c r="R40" s="103"/>
      <c r="S40" s="139"/>
    </row>
    <row r="41" spans="1:19" x14ac:dyDescent="0.25">
      <c r="A41" s="104"/>
      <c r="B41" s="103"/>
      <c r="C41" s="103"/>
      <c r="D41" s="103"/>
      <c r="E41" s="127"/>
      <c r="F41" s="133"/>
      <c r="G41" s="103"/>
      <c r="H41" s="103"/>
      <c r="I41" s="103"/>
      <c r="J41" s="103"/>
      <c r="K41" s="103"/>
      <c r="L41" s="103"/>
      <c r="M41" s="103"/>
      <c r="N41" s="134"/>
      <c r="O41" s="138"/>
      <c r="P41" s="103"/>
      <c r="Q41" s="103"/>
      <c r="R41" s="103"/>
      <c r="S41" s="139"/>
    </row>
    <row r="42" spans="1:19" x14ac:dyDescent="0.25">
      <c r="A42" s="104"/>
      <c r="B42" s="103"/>
      <c r="C42" s="103"/>
      <c r="D42" s="103"/>
      <c r="E42" s="127"/>
      <c r="F42" s="133"/>
      <c r="G42" s="103"/>
      <c r="H42" s="103"/>
      <c r="I42" s="103"/>
      <c r="J42" s="103"/>
      <c r="K42" s="103"/>
      <c r="L42" s="103"/>
      <c r="M42" s="103"/>
      <c r="N42" s="134"/>
      <c r="O42" s="138"/>
      <c r="P42" s="103"/>
      <c r="Q42" s="103"/>
      <c r="R42" s="103"/>
      <c r="S42" s="139"/>
    </row>
    <row r="43" spans="1:19" x14ac:dyDescent="0.25">
      <c r="A43" s="104"/>
      <c r="B43" s="103"/>
      <c r="C43" s="103"/>
      <c r="D43" s="103"/>
      <c r="E43" s="127"/>
      <c r="F43" s="133"/>
      <c r="G43" s="103"/>
      <c r="H43" s="103"/>
      <c r="I43" s="103"/>
      <c r="J43" s="103"/>
      <c r="K43" s="103"/>
      <c r="L43" s="103"/>
      <c r="M43" s="103"/>
      <c r="N43" s="134"/>
      <c r="O43" s="138"/>
      <c r="P43" s="103"/>
      <c r="Q43" s="103"/>
      <c r="R43" s="103"/>
      <c r="S43" s="139"/>
    </row>
    <row r="44" spans="1:19" x14ac:dyDescent="0.25">
      <c r="A44" s="103"/>
      <c r="B44" s="103"/>
      <c r="C44" s="103"/>
      <c r="D44" s="103"/>
      <c r="E44" s="127"/>
      <c r="F44" s="133"/>
      <c r="G44" s="103"/>
      <c r="H44" s="103"/>
      <c r="I44" s="103"/>
      <c r="J44" s="103"/>
      <c r="K44" s="103"/>
      <c r="L44" s="103"/>
      <c r="M44" s="103"/>
      <c r="N44" s="134"/>
      <c r="O44" s="138"/>
      <c r="P44" s="103"/>
      <c r="Q44" s="103"/>
      <c r="R44" s="103"/>
      <c r="S44" s="139"/>
    </row>
    <row r="45" spans="1:19" ht="13.8" thickBot="1" x14ac:dyDescent="0.3">
      <c r="A45" s="128"/>
      <c r="B45" s="128"/>
      <c r="C45" s="128"/>
      <c r="D45" s="128"/>
      <c r="E45" s="129"/>
      <c r="F45" s="135"/>
      <c r="G45" s="136"/>
      <c r="H45" s="136"/>
      <c r="I45" s="136"/>
      <c r="J45" s="136"/>
      <c r="K45" s="136"/>
      <c r="L45" s="136"/>
      <c r="M45" s="136"/>
      <c r="N45" s="137"/>
      <c r="O45" s="140"/>
      <c r="P45" s="141"/>
      <c r="Q45" s="141"/>
      <c r="R45" s="141"/>
      <c r="S45" s="142"/>
    </row>
    <row r="48" spans="1:19" ht="20.399999999999999" x14ac:dyDescent="0.25">
      <c r="A48" s="200" t="s">
        <v>266</v>
      </c>
      <c r="B48" s="201"/>
      <c r="C48" s="201"/>
      <c r="D48" s="201"/>
      <c r="E48" s="201"/>
      <c r="F48" s="201"/>
      <c r="G48" s="201"/>
      <c r="H48" s="201"/>
      <c r="I48" s="201"/>
      <c r="J48" s="201"/>
      <c r="K48" s="201"/>
      <c r="L48" s="201"/>
      <c r="M48" s="201"/>
      <c r="N48" s="201"/>
      <c r="O48" s="201"/>
      <c r="P48" s="201"/>
      <c r="Q48" s="201"/>
      <c r="R48" s="201"/>
      <c r="S48" s="202"/>
    </row>
    <row r="49" spans="1:19" x14ac:dyDescent="0.25">
      <c r="A49" s="152"/>
      <c r="B49" s="147"/>
      <c r="C49" s="147"/>
      <c r="D49" s="147"/>
      <c r="E49" s="147"/>
      <c r="F49" s="147"/>
      <c r="G49" s="147"/>
      <c r="H49" s="147"/>
      <c r="I49" s="147"/>
      <c r="J49" s="147"/>
      <c r="K49" s="147"/>
      <c r="L49" s="147"/>
      <c r="M49" s="147"/>
      <c r="N49" s="147"/>
      <c r="O49" s="147"/>
      <c r="P49" s="147"/>
      <c r="Q49" s="147"/>
      <c r="R49" s="147"/>
      <c r="S49" s="148"/>
    </row>
    <row r="50" spans="1:19" ht="13.8" x14ac:dyDescent="0.25">
      <c r="A50" s="154"/>
      <c r="B50" s="203" t="s">
        <v>125</v>
      </c>
      <c r="C50" s="204"/>
      <c r="D50" s="156">
        <f>'calculation sheet - minerals'!AI3</f>
        <v>81.458084804424189</v>
      </c>
      <c r="E50" s="103"/>
      <c r="F50" s="205" t="s">
        <v>19</v>
      </c>
      <c r="G50" s="206"/>
      <c r="H50" s="158">
        <f>'calculation sheet - minerals'!AI6</f>
        <v>11.669474895500352</v>
      </c>
      <c r="I50" s="103"/>
      <c r="J50" s="198" t="s">
        <v>31</v>
      </c>
      <c r="K50" s="199"/>
      <c r="L50" s="159">
        <f>'calculation sheet - minerals'!AI10</f>
        <v>22.939953223750017</v>
      </c>
      <c r="M50" s="103"/>
      <c r="N50" s="207" t="s">
        <v>213</v>
      </c>
      <c r="O50" s="208"/>
      <c r="P50" s="161">
        <f>'calculation sheet - minerals'!AI4</f>
        <v>10.344021445625748</v>
      </c>
      <c r="Q50" s="103"/>
      <c r="R50" s="103"/>
      <c r="S50" s="149"/>
    </row>
    <row r="51" spans="1:19" ht="13.8" x14ac:dyDescent="0.25">
      <c r="A51" s="154"/>
      <c r="B51" s="203" t="s">
        <v>2</v>
      </c>
      <c r="C51" s="204"/>
      <c r="D51" s="156">
        <f>'calculation sheet - minerals'!AI17</f>
        <v>84.244088196357652</v>
      </c>
      <c r="E51" s="103"/>
      <c r="F51" s="205" t="s">
        <v>6</v>
      </c>
      <c r="G51" s="206"/>
      <c r="H51" s="158">
        <f>'calculation sheet - minerals'!AI8</f>
        <v>28.449619020964334</v>
      </c>
      <c r="I51" s="103"/>
      <c r="J51" s="198" t="s">
        <v>7</v>
      </c>
      <c r="K51" s="199"/>
      <c r="L51" s="159">
        <f>'calculation sheet - minerals'!AI12</f>
        <v>15.443333099835046</v>
      </c>
      <c r="M51" s="103"/>
      <c r="N51" s="207" t="s">
        <v>42</v>
      </c>
      <c r="O51" s="208"/>
      <c r="P51" s="161">
        <f>'calculation sheet - minerals'!AI7</f>
        <v>21.425026020401383</v>
      </c>
      <c r="Q51" s="103"/>
      <c r="R51" s="103"/>
      <c r="S51" s="149"/>
    </row>
    <row r="52" spans="1:19" ht="13.8" x14ac:dyDescent="0.25">
      <c r="A52" s="154"/>
      <c r="B52" s="103"/>
      <c r="C52" s="103"/>
      <c r="D52" s="103"/>
      <c r="E52" s="103"/>
      <c r="F52" s="205" t="s">
        <v>199</v>
      </c>
      <c r="G52" s="206"/>
      <c r="H52" s="158">
        <f>'calculation sheet - minerals'!AI13</f>
        <v>21.913234163583891</v>
      </c>
      <c r="I52" s="103"/>
      <c r="J52" s="198" t="s">
        <v>68</v>
      </c>
      <c r="K52" s="199"/>
      <c r="L52" s="159">
        <f>'calculation sheet - minerals'!AI15</f>
        <v>32.565056010764586</v>
      </c>
      <c r="M52" s="103"/>
      <c r="N52" s="207" t="s">
        <v>141</v>
      </c>
      <c r="O52" s="208"/>
      <c r="P52" s="161">
        <f>'calculation sheet - minerals'!AI14</f>
        <v>20.152336046712989</v>
      </c>
      <c r="Q52" s="103"/>
      <c r="R52" s="103"/>
      <c r="S52" s="149"/>
    </row>
    <row r="53" spans="1:19" ht="13.8" x14ac:dyDescent="0.25">
      <c r="A53" s="154"/>
      <c r="B53" s="211" t="s">
        <v>13</v>
      </c>
      <c r="C53" s="212"/>
      <c r="D53" s="157">
        <f>'calculation sheet - minerals'!AI9</f>
        <v>20.64016646952404</v>
      </c>
      <c r="E53" s="103"/>
      <c r="F53" s="205" t="s">
        <v>264</v>
      </c>
      <c r="G53" s="206"/>
      <c r="H53" s="158">
        <f>'calculation sheet - minerals'!AI18</f>
        <v>77.834041051003169</v>
      </c>
      <c r="I53" s="103"/>
      <c r="J53" s="103"/>
      <c r="K53" s="103"/>
      <c r="L53" s="103"/>
      <c r="M53" s="103"/>
      <c r="N53" s="207" t="s">
        <v>62</v>
      </c>
      <c r="O53" s="208"/>
      <c r="P53" s="161">
        <f>'calculation sheet - minerals'!AI21</f>
        <v>17.180968490137854</v>
      </c>
      <c r="Q53" s="103"/>
      <c r="R53" s="103"/>
      <c r="S53" s="149"/>
    </row>
    <row r="54" spans="1:19" ht="13.8" x14ac:dyDescent="0.25">
      <c r="A54" s="154"/>
      <c r="B54" s="211" t="s">
        <v>176</v>
      </c>
      <c r="C54" s="212"/>
      <c r="D54" s="157">
        <f>'calculation sheet - minerals'!AI11</f>
        <v>12.841657132371855</v>
      </c>
      <c r="E54" s="103"/>
      <c r="F54" s="205" t="s">
        <v>112</v>
      </c>
      <c r="G54" s="206"/>
      <c r="H54" s="158">
        <f>'calculation sheet - minerals'!AI20</f>
        <v>58.029726115965225</v>
      </c>
      <c r="I54" s="103"/>
      <c r="J54" s="209" t="s">
        <v>73</v>
      </c>
      <c r="K54" s="210"/>
      <c r="L54" s="160">
        <f>'calculation sheet - minerals'!AI5</f>
        <v>24.826246002127647</v>
      </c>
      <c r="M54" s="103"/>
      <c r="N54" s="207" t="s">
        <v>225</v>
      </c>
      <c r="O54" s="208"/>
      <c r="P54" s="161">
        <f>'calculation sheet - minerals'!AI23</f>
        <v>20.64267032564182</v>
      </c>
      <c r="Q54" s="103"/>
      <c r="R54" s="103"/>
      <c r="S54" s="149"/>
    </row>
    <row r="55" spans="1:19" ht="13.8" x14ac:dyDescent="0.25">
      <c r="A55" s="154"/>
      <c r="B55" s="211" t="s">
        <v>160</v>
      </c>
      <c r="C55" s="212"/>
      <c r="D55" s="157">
        <f>'calculation sheet - minerals'!AI16</f>
        <v>107.62013923335145</v>
      </c>
      <c r="E55" s="103"/>
      <c r="F55" s="205" t="s">
        <v>102</v>
      </c>
      <c r="G55" s="206"/>
      <c r="H55" s="158">
        <f>'calculation sheet - minerals'!AI26</f>
        <v>15.813389807985521</v>
      </c>
      <c r="I55" s="103"/>
      <c r="J55" s="209" t="s">
        <v>29</v>
      </c>
      <c r="K55" s="210"/>
      <c r="L55" s="160">
        <f>'calculation sheet - minerals'!AI19</f>
        <v>18.358539596202881</v>
      </c>
      <c r="M55" s="103"/>
      <c r="N55" s="207" t="s">
        <v>230</v>
      </c>
      <c r="O55" s="208"/>
      <c r="P55" s="161">
        <f>'calculation sheet - minerals'!AI24</f>
        <v>31.985309282391878</v>
      </c>
      <c r="Q55" s="103"/>
      <c r="R55" s="103"/>
      <c r="S55" s="149"/>
    </row>
    <row r="56" spans="1:19" ht="13.8" x14ac:dyDescent="0.25">
      <c r="A56" s="154"/>
      <c r="B56" s="103"/>
      <c r="C56" s="103"/>
      <c r="D56" s="103"/>
      <c r="E56" s="103"/>
      <c r="F56" s="103"/>
      <c r="G56" s="103"/>
      <c r="H56" s="103"/>
      <c r="I56" s="103"/>
      <c r="J56" s="209" t="s">
        <v>166</v>
      </c>
      <c r="K56" s="210"/>
      <c r="L56" s="160">
        <f>'calculation sheet - minerals'!AI20</f>
        <v>58.029726115965225</v>
      </c>
      <c r="M56" s="103"/>
      <c r="N56" s="103"/>
      <c r="O56" s="103"/>
      <c r="P56" s="103"/>
      <c r="Q56" s="103"/>
      <c r="R56" s="103"/>
      <c r="S56" s="149"/>
    </row>
    <row r="57" spans="1:19" ht="13.8" x14ac:dyDescent="0.25">
      <c r="A57" s="154"/>
      <c r="B57" s="103"/>
      <c r="C57" s="103"/>
      <c r="D57" s="103"/>
      <c r="E57" s="103"/>
      <c r="F57" s="103"/>
      <c r="G57" s="103"/>
      <c r="H57" s="103"/>
      <c r="I57" s="103"/>
      <c r="J57" s="209" t="s">
        <v>154</v>
      </c>
      <c r="K57" s="210"/>
      <c r="L57" s="160">
        <f>'calculation sheet - minerals'!AI25</f>
        <v>12.888120268082208</v>
      </c>
      <c r="M57" s="103"/>
      <c r="N57" s="103"/>
      <c r="O57" s="103"/>
      <c r="P57" s="103"/>
      <c r="Q57" s="103"/>
      <c r="R57" s="103"/>
      <c r="S57" s="149"/>
    </row>
    <row r="58" spans="1:19" x14ac:dyDescent="0.25">
      <c r="A58" s="153"/>
      <c r="B58" s="150"/>
      <c r="C58" s="150"/>
      <c r="D58" s="150"/>
      <c r="E58" s="150"/>
      <c r="F58" s="150"/>
      <c r="G58" s="150"/>
      <c r="H58" s="150"/>
      <c r="I58" s="150"/>
      <c r="J58" s="150"/>
      <c r="K58" s="150"/>
      <c r="L58" s="150"/>
      <c r="M58" s="150"/>
      <c r="N58" s="150"/>
      <c r="O58" s="150"/>
      <c r="P58" s="150"/>
      <c r="Q58" s="150"/>
      <c r="R58" s="150"/>
      <c r="S58" s="151"/>
    </row>
  </sheetData>
  <mergeCells count="38">
    <mergeCell ref="J56:K56"/>
    <mergeCell ref="J57:K57"/>
    <mergeCell ref="B53:C53"/>
    <mergeCell ref="B54:C54"/>
    <mergeCell ref="B55:C55"/>
    <mergeCell ref="N55:O55"/>
    <mergeCell ref="J54:K54"/>
    <mergeCell ref="J55:K55"/>
    <mergeCell ref="F52:G52"/>
    <mergeCell ref="F53:G53"/>
    <mergeCell ref="F54:G54"/>
    <mergeCell ref="F55:G55"/>
    <mergeCell ref="N52:O52"/>
    <mergeCell ref="N53:O53"/>
    <mergeCell ref="N54:O54"/>
    <mergeCell ref="J50:K50"/>
    <mergeCell ref="J51:K51"/>
    <mergeCell ref="J52:K52"/>
    <mergeCell ref="A48:S48"/>
    <mergeCell ref="B50:C50"/>
    <mergeCell ref="B51:C51"/>
    <mergeCell ref="F50:G50"/>
    <mergeCell ref="F51:G51"/>
    <mergeCell ref="N50:O50"/>
    <mergeCell ref="N51:O51"/>
    <mergeCell ref="O37:S37"/>
    <mergeCell ref="O38:S38"/>
    <mergeCell ref="A27:E27"/>
    <mergeCell ref="A28:E28"/>
    <mergeCell ref="F27:N27"/>
    <mergeCell ref="F28:N28"/>
    <mergeCell ref="O24:S24"/>
    <mergeCell ref="O25:S25"/>
    <mergeCell ref="A1:S3"/>
    <mergeCell ref="A4:E4"/>
    <mergeCell ref="A5:E5"/>
    <mergeCell ref="G4:R4"/>
    <mergeCell ref="G5:R5"/>
  </mergeCells>
  <pageMargins left="0.7" right="0.7" top="0.75" bottom="0.75" header="0.3" footer="0.3"/>
  <pageSetup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E42"/>
  <sheetViews>
    <sheetView workbookViewId="0"/>
  </sheetViews>
  <sheetFormatPr defaultRowHeight="13.2" x14ac:dyDescent="0.25"/>
  <cols>
    <col min="2" max="2" width="12.44140625" customWidth="1"/>
    <col min="3" max="4" width="20.109375" customWidth="1"/>
  </cols>
  <sheetData>
    <row r="2" spans="2:5" ht="17.399999999999999" x14ac:dyDescent="0.25">
      <c r="B2" s="101" t="s">
        <v>246</v>
      </c>
      <c r="C2" s="100"/>
    </row>
    <row r="3" spans="2:5" ht="17.399999999999999" x14ac:dyDescent="0.25">
      <c r="B3" s="102" t="s">
        <v>244</v>
      </c>
      <c r="C3" s="100"/>
    </row>
    <row r="4" spans="2:5" x14ac:dyDescent="0.25">
      <c r="B4" s="4" t="s">
        <v>125</v>
      </c>
      <c r="C4" s="6">
        <f>'calculation sheet - minerals'!C3</f>
        <v>75000000000</v>
      </c>
      <c r="D4" s="109">
        <f>C4/1000000000</f>
        <v>75</v>
      </c>
      <c r="E4" s="155">
        <f>VLOOKUP(B4,'calculation sheet - minerals'!$A$3:$I$26,9,0)</f>
        <v>1811.5942028985507</v>
      </c>
    </row>
    <row r="5" spans="2:5" x14ac:dyDescent="0.25">
      <c r="B5" s="4" t="s">
        <v>2</v>
      </c>
      <c r="C5" s="6">
        <f>'calculation sheet - minerals'!C17</f>
        <v>65000000000</v>
      </c>
      <c r="D5" s="109">
        <f>C5/1000000000</f>
        <v>65</v>
      </c>
      <c r="E5" s="155">
        <f>VLOOKUP(B5,'calculation sheet - minerals'!$A$3:$I$26,9,0)</f>
        <v>369.31818181818181</v>
      </c>
    </row>
    <row r="7" spans="2:5" ht="17.399999999999999" x14ac:dyDescent="0.25">
      <c r="B7" s="101" t="s">
        <v>245</v>
      </c>
      <c r="C7" s="100"/>
    </row>
    <row r="8" spans="2:5" ht="17.399999999999999" x14ac:dyDescent="0.25">
      <c r="B8" s="102" t="s">
        <v>244</v>
      </c>
      <c r="C8" s="100"/>
    </row>
    <row r="9" spans="2:5" x14ac:dyDescent="0.25">
      <c r="B9" s="4" t="s">
        <v>112</v>
      </c>
      <c r="C9" s="6">
        <f>'calculation sheet - minerals'!C22</f>
        <v>690000000</v>
      </c>
      <c r="D9">
        <f t="shared" ref="D9:D14" si="0">C9/1000000000</f>
        <v>0.69</v>
      </c>
      <c r="E9" s="155">
        <f>VLOOKUP(B9,'calculation sheet - minerals'!$A$3:$I$26,9,0)</f>
        <v>109.52380952380952</v>
      </c>
    </row>
    <row r="10" spans="2:5" x14ac:dyDescent="0.25">
      <c r="B10" s="4" t="s">
        <v>6</v>
      </c>
      <c r="C10" s="6">
        <f>'calculation sheet - minerals'!C8</f>
        <v>630000000</v>
      </c>
      <c r="D10">
        <f t="shared" si="0"/>
        <v>0.63</v>
      </c>
      <c r="E10" s="155">
        <f>VLOOKUP(B10,'calculation sheet - minerals'!$A$3:$I$26,9,0)</f>
        <v>38.888888888888886</v>
      </c>
    </row>
    <row r="11" spans="2:5" x14ac:dyDescent="0.25">
      <c r="B11" s="4" t="s">
        <v>199</v>
      </c>
      <c r="C11" s="6">
        <f>'calculation sheet - minerals'!C13</f>
        <v>630000000</v>
      </c>
      <c r="D11">
        <f t="shared" si="0"/>
        <v>0.63</v>
      </c>
      <c r="E11" s="155">
        <f>VLOOKUP(B11,'calculation sheet - minerals'!$A$3:$I$26,9,0)</f>
        <v>48.46153846153846</v>
      </c>
    </row>
    <row r="12" spans="2:5" x14ac:dyDescent="0.25">
      <c r="B12" s="4" t="s">
        <v>19</v>
      </c>
      <c r="C12" s="6">
        <f>'calculation sheet - minerals'!C6</f>
        <v>350000000</v>
      </c>
      <c r="D12">
        <f t="shared" si="0"/>
        <v>0.35</v>
      </c>
      <c r="E12" s="155">
        <f>VLOOKUP(B12,'calculation sheet - minerals'!$A$3:$I$26,9,0)</f>
        <v>15.909090909090908</v>
      </c>
    </row>
    <row r="13" spans="2:5" x14ac:dyDescent="0.25">
      <c r="B13" s="4" t="s">
        <v>102</v>
      </c>
      <c r="C13" s="6">
        <f>'calculation sheet - minerals'!C26</f>
        <v>250000000</v>
      </c>
      <c r="D13">
        <f t="shared" si="0"/>
        <v>0.25</v>
      </c>
      <c r="E13" s="155">
        <f>VLOOKUP(B13,'calculation sheet - minerals'!$A$3:$I$26,9,0)</f>
        <v>20.833333333333332</v>
      </c>
    </row>
    <row r="14" spans="2:5" x14ac:dyDescent="0.25">
      <c r="B14" s="4" t="s">
        <v>265</v>
      </c>
      <c r="C14" s="6">
        <f>'calculation sheet - minerals'!C18</f>
        <v>110000000</v>
      </c>
      <c r="D14">
        <f t="shared" si="0"/>
        <v>0.11</v>
      </c>
      <c r="E14" s="155">
        <f>VLOOKUP(B14,'calculation sheet - minerals'!$A$3:$I$26,9,0)</f>
        <v>846.15384615384619</v>
      </c>
    </row>
    <row r="16" spans="2:5" ht="17.399999999999999" x14ac:dyDescent="0.25">
      <c r="B16" s="101" t="s">
        <v>248</v>
      </c>
      <c r="C16" s="100"/>
    </row>
    <row r="17" spans="2:5" ht="17.399999999999999" x14ac:dyDescent="0.25">
      <c r="B17" s="102" t="s">
        <v>247</v>
      </c>
      <c r="C17" s="100"/>
    </row>
    <row r="18" spans="2:5" x14ac:dyDescent="0.25">
      <c r="B18" s="4" t="s">
        <v>7</v>
      </c>
      <c r="C18" s="6">
        <f>'calculation sheet - minerals'!C12</f>
        <v>80000000</v>
      </c>
      <c r="D18">
        <f>C18/1000000</f>
        <v>80</v>
      </c>
      <c r="E18" s="155">
        <f>VLOOKUP(B18,'calculation sheet - minerals'!$A$3:$I$26,9,0)</f>
        <v>19.512195121951219</v>
      </c>
    </row>
    <row r="19" spans="2:5" x14ac:dyDescent="0.25">
      <c r="B19" s="4" t="s">
        <v>68</v>
      </c>
      <c r="C19" s="6">
        <f>'calculation sheet - minerals'!C15</f>
        <v>76000000</v>
      </c>
      <c r="D19">
        <f t="shared" ref="D19:D29" si="1">C19/1000000</f>
        <v>76</v>
      </c>
      <c r="E19" s="155">
        <f>VLOOKUP(B19,'calculation sheet - minerals'!$A$3:$I$26,9,0)</f>
        <v>49.032258064516128</v>
      </c>
    </row>
    <row r="20" spans="2:5" x14ac:dyDescent="0.25">
      <c r="B20" s="4" t="s">
        <v>31</v>
      </c>
      <c r="C20" s="6">
        <f>'calculation sheet - minerals'!C10</f>
        <v>71000000</v>
      </c>
      <c r="D20">
        <f t="shared" si="1"/>
        <v>71</v>
      </c>
      <c r="E20" s="155">
        <f>VLOOKUP(B20,'calculation sheet - minerals'!$A$3:$I$26,9,0)</f>
        <v>64.545454545454547</v>
      </c>
    </row>
    <row r="22" spans="2:5" ht="17.399999999999999" x14ac:dyDescent="0.25">
      <c r="B22" s="101" t="s">
        <v>249</v>
      </c>
      <c r="C22" s="100"/>
    </row>
    <row r="23" spans="2:5" ht="17.399999999999999" x14ac:dyDescent="0.25">
      <c r="B23" s="102" t="s">
        <v>247</v>
      </c>
      <c r="C23" s="100"/>
    </row>
    <row r="24" spans="2:5" x14ac:dyDescent="0.25">
      <c r="B24" s="4" t="s">
        <v>141</v>
      </c>
      <c r="C24" s="6">
        <f>'calculation sheet - minerals'!C14</f>
        <v>9800000</v>
      </c>
      <c r="D24">
        <f t="shared" si="1"/>
        <v>9.8000000000000007</v>
      </c>
      <c r="E24" s="155">
        <f>VLOOKUP(B24,'calculation sheet - minerals'!$A$3:$I$26,9,0)</f>
        <v>41.880341880341881</v>
      </c>
    </row>
    <row r="25" spans="2:5" x14ac:dyDescent="0.25">
      <c r="B25" s="4" t="s">
        <v>42</v>
      </c>
      <c r="C25" s="6">
        <f>'calculation sheet - minerals'!C7</f>
        <v>7300000</v>
      </c>
      <c r="D25">
        <f t="shared" si="1"/>
        <v>7.3</v>
      </c>
      <c r="E25" s="155">
        <f>VLOOKUP(B25,'calculation sheet - minerals'!$A$3:$I$26,9,0)</f>
        <v>82.954545454545453</v>
      </c>
    </row>
    <row r="26" spans="2:5" x14ac:dyDescent="0.25">
      <c r="B26" s="4" t="s">
        <v>230</v>
      </c>
      <c r="C26" s="6">
        <f>'calculation sheet - minerals'!C24</f>
        <v>5469000</v>
      </c>
      <c r="D26" s="110">
        <f t="shared" si="1"/>
        <v>5.4690000000000003</v>
      </c>
      <c r="E26" s="155">
        <f>VLOOKUP(B26,'calculation sheet - minerals'!$A$3:$I$26,9,0)</f>
        <v>101.91379535247749</v>
      </c>
    </row>
    <row r="27" spans="2:5" x14ac:dyDescent="0.25">
      <c r="B27" s="4" t="s">
        <v>62</v>
      </c>
      <c r="C27" s="6">
        <f>'calculation sheet - minerals'!C21</f>
        <v>5200000</v>
      </c>
      <c r="D27">
        <f t="shared" si="1"/>
        <v>5.2</v>
      </c>
      <c r="E27" s="155">
        <f>VLOOKUP(B27,'calculation sheet - minerals'!$A$3:$I$26,9,0)</f>
        <v>19.92337164750958</v>
      </c>
    </row>
    <row r="28" spans="2:5" x14ac:dyDescent="0.25">
      <c r="B28" s="4" t="s">
        <v>225</v>
      </c>
      <c r="C28" s="6">
        <f>'calculation sheet - minerals'!C23</f>
        <v>2900000</v>
      </c>
      <c r="D28">
        <f t="shared" si="1"/>
        <v>2.9</v>
      </c>
      <c r="E28" s="155">
        <f>VLOOKUP(B28,'calculation sheet - minerals'!$A$3:$I$26,9,0)</f>
        <v>47.540983606557376</v>
      </c>
    </row>
    <row r="29" spans="2:5" x14ac:dyDescent="0.25">
      <c r="B29" s="4" t="s">
        <v>213</v>
      </c>
      <c r="C29" s="6">
        <f>'calculation sheet - minerals'!C4</f>
        <v>1800000</v>
      </c>
      <c r="D29">
        <f t="shared" si="1"/>
        <v>1.8</v>
      </c>
      <c r="E29" s="155">
        <f>VLOOKUP(B29,'calculation sheet - minerals'!$A$3:$I$26,9,0)</f>
        <v>13.333333333333334</v>
      </c>
    </row>
    <row r="31" spans="2:5" ht="17.399999999999999" x14ac:dyDescent="0.25">
      <c r="B31" s="101" t="s">
        <v>251</v>
      </c>
      <c r="C31" s="100"/>
    </row>
    <row r="32" spans="2:5" ht="17.399999999999999" x14ac:dyDescent="0.25">
      <c r="B32" s="102" t="s">
        <v>250</v>
      </c>
      <c r="C32" s="100"/>
    </row>
    <row r="33" spans="2:5" x14ac:dyDescent="0.25">
      <c r="B33" s="4" t="s">
        <v>73</v>
      </c>
      <c r="C33" s="6">
        <f>'calculation sheet - minerals'!C5</f>
        <v>660000</v>
      </c>
      <c r="D33">
        <f>C33/1000</f>
        <v>660</v>
      </c>
      <c r="E33" s="155">
        <f>VLOOKUP(B33,'calculation sheet - minerals'!$A$3:$I$26,9,0)</f>
        <v>30</v>
      </c>
    </row>
    <row r="34" spans="2:5" x14ac:dyDescent="0.25">
      <c r="B34" s="4" t="s">
        <v>154</v>
      </c>
      <c r="C34" s="6">
        <f>'calculation sheet - minerals'!C25</f>
        <v>540000</v>
      </c>
      <c r="D34">
        <f t="shared" ref="D34:D42" si="2">C34/1000</f>
        <v>540</v>
      </c>
      <c r="E34" s="155">
        <f>VLOOKUP(B34,'calculation sheet - minerals'!$A$3:$I$26,9,0)</f>
        <v>60.674157303370784</v>
      </c>
    </row>
    <row r="35" spans="2:5" x14ac:dyDescent="0.25">
      <c r="B35" s="4" t="s">
        <v>29</v>
      </c>
      <c r="C35" s="6">
        <f>'calculation sheet - minerals'!C19</f>
        <v>510000</v>
      </c>
      <c r="D35">
        <f t="shared" si="2"/>
        <v>510</v>
      </c>
      <c r="E35" s="155">
        <f>VLOOKUP(B35,'calculation sheet - minerals'!$A$3:$I$26,9,0)</f>
        <v>22.972972972972972</v>
      </c>
    </row>
    <row r="36" spans="2:5" x14ac:dyDescent="0.25">
      <c r="B36" s="4" t="s">
        <v>166</v>
      </c>
      <c r="C36" s="6">
        <f>'calculation sheet - minerals'!C20</f>
        <v>110000</v>
      </c>
      <c r="D36">
        <f t="shared" si="2"/>
        <v>110</v>
      </c>
      <c r="E36" s="155">
        <f>VLOOKUP(B36,'calculation sheet - minerals'!$A$3:$I$26,9,0)</f>
        <v>164.17910447761193</v>
      </c>
    </row>
    <row r="38" spans="2:5" ht="17.399999999999999" x14ac:dyDescent="0.25">
      <c r="B38" s="101" t="s">
        <v>257</v>
      </c>
    </row>
    <row r="39" spans="2:5" ht="15.6" x14ac:dyDescent="0.25">
      <c r="B39" s="102" t="s">
        <v>250</v>
      </c>
    </row>
    <row r="40" spans="2:5" x14ac:dyDescent="0.25">
      <c r="B40" s="4" t="s">
        <v>160</v>
      </c>
      <c r="C40" s="6">
        <f>'calculation sheet - minerals'!C16</f>
        <v>66000</v>
      </c>
      <c r="D40">
        <f t="shared" si="2"/>
        <v>66</v>
      </c>
      <c r="E40" s="155">
        <f>VLOOKUP(B40,'calculation sheet - minerals'!$A$3:$I$26,9,0)</f>
        <v>360.65573770491801</v>
      </c>
    </row>
    <row r="41" spans="2:5" x14ac:dyDescent="0.25">
      <c r="B41" s="4" t="s">
        <v>13</v>
      </c>
      <c r="C41" s="6">
        <f>'calculation sheet - minerals'!C9</f>
        <v>51000</v>
      </c>
      <c r="D41">
        <f t="shared" si="2"/>
        <v>51</v>
      </c>
      <c r="E41" s="155">
        <f>VLOOKUP(B41,'calculation sheet - minerals'!$A$3:$I$26,9,0)</f>
        <v>20.399999999999999</v>
      </c>
    </row>
    <row r="42" spans="2:5" x14ac:dyDescent="0.25">
      <c r="B42" s="4" t="s">
        <v>176</v>
      </c>
      <c r="C42" s="6">
        <f>'calculation sheet - minerals'!C11</f>
        <v>11000</v>
      </c>
      <c r="D42">
        <f t="shared" si="2"/>
        <v>11</v>
      </c>
      <c r="E42" s="155">
        <f>VLOOKUP(B42,'calculation sheet - minerals'!$A$3:$I$26,9,0)</f>
        <v>19.16376306620209</v>
      </c>
    </row>
  </sheetData>
  <pageMargins left="0.7" right="0.7" top="0.75" bottom="0.75" header="0.3" footer="0.3"/>
  <pageSetup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96"/>
  <sheetViews>
    <sheetView workbookViewId="0"/>
  </sheetViews>
  <sheetFormatPr defaultColWidth="17.109375" defaultRowHeight="12.75" customHeight="1" x14ac:dyDescent="0.25"/>
  <cols>
    <col min="1" max="1" width="18.5546875" customWidth="1"/>
    <col min="2" max="2" width="38.44140625" customWidth="1"/>
    <col min="3" max="3" width="18" bestFit="1" customWidth="1"/>
    <col min="4" max="4" width="15.44140625" customWidth="1"/>
    <col min="5" max="6" width="17.6640625" customWidth="1"/>
    <col min="7" max="7" width="44.33203125" customWidth="1"/>
    <col min="8" max="21" width="17.109375" customWidth="1"/>
  </cols>
  <sheetData>
    <row r="1" spans="1:21" ht="12.75" customHeight="1" x14ac:dyDescent="0.25">
      <c r="A1" s="1" t="s">
        <v>84</v>
      </c>
      <c r="B1" s="2" t="s">
        <v>211</v>
      </c>
      <c r="C1" s="3"/>
      <c r="D1" s="213" t="s">
        <v>122</v>
      </c>
      <c r="E1" s="214"/>
      <c r="F1" s="214"/>
      <c r="G1" s="1" t="s">
        <v>51</v>
      </c>
      <c r="H1" s="1"/>
      <c r="I1" s="1"/>
      <c r="J1" s="1"/>
      <c r="K1" s="1"/>
      <c r="L1" s="1"/>
      <c r="M1" s="1"/>
      <c r="N1" s="1"/>
      <c r="O1" s="1"/>
      <c r="P1" s="1"/>
      <c r="Q1" s="1"/>
      <c r="R1" s="1"/>
      <c r="S1" s="1"/>
      <c r="T1" s="1"/>
      <c r="U1" s="1"/>
    </row>
    <row r="2" spans="1:21" ht="132" x14ac:dyDescent="0.25">
      <c r="A2" s="4"/>
      <c r="B2" s="5"/>
      <c r="C2" s="6" t="s">
        <v>26</v>
      </c>
      <c r="D2" s="7" t="s">
        <v>16</v>
      </c>
      <c r="E2" s="7" t="s">
        <v>97</v>
      </c>
      <c r="F2" s="7" t="s">
        <v>113</v>
      </c>
      <c r="G2" s="4" t="s">
        <v>203</v>
      </c>
      <c r="H2" s="8" t="s">
        <v>64</v>
      </c>
      <c r="I2" s="7"/>
      <c r="J2" s="7"/>
      <c r="K2" s="7"/>
      <c r="L2" s="7"/>
      <c r="M2" s="7"/>
      <c r="N2" s="7"/>
      <c r="O2" s="7"/>
      <c r="P2" s="7"/>
      <c r="Q2" s="7"/>
      <c r="R2" s="7"/>
      <c r="S2" s="7"/>
      <c r="T2" s="7"/>
      <c r="U2" s="7"/>
    </row>
    <row r="3" spans="1:21" ht="13.2" x14ac:dyDescent="0.25">
      <c r="A3" s="4" t="s">
        <v>125</v>
      </c>
      <c r="B3" s="9" t="s">
        <v>129</v>
      </c>
      <c r="C3" s="6">
        <f>'calculation sheet - minerals'!C3</f>
        <v>75000000000</v>
      </c>
      <c r="D3" s="10">
        <f>'calculation sheet - minerals'!I3</f>
        <v>1811.5942028985507</v>
      </c>
      <c r="E3" s="6">
        <f>'calculation sheet - minerals'!AI3</f>
        <v>81.458084804424189</v>
      </c>
      <c r="F3" s="6"/>
      <c r="G3" s="7"/>
      <c r="H3" s="7"/>
      <c r="I3" s="7"/>
      <c r="J3" s="7"/>
      <c r="K3" s="7"/>
      <c r="L3" s="7"/>
      <c r="M3" s="7"/>
      <c r="N3" s="7"/>
      <c r="O3" s="7"/>
      <c r="P3" s="7"/>
      <c r="Q3" s="7"/>
      <c r="R3" s="7"/>
      <c r="S3" s="7"/>
      <c r="T3" s="7"/>
      <c r="U3" s="7"/>
    </row>
    <row r="4" spans="1:21" ht="13.2" x14ac:dyDescent="0.25">
      <c r="A4" s="4" t="s">
        <v>213</v>
      </c>
      <c r="B4" s="5" t="s">
        <v>54</v>
      </c>
      <c r="C4" s="6">
        <f>'calculation sheet - minerals'!C4</f>
        <v>1800000</v>
      </c>
      <c r="D4" s="10">
        <f>'calculation sheet - minerals'!I4</f>
        <v>13.333333333333334</v>
      </c>
      <c r="E4" s="6">
        <f>'calculation sheet - minerals'!AI4</f>
        <v>10.344021445625748</v>
      </c>
      <c r="F4" s="6"/>
      <c r="G4" s="7"/>
      <c r="H4" s="7"/>
      <c r="I4" s="7"/>
      <c r="J4" s="7"/>
      <c r="K4" s="7"/>
      <c r="L4" s="7"/>
      <c r="M4" s="7"/>
      <c r="N4" s="7"/>
      <c r="O4" s="7"/>
      <c r="P4" s="7"/>
      <c r="Q4" s="7"/>
      <c r="R4" s="7"/>
      <c r="S4" s="7"/>
      <c r="T4" s="7"/>
      <c r="U4" s="7"/>
    </row>
    <row r="5" spans="1:21" ht="13.2" x14ac:dyDescent="0.25">
      <c r="A5" s="4" t="s">
        <v>73</v>
      </c>
      <c r="B5" s="5" t="s">
        <v>104</v>
      </c>
      <c r="C5" s="6">
        <f>'calculation sheet - minerals'!C5</f>
        <v>660000</v>
      </c>
      <c r="D5" s="10">
        <f>'calculation sheet - minerals'!I5</f>
        <v>30</v>
      </c>
      <c r="E5" s="6">
        <f>'calculation sheet - minerals'!AI5</f>
        <v>24.826246002127647</v>
      </c>
      <c r="F5" s="6"/>
      <c r="G5" s="7"/>
      <c r="H5" s="7"/>
      <c r="I5" s="7"/>
      <c r="J5" s="7"/>
      <c r="K5" s="7"/>
      <c r="L5" s="7"/>
      <c r="M5" s="7"/>
      <c r="N5" s="7"/>
      <c r="O5" s="7"/>
      <c r="P5" s="7"/>
      <c r="Q5" s="7"/>
      <c r="R5" s="7"/>
      <c r="S5" s="7"/>
      <c r="T5" s="7"/>
      <c r="U5" s="7"/>
    </row>
    <row r="6" spans="1:21" ht="12.75" customHeight="1" x14ac:dyDescent="0.25">
      <c r="A6" s="4" t="s">
        <v>19</v>
      </c>
      <c r="B6" s="5" t="s">
        <v>46</v>
      </c>
      <c r="C6" s="6">
        <f>'calculation sheet - minerals'!C6</f>
        <v>350000000</v>
      </c>
      <c r="D6" s="10">
        <f>'calculation sheet - minerals'!I6</f>
        <v>15.909090909090908</v>
      </c>
      <c r="E6" s="6">
        <f>'calculation sheet - minerals'!AI6</f>
        <v>11.669474895500352</v>
      </c>
      <c r="F6" s="6"/>
      <c r="G6" s="7"/>
      <c r="H6" s="7"/>
      <c r="I6" s="7"/>
      <c r="J6" s="7"/>
      <c r="K6" s="7"/>
      <c r="L6" s="7"/>
      <c r="M6" s="7"/>
      <c r="N6" s="7"/>
      <c r="O6" s="7"/>
      <c r="P6" s="7"/>
      <c r="Q6" s="7"/>
      <c r="R6" s="7"/>
      <c r="S6" s="7"/>
      <c r="T6" s="7"/>
      <c r="U6" s="7"/>
    </row>
    <row r="7" spans="1:21" ht="12.75" customHeight="1" x14ac:dyDescent="0.25">
      <c r="A7" s="4" t="s">
        <v>42</v>
      </c>
      <c r="B7" s="5" t="s">
        <v>159</v>
      </c>
      <c r="C7" s="6">
        <f>'calculation sheet - minerals'!C7</f>
        <v>7300000</v>
      </c>
      <c r="D7" s="10">
        <f>'calculation sheet - minerals'!I7</f>
        <v>82.954545454545453</v>
      </c>
      <c r="E7" s="6">
        <f>'calculation sheet - minerals'!AI7</f>
        <v>21.425026020401383</v>
      </c>
      <c r="F7" s="6"/>
      <c r="G7" s="7"/>
      <c r="H7" s="7"/>
      <c r="I7" s="7"/>
      <c r="J7" s="7"/>
      <c r="K7" s="7"/>
      <c r="L7" s="7"/>
      <c r="M7" s="7"/>
      <c r="N7" s="7"/>
      <c r="O7" s="7"/>
      <c r="P7" s="7"/>
      <c r="Q7" s="7"/>
      <c r="R7" s="7"/>
      <c r="S7" s="7"/>
      <c r="T7" s="7"/>
      <c r="U7" s="7"/>
    </row>
    <row r="8" spans="1:21" ht="13.2" x14ac:dyDescent="0.25">
      <c r="A8" s="4" t="s">
        <v>6</v>
      </c>
      <c r="B8" s="5" t="s">
        <v>89</v>
      </c>
      <c r="C8" s="6">
        <f>'calculation sheet - minerals'!C8</f>
        <v>630000000</v>
      </c>
      <c r="D8" s="10">
        <f>'calculation sheet - minerals'!I8</f>
        <v>38.888888888888886</v>
      </c>
      <c r="E8" s="6">
        <f>'calculation sheet - minerals'!AI8</f>
        <v>28.449619020964334</v>
      </c>
      <c r="F8" s="6"/>
      <c r="G8" s="7"/>
      <c r="H8" s="7"/>
      <c r="I8" s="7"/>
      <c r="J8" s="7"/>
      <c r="K8" s="7"/>
      <c r="L8" s="7"/>
      <c r="M8" s="7"/>
      <c r="N8" s="7"/>
      <c r="O8" s="7"/>
      <c r="P8" s="7"/>
      <c r="Q8" s="7"/>
      <c r="R8" s="7"/>
      <c r="S8" s="7"/>
      <c r="T8" s="7"/>
      <c r="U8" s="7"/>
    </row>
    <row r="9" spans="1:21" ht="34.200000000000003" x14ac:dyDescent="0.25">
      <c r="A9" s="4" t="s">
        <v>13</v>
      </c>
      <c r="B9" s="5" t="s">
        <v>133</v>
      </c>
      <c r="C9" s="6">
        <f>'calculation sheet - minerals'!C9</f>
        <v>51000</v>
      </c>
      <c r="D9" s="10">
        <f>'calculation sheet - minerals'!I9</f>
        <v>20.399999999999999</v>
      </c>
      <c r="E9" s="6">
        <f>'calculation sheet - minerals'!AI9</f>
        <v>20.64016646952404</v>
      </c>
      <c r="F9" s="6"/>
      <c r="G9" s="11" t="s">
        <v>30</v>
      </c>
      <c r="H9" s="7"/>
      <c r="I9" s="7"/>
      <c r="J9" s="7"/>
      <c r="K9" s="7"/>
      <c r="L9" s="7"/>
      <c r="M9" s="7"/>
      <c r="N9" s="7"/>
      <c r="O9" s="7"/>
      <c r="P9" s="7"/>
      <c r="Q9" s="7"/>
      <c r="R9" s="7"/>
      <c r="S9" s="7"/>
      <c r="T9" s="7"/>
      <c r="U9" s="7"/>
    </row>
    <row r="10" spans="1:21" ht="13.2" x14ac:dyDescent="0.25">
      <c r="A10" s="4" t="s">
        <v>31</v>
      </c>
      <c r="B10" s="9" t="s">
        <v>158</v>
      </c>
      <c r="C10" s="6">
        <f>'calculation sheet - minerals'!C10</f>
        <v>71000000</v>
      </c>
      <c r="D10" s="10">
        <f>'calculation sheet - minerals'!I10</f>
        <v>64.545454545454547</v>
      </c>
      <c r="E10" s="6">
        <f>'calculation sheet - minerals'!AI10</f>
        <v>22.939953223750017</v>
      </c>
      <c r="F10" s="6"/>
      <c r="G10" s="7"/>
      <c r="H10" s="7"/>
      <c r="I10" s="7"/>
      <c r="J10" s="7"/>
      <c r="K10" s="7"/>
      <c r="L10" s="7"/>
      <c r="M10" s="7"/>
      <c r="N10" s="7"/>
      <c r="O10" s="7"/>
      <c r="P10" s="7"/>
      <c r="Q10" s="7"/>
      <c r="R10" s="7"/>
      <c r="S10" s="7"/>
      <c r="T10" s="7"/>
      <c r="U10" s="7"/>
    </row>
    <row r="11" spans="1:21" ht="13.2" x14ac:dyDescent="0.25">
      <c r="A11" s="4" t="s">
        <v>176</v>
      </c>
      <c r="B11" s="5" t="s">
        <v>164</v>
      </c>
      <c r="C11" s="6">
        <f>'calculation sheet - minerals'!C11</f>
        <v>11000</v>
      </c>
      <c r="D11" s="10">
        <f>'calculation sheet - minerals'!I11</f>
        <v>19.16376306620209</v>
      </c>
      <c r="E11" s="6">
        <f>'calculation sheet - minerals'!AI11</f>
        <v>12.841657132371855</v>
      </c>
      <c r="F11" s="6"/>
      <c r="G11" s="7"/>
      <c r="H11" s="7"/>
      <c r="I11" s="7"/>
      <c r="J11" s="7"/>
      <c r="K11" s="7"/>
      <c r="L11" s="7"/>
      <c r="M11" s="7"/>
      <c r="N11" s="7"/>
      <c r="O11" s="7"/>
      <c r="P11" s="7"/>
      <c r="Q11" s="7"/>
      <c r="R11" s="7"/>
      <c r="S11" s="7"/>
      <c r="T11" s="7"/>
      <c r="U11" s="7"/>
    </row>
    <row r="12" spans="1:21" ht="13.2" x14ac:dyDescent="0.25">
      <c r="A12" s="4" t="s">
        <v>7</v>
      </c>
      <c r="B12" s="5" t="s">
        <v>119</v>
      </c>
      <c r="C12" s="6">
        <f>'calculation sheet - minerals'!C12</f>
        <v>80000000</v>
      </c>
      <c r="D12" s="10">
        <f>'calculation sheet - minerals'!I12</f>
        <v>19.512195121951219</v>
      </c>
      <c r="E12" s="6">
        <f>'calculation sheet - minerals'!AI12</f>
        <v>15.443333099835046</v>
      </c>
      <c r="F12" s="6"/>
      <c r="G12" s="7"/>
      <c r="H12" s="7"/>
      <c r="I12" s="7"/>
      <c r="J12" s="7"/>
      <c r="K12" s="7"/>
      <c r="L12" s="7"/>
      <c r="M12" s="7"/>
      <c r="N12" s="7"/>
      <c r="O12" s="7"/>
      <c r="P12" s="7"/>
      <c r="Q12" s="7"/>
      <c r="R12" s="7"/>
      <c r="S12" s="7"/>
      <c r="T12" s="7"/>
      <c r="U12" s="7"/>
    </row>
    <row r="13" spans="1:21" ht="13.2" x14ac:dyDescent="0.25">
      <c r="A13" s="4" t="s">
        <v>199</v>
      </c>
      <c r="B13" s="5" t="s">
        <v>209</v>
      </c>
      <c r="C13" s="6">
        <f>'calculation sheet - minerals'!C13</f>
        <v>630000000</v>
      </c>
      <c r="D13" s="10">
        <f>'calculation sheet - minerals'!I13</f>
        <v>48.46153846153846</v>
      </c>
      <c r="E13" s="6">
        <f>'calculation sheet - minerals'!AI13</f>
        <v>21.913234163583891</v>
      </c>
      <c r="F13" s="6"/>
      <c r="G13" s="7"/>
      <c r="H13" s="7"/>
      <c r="I13" s="7"/>
      <c r="J13" s="7"/>
      <c r="K13" s="7"/>
      <c r="L13" s="7"/>
      <c r="M13" s="7"/>
      <c r="N13" s="7"/>
      <c r="O13" s="7"/>
      <c r="P13" s="7"/>
      <c r="Q13" s="7"/>
      <c r="R13" s="7"/>
      <c r="S13" s="7"/>
      <c r="T13" s="7"/>
      <c r="U13" s="7"/>
    </row>
    <row r="14" spans="1:21" ht="22.8" x14ac:dyDescent="0.25">
      <c r="A14" s="4" t="s">
        <v>141</v>
      </c>
      <c r="B14" s="5" t="s">
        <v>110</v>
      </c>
      <c r="C14" s="6">
        <f>'calculation sheet - minerals'!C14</f>
        <v>9800000</v>
      </c>
      <c r="D14" s="10">
        <f>'calculation sheet - minerals'!I14</f>
        <v>41.880341880341881</v>
      </c>
      <c r="E14" s="6">
        <f>'calculation sheet - minerals'!AI14</f>
        <v>20.152336046712989</v>
      </c>
      <c r="F14" s="6"/>
      <c r="G14" s="7"/>
      <c r="H14" s="7"/>
      <c r="I14" s="7"/>
      <c r="J14" s="7"/>
      <c r="K14" s="7"/>
      <c r="L14" s="7"/>
      <c r="M14" s="7"/>
      <c r="N14" s="7"/>
      <c r="O14" s="7"/>
      <c r="P14" s="7"/>
      <c r="Q14" s="7"/>
      <c r="R14" s="7"/>
      <c r="S14" s="7"/>
      <c r="T14" s="7"/>
      <c r="U14" s="7"/>
    </row>
    <row r="15" spans="1:21" ht="12.75" customHeight="1" x14ac:dyDescent="0.25">
      <c r="A15" s="4" t="s">
        <v>68</v>
      </c>
      <c r="B15" s="5" t="s">
        <v>82</v>
      </c>
      <c r="C15" s="6">
        <f>'calculation sheet - minerals'!C15</f>
        <v>76000000</v>
      </c>
      <c r="D15" s="10">
        <f>'calculation sheet - minerals'!I15</f>
        <v>49.032258064516128</v>
      </c>
      <c r="E15" s="6">
        <f>'calculation sheet - minerals'!AI15</f>
        <v>32.565056010764586</v>
      </c>
      <c r="F15" s="6"/>
      <c r="G15" s="7"/>
      <c r="H15" s="7"/>
      <c r="I15" s="7"/>
      <c r="J15" s="7"/>
      <c r="K15" s="7"/>
      <c r="L15" s="7"/>
      <c r="M15" s="7"/>
      <c r="N15" s="7"/>
      <c r="O15" s="7"/>
      <c r="P15" s="7"/>
      <c r="Q15" s="7"/>
      <c r="R15" s="7"/>
      <c r="S15" s="7"/>
      <c r="T15" s="7"/>
      <c r="U15" s="7"/>
    </row>
    <row r="16" spans="1:21" ht="13.2" x14ac:dyDescent="0.25">
      <c r="A16" s="4" t="s">
        <v>160</v>
      </c>
      <c r="B16" s="5" t="s">
        <v>111</v>
      </c>
      <c r="C16" s="6">
        <f>'calculation sheet - minerals'!C16</f>
        <v>66000</v>
      </c>
      <c r="D16" s="10">
        <f>'calculation sheet - minerals'!I16</f>
        <v>360.65573770491801</v>
      </c>
      <c r="E16" s="6">
        <f>'calculation sheet - minerals'!AI16</f>
        <v>107.62013923335145</v>
      </c>
      <c r="F16" s="6"/>
      <c r="G16" s="7"/>
      <c r="H16" s="7"/>
      <c r="I16" s="7"/>
      <c r="J16" s="7"/>
      <c r="K16" s="7"/>
      <c r="L16" s="7"/>
      <c r="M16" s="7"/>
      <c r="N16" s="7"/>
      <c r="O16" s="7"/>
      <c r="P16" s="7"/>
      <c r="Q16" s="7"/>
      <c r="R16" s="7"/>
      <c r="S16" s="7"/>
      <c r="T16" s="7"/>
      <c r="U16" s="7"/>
    </row>
    <row r="17" spans="1:21" ht="13.2" x14ac:dyDescent="0.25">
      <c r="A17" s="4" t="s">
        <v>2</v>
      </c>
      <c r="B17" s="5" t="s">
        <v>108</v>
      </c>
      <c r="C17" s="6">
        <f>'calculation sheet - minerals'!C17</f>
        <v>65000000000</v>
      </c>
      <c r="D17" s="10">
        <f>'calculation sheet - minerals'!I17</f>
        <v>369.31818181818181</v>
      </c>
      <c r="E17" s="6">
        <f>'calculation sheet - minerals'!AI17</f>
        <v>84.244088196357652</v>
      </c>
      <c r="F17" s="6"/>
      <c r="G17" s="7"/>
      <c r="H17" s="7"/>
      <c r="I17" s="7"/>
      <c r="J17" s="7"/>
      <c r="K17" s="7"/>
      <c r="L17" s="7"/>
      <c r="M17" s="7"/>
      <c r="N17" s="7"/>
      <c r="O17" s="7"/>
      <c r="P17" s="7"/>
      <c r="Q17" s="7"/>
      <c r="R17" s="7"/>
      <c r="S17" s="7"/>
      <c r="T17" s="7"/>
      <c r="U17" s="7"/>
    </row>
    <row r="18" spans="1:21" ht="13.2" x14ac:dyDescent="0.25">
      <c r="A18" s="4" t="s">
        <v>192</v>
      </c>
      <c r="B18" s="5" t="s">
        <v>39</v>
      </c>
      <c r="C18" s="6">
        <f>'calculation sheet - minerals'!C18</f>
        <v>110000000</v>
      </c>
      <c r="D18" s="10">
        <f>'calculation sheet - minerals'!I18</f>
        <v>846.15384615384619</v>
      </c>
      <c r="E18" s="6">
        <f>'calculation sheet - minerals'!AI18</f>
        <v>77.834041051003169</v>
      </c>
      <c r="F18" s="6"/>
      <c r="G18" s="9" t="s">
        <v>184</v>
      </c>
      <c r="H18" s="7"/>
      <c r="I18" s="7"/>
      <c r="J18" s="7"/>
      <c r="K18" s="7"/>
      <c r="L18" s="7"/>
      <c r="M18" s="7"/>
      <c r="N18" s="7"/>
      <c r="O18" s="7"/>
      <c r="P18" s="7"/>
      <c r="Q18" s="7"/>
      <c r="R18" s="7"/>
      <c r="S18" s="7"/>
      <c r="T18" s="7"/>
      <c r="U18" s="7"/>
    </row>
    <row r="19" spans="1:21" ht="13.2" x14ac:dyDescent="0.25">
      <c r="A19" s="4" t="s">
        <v>29</v>
      </c>
      <c r="B19" s="5" t="s">
        <v>74</v>
      </c>
      <c r="C19" s="6">
        <f>'calculation sheet - minerals'!C19</f>
        <v>510000</v>
      </c>
      <c r="D19" s="10">
        <f>'calculation sheet - minerals'!I19</f>
        <v>22.972972972972972</v>
      </c>
      <c r="E19" s="6">
        <f>'calculation sheet - minerals'!AI19</f>
        <v>18.358539596202881</v>
      </c>
      <c r="F19" s="6"/>
      <c r="G19" s="7"/>
      <c r="H19" s="7"/>
      <c r="I19" s="7"/>
      <c r="J19" s="7"/>
      <c r="K19" s="7"/>
      <c r="L19" s="7"/>
      <c r="M19" s="7"/>
      <c r="N19" s="7"/>
      <c r="O19" s="7"/>
      <c r="P19" s="7"/>
      <c r="Q19" s="7"/>
      <c r="R19" s="7"/>
      <c r="S19" s="7"/>
      <c r="T19" s="7"/>
      <c r="U19" s="7"/>
    </row>
    <row r="20" spans="1:21" ht="12.75" customHeight="1" x14ac:dyDescent="0.25">
      <c r="A20" s="4" t="s">
        <v>166</v>
      </c>
      <c r="B20" s="5" t="s">
        <v>235</v>
      </c>
      <c r="C20" s="6">
        <f>'calculation sheet - minerals'!C20</f>
        <v>110000</v>
      </c>
      <c r="D20" s="10">
        <f>'calculation sheet - minerals'!I20</f>
        <v>164.17910447761193</v>
      </c>
      <c r="E20" s="6">
        <f>'calculation sheet - minerals'!AI20</f>
        <v>58.029726115965225</v>
      </c>
      <c r="F20" s="6"/>
      <c r="G20" s="7"/>
      <c r="H20" s="7"/>
      <c r="I20" s="7"/>
      <c r="J20" s="7"/>
      <c r="K20" s="7"/>
      <c r="L20" s="7"/>
      <c r="M20" s="7"/>
      <c r="N20" s="7"/>
      <c r="O20" s="7"/>
      <c r="P20" s="7"/>
      <c r="Q20" s="7"/>
      <c r="R20" s="7"/>
      <c r="S20" s="7"/>
      <c r="T20" s="7"/>
      <c r="U20" s="7"/>
    </row>
    <row r="21" spans="1:21" ht="13.2" x14ac:dyDescent="0.25">
      <c r="A21" s="4" t="s">
        <v>62</v>
      </c>
      <c r="B21" s="5" t="s">
        <v>161</v>
      </c>
      <c r="C21" s="6">
        <f>'calculation sheet - minerals'!C21</f>
        <v>5200000</v>
      </c>
      <c r="D21" s="10">
        <f>'calculation sheet - minerals'!I21</f>
        <v>19.92337164750958</v>
      </c>
      <c r="E21" s="6">
        <f>'calculation sheet - minerals'!AI21</f>
        <v>17.180968490137854</v>
      </c>
      <c r="F21" s="6"/>
      <c r="G21" s="11" t="s">
        <v>91</v>
      </c>
      <c r="H21" s="7"/>
      <c r="I21" s="7"/>
      <c r="J21" s="7"/>
      <c r="K21" s="7"/>
      <c r="L21" s="7"/>
      <c r="M21" s="7"/>
      <c r="N21" s="7"/>
      <c r="O21" s="7"/>
      <c r="P21" s="7"/>
      <c r="Q21" s="7"/>
      <c r="R21" s="7"/>
      <c r="S21" s="7"/>
      <c r="T21" s="7"/>
      <c r="U21" s="7"/>
    </row>
    <row r="22" spans="1:21" ht="12.75" customHeight="1" x14ac:dyDescent="0.25">
      <c r="A22" s="4" t="s">
        <v>112</v>
      </c>
      <c r="B22" s="5" t="s">
        <v>190</v>
      </c>
      <c r="C22" s="6">
        <f>'calculation sheet - minerals'!C22</f>
        <v>690000000</v>
      </c>
      <c r="D22" s="10">
        <f>'calculation sheet - minerals'!I22</f>
        <v>109.52380952380952</v>
      </c>
      <c r="E22" s="6">
        <f>'calculation sheet - minerals'!AI22</f>
        <v>46.996245305087818</v>
      </c>
      <c r="F22" s="6"/>
      <c r="G22" s="7"/>
      <c r="H22" s="7"/>
      <c r="I22" s="7"/>
      <c r="J22" s="7"/>
      <c r="K22" s="7"/>
      <c r="L22" s="7"/>
      <c r="M22" s="7"/>
      <c r="N22" s="7"/>
      <c r="O22" s="7"/>
      <c r="P22" s="7"/>
      <c r="Q22" s="7"/>
      <c r="R22" s="7"/>
      <c r="S22" s="7"/>
      <c r="T22" s="7"/>
      <c r="U22" s="7"/>
    </row>
    <row r="23" spans="1:21" ht="22.8" x14ac:dyDescent="0.25">
      <c r="A23" s="4" t="s">
        <v>225</v>
      </c>
      <c r="B23" s="5" t="s">
        <v>139</v>
      </c>
      <c r="C23" s="6">
        <f>'calculation sheet - minerals'!C23</f>
        <v>2900000</v>
      </c>
      <c r="D23" s="10">
        <f>'calculation sheet - minerals'!I23</f>
        <v>47.540983606557376</v>
      </c>
      <c r="E23" s="6">
        <f>'calculation sheet - minerals'!AI23</f>
        <v>20.64267032564182</v>
      </c>
      <c r="F23" s="6"/>
      <c r="G23" s="7"/>
      <c r="H23" s="7"/>
      <c r="I23" s="7"/>
      <c r="J23" s="7"/>
      <c r="K23" s="7"/>
      <c r="L23" s="7"/>
      <c r="M23" s="7"/>
      <c r="N23" s="7"/>
      <c r="O23" s="7"/>
      <c r="P23" s="7"/>
      <c r="Q23" s="7"/>
      <c r="R23" s="7"/>
      <c r="S23" s="7"/>
      <c r="T23" s="7"/>
      <c r="U23" s="7"/>
    </row>
    <row r="24" spans="1:21" ht="12.75" customHeight="1" x14ac:dyDescent="0.25">
      <c r="A24" s="4" t="s">
        <v>230</v>
      </c>
      <c r="B24" s="5" t="s">
        <v>194</v>
      </c>
      <c r="C24" s="6">
        <f>'calculation sheet - minerals'!C24</f>
        <v>5469000</v>
      </c>
      <c r="D24" s="10">
        <f>'calculation sheet - minerals'!I24</f>
        <v>101.91379535247749</v>
      </c>
      <c r="E24" s="6">
        <f>'calculation sheet - minerals'!AI24</f>
        <v>31.985309282391878</v>
      </c>
      <c r="F24" s="6"/>
      <c r="G24" s="7"/>
      <c r="H24" s="7"/>
      <c r="I24" s="7"/>
      <c r="J24" s="7"/>
      <c r="K24" s="7"/>
      <c r="L24" s="7"/>
      <c r="M24" s="7"/>
      <c r="N24" s="7"/>
      <c r="O24" s="7"/>
      <c r="P24" s="7"/>
      <c r="Q24" s="7"/>
      <c r="R24" s="7"/>
      <c r="S24" s="7"/>
      <c r="T24" s="7"/>
      <c r="U24" s="7"/>
    </row>
    <row r="25" spans="1:21" ht="22.8" x14ac:dyDescent="0.25">
      <c r="A25" s="4" t="s">
        <v>154</v>
      </c>
      <c r="B25" s="5" t="s">
        <v>127</v>
      </c>
      <c r="C25" s="6">
        <f>'calculation sheet - minerals'!C25</f>
        <v>540000</v>
      </c>
      <c r="D25" s="10">
        <f>'calculation sheet - minerals'!I25</f>
        <v>60.674157303370784</v>
      </c>
      <c r="E25" s="6">
        <f>'calculation sheet - minerals'!AI25</f>
        <v>12.888120268082208</v>
      </c>
      <c r="F25" s="6"/>
      <c r="G25" s="7"/>
      <c r="H25" s="7"/>
      <c r="I25" s="7"/>
      <c r="J25" s="7"/>
      <c r="K25" s="7"/>
      <c r="L25" s="7"/>
      <c r="M25" s="7"/>
      <c r="N25" s="7"/>
      <c r="O25" s="7"/>
      <c r="P25" s="7"/>
      <c r="Q25" s="7"/>
      <c r="R25" s="7"/>
      <c r="S25" s="7"/>
      <c r="T25" s="7"/>
      <c r="U25" s="7"/>
    </row>
    <row r="26" spans="1:21" ht="13.2" x14ac:dyDescent="0.25">
      <c r="A26" s="4" t="s">
        <v>102</v>
      </c>
      <c r="B26" s="5" t="s">
        <v>143</v>
      </c>
      <c r="C26" s="6">
        <f>'calculation sheet - minerals'!C26</f>
        <v>250000000</v>
      </c>
      <c r="D26" s="10">
        <f>'calculation sheet - minerals'!I26</f>
        <v>20.833333333333332</v>
      </c>
      <c r="E26" s="6">
        <f>'calculation sheet - minerals'!AI26</f>
        <v>15.813389807985521</v>
      </c>
      <c r="F26" s="6"/>
      <c r="G26" s="7"/>
      <c r="H26" s="7"/>
      <c r="I26" s="7"/>
      <c r="J26" s="7"/>
      <c r="K26" s="7"/>
      <c r="L26" s="7"/>
      <c r="M26" s="7"/>
      <c r="N26" s="7"/>
      <c r="O26" s="7"/>
      <c r="P26" s="7"/>
      <c r="Q26" s="7"/>
      <c r="R26" s="7"/>
      <c r="S26" s="7"/>
      <c r="T26" s="7"/>
      <c r="U26" s="7"/>
    </row>
    <row r="27" spans="1:21" ht="12.75" customHeight="1" x14ac:dyDescent="0.25">
      <c r="A27" s="4"/>
      <c r="B27" s="5"/>
      <c r="C27" s="6"/>
      <c r="D27" s="12"/>
      <c r="E27" s="7"/>
      <c r="F27" s="7"/>
      <c r="G27" s="7"/>
      <c r="H27" s="7"/>
      <c r="I27" s="7"/>
      <c r="J27" s="7"/>
      <c r="K27" s="7"/>
      <c r="L27" s="7"/>
      <c r="M27" s="7"/>
      <c r="N27" s="7"/>
      <c r="O27" s="7"/>
      <c r="P27" s="7"/>
      <c r="Q27" s="7"/>
      <c r="R27" s="7"/>
      <c r="S27" s="7"/>
      <c r="T27" s="7"/>
      <c r="U27" s="7"/>
    </row>
    <row r="28" spans="1:21" ht="12.75" customHeight="1" x14ac:dyDescent="0.25">
      <c r="A28" s="4"/>
      <c r="B28" s="5"/>
      <c r="C28" s="6"/>
      <c r="D28" s="7"/>
      <c r="E28" s="7"/>
      <c r="F28" s="7"/>
      <c r="G28" s="7"/>
      <c r="H28" s="7"/>
      <c r="I28" s="7"/>
      <c r="J28" s="7"/>
      <c r="K28" s="7"/>
      <c r="L28" s="7"/>
      <c r="M28" s="7"/>
      <c r="N28" s="7"/>
      <c r="O28" s="7"/>
      <c r="P28" s="7"/>
      <c r="Q28" s="7"/>
      <c r="R28" s="7"/>
      <c r="S28" s="7"/>
      <c r="T28" s="7"/>
      <c r="U28" s="7"/>
    </row>
    <row r="29" spans="1:21" ht="12.75" customHeight="1" x14ac:dyDescent="0.25">
      <c r="A29" s="4" t="s">
        <v>234</v>
      </c>
      <c r="B29" s="5" t="s">
        <v>105</v>
      </c>
      <c r="C29" s="6">
        <f>'calc sheet - fossil fuels'!C3</f>
        <v>1333100000000</v>
      </c>
      <c r="D29" s="6">
        <f>'calc sheet - fossil fuels'!F3</f>
        <v>43.440284110081087</v>
      </c>
      <c r="E29" s="6">
        <f>'calc sheet - fossil fuels'!AD3</f>
        <v>35.670497922450465</v>
      </c>
      <c r="F29" s="7"/>
      <c r="G29" s="7"/>
      <c r="H29" s="7"/>
      <c r="I29" s="7"/>
      <c r="J29" s="7"/>
      <c r="K29" s="7"/>
      <c r="L29" s="7"/>
      <c r="M29" s="7"/>
      <c r="N29" s="7"/>
      <c r="O29" s="7"/>
      <c r="P29" s="7"/>
      <c r="Q29" s="7"/>
      <c r="R29" s="7"/>
      <c r="S29" s="7"/>
      <c r="T29" s="7"/>
      <c r="U29" s="7"/>
    </row>
    <row r="30" spans="1:21" ht="12.75" customHeight="1" x14ac:dyDescent="0.25">
      <c r="A30" s="4" t="s">
        <v>148</v>
      </c>
      <c r="B30" s="5" t="s">
        <v>105</v>
      </c>
      <c r="C30" s="6">
        <f>'calc sheet - fossil fuels'!C4</f>
        <v>187490000000000</v>
      </c>
      <c r="D30" s="6">
        <f>'calc sheet - fossil fuels'!F4</f>
        <v>63.763433546456262</v>
      </c>
      <c r="E30" s="6">
        <f>'calc sheet - fossil fuels'!AD4</f>
        <v>38.642912007908343</v>
      </c>
      <c r="F30" s="7"/>
      <c r="G30" s="7"/>
      <c r="H30" s="7"/>
      <c r="I30" s="7"/>
      <c r="J30" s="7"/>
      <c r="K30" s="7"/>
      <c r="L30" s="7"/>
      <c r="M30" s="7"/>
      <c r="N30" s="7"/>
      <c r="O30" s="7"/>
      <c r="P30" s="7"/>
      <c r="Q30" s="7"/>
      <c r="R30" s="7"/>
      <c r="S30" s="7"/>
      <c r="T30" s="7"/>
      <c r="U30" s="7"/>
    </row>
    <row r="31" spans="1:21" ht="12.75" customHeight="1" x14ac:dyDescent="0.25">
      <c r="A31" s="4" t="s">
        <v>229</v>
      </c>
      <c r="B31" s="5" t="s">
        <v>105</v>
      </c>
      <c r="C31" s="6">
        <f>'calc sheet - fossil fuels'!C7</f>
        <v>412440666667</v>
      </c>
      <c r="D31" s="6">
        <f>'calc sheet - fossil fuels'!F7</f>
        <v>125.80931173687581</v>
      </c>
      <c r="E31" s="6">
        <f>'calc sheet - fossil fuels'!AD7</f>
        <v>45.734981064337745</v>
      </c>
      <c r="F31" s="7"/>
      <c r="G31" s="7"/>
      <c r="H31" s="7"/>
      <c r="I31" s="7"/>
      <c r="J31" s="7"/>
      <c r="K31" s="7"/>
      <c r="L31" s="7"/>
      <c r="M31" s="7"/>
      <c r="N31" s="7"/>
      <c r="O31" s="7"/>
      <c r="P31" s="7"/>
      <c r="Q31" s="7"/>
      <c r="R31" s="7"/>
      <c r="S31" s="7"/>
      <c r="T31" s="7"/>
      <c r="U31" s="7"/>
    </row>
    <row r="32" spans="1:21" ht="12.75" customHeight="1" x14ac:dyDescent="0.25">
      <c r="B32" s="5"/>
      <c r="C32" s="6"/>
      <c r="D32" s="7"/>
      <c r="E32" s="7"/>
      <c r="F32" s="7"/>
      <c r="G32" s="7"/>
      <c r="H32" s="7"/>
      <c r="I32" s="7"/>
      <c r="J32" s="7"/>
      <c r="K32" s="7"/>
      <c r="L32" s="7"/>
      <c r="M32" s="7"/>
      <c r="N32" s="7"/>
      <c r="O32" s="7"/>
      <c r="P32" s="7"/>
      <c r="Q32" s="7"/>
      <c r="R32" s="7"/>
      <c r="S32" s="7"/>
      <c r="T32" s="7"/>
      <c r="U32" s="7"/>
    </row>
    <row r="33" spans="1:21" ht="12.75" customHeight="1" x14ac:dyDescent="0.25">
      <c r="A33" s="4"/>
      <c r="B33" s="5"/>
      <c r="C33" s="6"/>
      <c r="D33" s="7"/>
      <c r="E33" s="7"/>
      <c r="F33" s="7"/>
      <c r="G33" s="7"/>
      <c r="H33" s="7"/>
      <c r="I33" s="7"/>
      <c r="J33" s="7"/>
      <c r="K33" s="7"/>
      <c r="L33" s="7"/>
      <c r="M33" s="7"/>
      <c r="N33" s="7"/>
      <c r="O33" s="7"/>
      <c r="P33" s="7"/>
      <c r="Q33" s="7"/>
      <c r="R33" s="7"/>
      <c r="S33" s="7"/>
      <c r="T33" s="7"/>
      <c r="U33" s="7"/>
    </row>
    <row r="34" spans="1:21" ht="12.75" customHeight="1" x14ac:dyDescent="0.25">
      <c r="A34" s="4"/>
      <c r="B34" s="5"/>
      <c r="C34" s="6"/>
      <c r="D34" s="7"/>
      <c r="E34" s="7"/>
      <c r="F34" s="7"/>
      <c r="G34" s="7"/>
      <c r="H34" s="7"/>
      <c r="I34" s="7"/>
      <c r="J34" s="7"/>
      <c r="K34" s="7"/>
      <c r="L34" s="7"/>
      <c r="M34" s="7"/>
      <c r="N34" s="7"/>
      <c r="O34" s="7"/>
      <c r="P34" s="7"/>
      <c r="Q34" s="7"/>
      <c r="R34" s="7"/>
      <c r="S34" s="7"/>
      <c r="T34" s="7"/>
      <c r="U34" s="7"/>
    </row>
    <row r="35" spans="1:21" ht="12.75" customHeight="1" x14ac:dyDescent="0.25">
      <c r="A35" s="4"/>
      <c r="B35" s="5"/>
      <c r="C35" s="6"/>
      <c r="D35" s="7"/>
      <c r="E35" s="7"/>
      <c r="F35" s="7"/>
      <c r="G35" s="7"/>
      <c r="H35" s="7"/>
      <c r="I35" s="7"/>
      <c r="J35" s="7"/>
      <c r="K35" s="7"/>
      <c r="L35" s="7"/>
      <c r="M35" s="7"/>
      <c r="N35" s="7"/>
      <c r="O35" s="7"/>
      <c r="P35" s="7"/>
      <c r="Q35" s="7"/>
      <c r="R35" s="7"/>
      <c r="S35" s="7"/>
      <c r="T35" s="7"/>
      <c r="U35" s="7"/>
    </row>
    <row r="36" spans="1:21" ht="12.75" customHeight="1" x14ac:dyDescent="0.25">
      <c r="A36" s="4"/>
      <c r="B36" s="5"/>
      <c r="C36" s="6"/>
      <c r="D36" s="7"/>
      <c r="E36" s="7"/>
      <c r="F36" s="7"/>
      <c r="G36" s="7"/>
      <c r="H36" s="7"/>
      <c r="I36" s="7"/>
      <c r="J36" s="7"/>
      <c r="K36" s="7"/>
      <c r="L36" s="7"/>
      <c r="M36" s="7"/>
      <c r="N36" s="7"/>
      <c r="O36" s="7"/>
      <c r="P36" s="7"/>
      <c r="Q36" s="7"/>
      <c r="R36" s="7"/>
      <c r="S36" s="7"/>
      <c r="T36" s="7"/>
      <c r="U36" s="7"/>
    </row>
    <row r="37" spans="1:21" ht="12.75" customHeight="1" x14ac:dyDescent="0.25">
      <c r="A37" s="1" t="s">
        <v>85</v>
      </c>
      <c r="B37" s="13"/>
      <c r="C37" s="14"/>
      <c r="D37" s="15"/>
      <c r="E37" s="15"/>
      <c r="F37" s="15"/>
      <c r="G37" s="15"/>
      <c r="H37" s="15"/>
      <c r="I37" s="15"/>
      <c r="J37" s="15"/>
      <c r="K37" s="15"/>
      <c r="L37" s="15"/>
      <c r="M37" s="15"/>
      <c r="N37" s="15"/>
      <c r="O37" s="15"/>
      <c r="P37" s="15"/>
      <c r="Q37" s="15"/>
      <c r="R37" s="15"/>
      <c r="S37" s="15"/>
      <c r="T37" s="15"/>
      <c r="U37" s="15"/>
    </row>
    <row r="38" spans="1:21" ht="12.75" customHeight="1" x14ac:dyDescent="0.25">
      <c r="A38" s="4"/>
      <c r="B38" s="5"/>
      <c r="C38" s="6"/>
      <c r="D38" s="7"/>
      <c r="E38" s="7"/>
      <c r="F38" s="7"/>
      <c r="G38" s="7"/>
      <c r="H38" s="7"/>
      <c r="I38" s="7"/>
      <c r="J38" s="7"/>
      <c r="K38" s="7"/>
      <c r="L38" s="7"/>
      <c r="M38" s="7"/>
      <c r="N38" s="7"/>
      <c r="O38" s="7"/>
      <c r="P38" s="7"/>
      <c r="Q38" s="7"/>
      <c r="R38" s="7"/>
      <c r="S38" s="7"/>
      <c r="T38" s="7"/>
      <c r="U38" s="7"/>
    </row>
    <row r="39" spans="1:21" ht="91.2" x14ac:dyDescent="0.25">
      <c r="B39" s="5" t="s">
        <v>177</v>
      </c>
      <c r="C39" s="6"/>
      <c r="D39" s="7"/>
      <c r="E39" s="7"/>
      <c r="F39" s="7"/>
      <c r="G39" s="7"/>
      <c r="H39" s="7"/>
      <c r="I39" s="7"/>
      <c r="J39" s="7"/>
      <c r="K39" s="7"/>
      <c r="L39" s="7"/>
      <c r="M39" s="7"/>
      <c r="N39" s="7"/>
      <c r="O39" s="7"/>
      <c r="P39" s="7"/>
      <c r="Q39" s="7"/>
      <c r="R39" s="7"/>
      <c r="S39" s="7"/>
      <c r="T39" s="7"/>
      <c r="U39" s="7"/>
    </row>
    <row r="40" spans="1:21" ht="12.75" customHeight="1" x14ac:dyDescent="0.25">
      <c r="A40" s="4"/>
      <c r="B40" s="5"/>
      <c r="C40" s="6"/>
      <c r="D40" s="7"/>
      <c r="E40" s="7"/>
      <c r="F40" s="7"/>
      <c r="G40" s="7"/>
      <c r="H40" s="7"/>
      <c r="I40" s="7"/>
      <c r="J40" s="7"/>
      <c r="K40" s="7"/>
      <c r="L40" s="7"/>
      <c r="M40" s="7"/>
      <c r="N40" s="7"/>
      <c r="O40" s="7"/>
      <c r="P40" s="7"/>
      <c r="Q40" s="7"/>
      <c r="R40" s="7"/>
      <c r="S40" s="7"/>
      <c r="T40" s="7"/>
      <c r="U40" s="7"/>
    </row>
    <row r="41" spans="1:21" ht="12.75" customHeight="1" x14ac:dyDescent="0.25">
      <c r="A41" s="4"/>
      <c r="B41" s="5"/>
      <c r="C41" s="6"/>
      <c r="D41" s="7"/>
      <c r="E41" s="7"/>
      <c r="F41" s="7"/>
      <c r="G41" s="7"/>
      <c r="H41" s="7"/>
      <c r="I41" s="7"/>
      <c r="J41" s="7"/>
      <c r="K41" s="7"/>
      <c r="L41" s="7"/>
      <c r="M41" s="7"/>
      <c r="N41" s="7"/>
      <c r="O41" s="7"/>
      <c r="P41" s="7"/>
      <c r="Q41" s="7"/>
      <c r="R41" s="7"/>
      <c r="S41" s="7"/>
      <c r="T41" s="7"/>
      <c r="U41" s="7"/>
    </row>
    <row r="42" spans="1:21" ht="12.75" customHeight="1" x14ac:dyDescent="0.25">
      <c r="A42" s="4"/>
      <c r="B42" s="5"/>
      <c r="C42" s="6"/>
      <c r="D42" s="7"/>
      <c r="E42" s="7"/>
      <c r="F42" s="7"/>
      <c r="G42" s="7"/>
      <c r="H42" s="7"/>
      <c r="I42" s="7"/>
      <c r="J42" s="7"/>
      <c r="K42" s="7"/>
      <c r="L42" s="7"/>
      <c r="M42" s="7"/>
      <c r="N42" s="7"/>
      <c r="O42" s="7"/>
      <c r="P42" s="7"/>
      <c r="Q42" s="7"/>
      <c r="R42" s="7"/>
      <c r="S42" s="7"/>
      <c r="T42" s="7"/>
      <c r="U42" s="7"/>
    </row>
    <row r="43" spans="1:21" ht="12.75" customHeight="1" x14ac:dyDescent="0.25">
      <c r="A43" s="4"/>
      <c r="B43" s="5"/>
      <c r="C43" s="6"/>
      <c r="D43" s="7"/>
      <c r="E43" s="7"/>
      <c r="F43" s="7"/>
      <c r="G43" s="7"/>
      <c r="H43" s="7"/>
      <c r="I43" s="7"/>
      <c r="J43" s="7"/>
      <c r="K43" s="7"/>
      <c r="L43" s="7"/>
      <c r="M43" s="7"/>
      <c r="N43" s="7"/>
      <c r="O43" s="7"/>
      <c r="P43" s="7"/>
      <c r="Q43" s="7"/>
      <c r="R43" s="7"/>
      <c r="S43" s="7"/>
      <c r="T43" s="7"/>
      <c r="U43" s="7"/>
    </row>
    <row r="44" spans="1:21" ht="12.75" customHeight="1" x14ac:dyDescent="0.25">
      <c r="A44" s="4"/>
      <c r="B44" s="5"/>
      <c r="C44" s="6"/>
      <c r="D44" s="7"/>
      <c r="E44" s="7"/>
      <c r="F44" s="7"/>
      <c r="G44" s="7"/>
      <c r="H44" s="7"/>
      <c r="I44" s="7"/>
      <c r="J44" s="7"/>
      <c r="K44" s="7"/>
      <c r="L44" s="7"/>
      <c r="M44" s="7"/>
      <c r="N44" s="7"/>
      <c r="O44" s="7"/>
      <c r="P44" s="7"/>
      <c r="Q44" s="7"/>
      <c r="R44" s="7"/>
      <c r="S44" s="7"/>
      <c r="T44" s="7"/>
      <c r="U44" s="7"/>
    </row>
    <row r="45" spans="1:21" ht="12.75" customHeight="1" x14ac:dyDescent="0.25">
      <c r="A45" s="4"/>
      <c r="B45" s="5"/>
      <c r="C45" s="6"/>
      <c r="D45" s="7"/>
      <c r="E45" s="7"/>
      <c r="F45" s="7"/>
      <c r="G45" s="7"/>
      <c r="H45" s="7"/>
      <c r="I45" s="7"/>
      <c r="J45" s="7"/>
      <c r="K45" s="7"/>
      <c r="L45" s="7"/>
      <c r="M45" s="7"/>
      <c r="N45" s="7"/>
      <c r="O45" s="7"/>
      <c r="P45" s="7"/>
      <c r="Q45" s="7"/>
      <c r="R45" s="7"/>
      <c r="S45" s="7"/>
      <c r="T45" s="7"/>
      <c r="U45" s="7"/>
    </row>
    <row r="46" spans="1:21" ht="12.75" customHeight="1" x14ac:dyDescent="0.25">
      <c r="A46" s="4"/>
      <c r="B46" s="5"/>
      <c r="C46" s="6"/>
      <c r="D46" s="7"/>
      <c r="E46" s="7"/>
      <c r="F46" s="7"/>
      <c r="G46" s="7"/>
      <c r="H46" s="7"/>
      <c r="I46" s="7"/>
      <c r="J46" s="7"/>
      <c r="K46" s="7"/>
      <c r="L46" s="7"/>
      <c r="M46" s="7"/>
      <c r="N46" s="7"/>
      <c r="O46" s="7"/>
      <c r="P46" s="7"/>
      <c r="Q46" s="7"/>
      <c r="R46" s="7"/>
      <c r="S46" s="7"/>
      <c r="T46" s="7"/>
      <c r="U46" s="7"/>
    </row>
    <row r="47" spans="1:21" ht="12.75" customHeight="1" x14ac:dyDescent="0.25">
      <c r="A47" s="4"/>
      <c r="B47" s="5"/>
      <c r="C47" s="6"/>
      <c r="D47" s="7"/>
      <c r="E47" s="7"/>
      <c r="F47" s="7"/>
      <c r="G47" s="7"/>
      <c r="H47" s="7"/>
      <c r="I47" s="7"/>
      <c r="J47" s="7"/>
      <c r="K47" s="7"/>
      <c r="L47" s="7"/>
      <c r="M47" s="7"/>
      <c r="N47" s="7"/>
      <c r="O47" s="7"/>
      <c r="P47" s="7"/>
      <c r="Q47" s="7"/>
      <c r="R47" s="7"/>
      <c r="S47" s="7"/>
      <c r="T47" s="7"/>
      <c r="U47" s="7"/>
    </row>
    <row r="48" spans="1:21" ht="12.75" customHeight="1" x14ac:dyDescent="0.25">
      <c r="A48" s="4"/>
      <c r="B48" s="5"/>
      <c r="C48" s="6"/>
      <c r="D48" s="7"/>
      <c r="E48" s="7"/>
      <c r="F48" s="7"/>
      <c r="G48" s="7"/>
      <c r="H48" s="7"/>
      <c r="I48" s="7"/>
      <c r="J48" s="7"/>
      <c r="K48" s="7"/>
      <c r="L48" s="7"/>
      <c r="M48" s="7"/>
      <c r="N48" s="7"/>
      <c r="O48" s="7"/>
      <c r="P48" s="7"/>
      <c r="Q48" s="7"/>
      <c r="R48" s="7"/>
      <c r="S48" s="7"/>
      <c r="T48" s="7"/>
      <c r="U48" s="7"/>
    </row>
    <row r="49" spans="1:21" ht="12.75" customHeight="1" x14ac:dyDescent="0.25">
      <c r="A49" s="4"/>
      <c r="B49" s="5"/>
      <c r="C49" s="6"/>
      <c r="D49" s="7"/>
      <c r="E49" s="7"/>
      <c r="F49" s="7"/>
      <c r="G49" s="7"/>
      <c r="H49" s="7"/>
      <c r="I49" s="7"/>
      <c r="J49" s="7"/>
      <c r="K49" s="7"/>
      <c r="L49" s="7"/>
      <c r="M49" s="7"/>
      <c r="N49" s="7"/>
      <c r="O49" s="7"/>
      <c r="P49" s="7"/>
      <c r="Q49" s="7"/>
      <c r="R49" s="7"/>
      <c r="S49" s="7"/>
      <c r="T49" s="7"/>
      <c r="U49" s="7"/>
    </row>
    <row r="50" spans="1:21" ht="12.75" customHeight="1" x14ac:dyDescent="0.25">
      <c r="A50" s="4"/>
      <c r="B50" s="5"/>
      <c r="C50" s="6"/>
      <c r="D50" s="7"/>
      <c r="E50" s="7"/>
      <c r="F50" s="7"/>
      <c r="G50" s="7"/>
      <c r="H50" s="7"/>
      <c r="I50" s="7"/>
      <c r="J50" s="7"/>
      <c r="K50" s="7"/>
      <c r="L50" s="7"/>
      <c r="M50" s="7"/>
      <c r="N50" s="7"/>
      <c r="O50" s="7"/>
      <c r="P50" s="7"/>
      <c r="Q50" s="7"/>
      <c r="R50" s="7"/>
      <c r="S50" s="7"/>
      <c r="T50" s="7"/>
      <c r="U50" s="7"/>
    </row>
    <row r="51" spans="1:21" ht="12.75" customHeight="1" x14ac:dyDescent="0.25">
      <c r="A51" s="4"/>
      <c r="B51" s="5"/>
      <c r="C51" s="6"/>
      <c r="D51" s="7"/>
      <c r="E51" s="7"/>
      <c r="F51" s="7"/>
      <c r="G51" s="7"/>
      <c r="H51" s="7"/>
      <c r="I51" s="7"/>
      <c r="J51" s="7"/>
      <c r="K51" s="7"/>
      <c r="L51" s="7"/>
      <c r="M51" s="7"/>
      <c r="N51" s="7"/>
      <c r="O51" s="7"/>
      <c r="P51" s="7"/>
      <c r="Q51" s="7"/>
      <c r="R51" s="7"/>
      <c r="S51" s="7"/>
      <c r="T51" s="7"/>
      <c r="U51" s="7"/>
    </row>
    <row r="52" spans="1:21" ht="12.75" customHeight="1" x14ac:dyDescent="0.25">
      <c r="A52" s="4"/>
      <c r="B52" s="5"/>
      <c r="C52" s="6"/>
      <c r="D52" s="7"/>
      <c r="E52" s="7"/>
      <c r="F52" s="7"/>
      <c r="G52" s="7"/>
      <c r="H52" s="7"/>
      <c r="I52" s="7"/>
      <c r="J52" s="7"/>
      <c r="K52" s="7"/>
      <c r="L52" s="7"/>
      <c r="M52" s="7"/>
      <c r="N52" s="7"/>
      <c r="O52" s="7"/>
      <c r="P52" s="7"/>
      <c r="Q52" s="7"/>
      <c r="R52" s="7"/>
      <c r="S52" s="7"/>
      <c r="T52" s="7"/>
      <c r="U52" s="7"/>
    </row>
    <row r="53" spans="1:21" ht="12.75" customHeight="1" x14ac:dyDescent="0.25">
      <c r="A53" s="4"/>
      <c r="B53" s="5"/>
      <c r="C53" s="6"/>
      <c r="D53" s="7"/>
      <c r="E53" s="7"/>
      <c r="F53" s="7"/>
      <c r="G53" s="7"/>
      <c r="H53" s="7"/>
      <c r="I53" s="7"/>
      <c r="J53" s="7"/>
      <c r="K53" s="7"/>
      <c r="L53" s="7"/>
      <c r="M53" s="7"/>
      <c r="N53" s="7"/>
      <c r="O53" s="7"/>
      <c r="P53" s="7"/>
      <c r="Q53" s="7"/>
      <c r="R53" s="7"/>
      <c r="S53" s="7"/>
      <c r="T53" s="7"/>
      <c r="U53" s="7"/>
    </row>
    <row r="54" spans="1:21" ht="12.75" customHeight="1" x14ac:dyDescent="0.25">
      <c r="A54" s="4"/>
      <c r="B54" s="5"/>
      <c r="C54" s="6"/>
      <c r="D54" s="7"/>
      <c r="E54" s="7"/>
      <c r="F54" s="7"/>
      <c r="G54" s="7"/>
      <c r="H54" s="7"/>
      <c r="I54" s="7"/>
      <c r="J54" s="7"/>
      <c r="K54" s="7"/>
      <c r="L54" s="7"/>
      <c r="M54" s="7"/>
      <c r="N54" s="7"/>
      <c r="O54" s="7"/>
      <c r="P54" s="7"/>
      <c r="Q54" s="7"/>
      <c r="R54" s="7"/>
      <c r="S54" s="7"/>
      <c r="T54" s="7"/>
      <c r="U54" s="7"/>
    </row>
    <row r="55" spans="1:21" ht="12.75" customHeight="1" x14ac:dyDescent="0.25">
      <c r="A55" s="4"/>
      <c r="B55" s="5"/>
      <c r="C55" s="6"/>
      <c r="D55" s="7"/>
      <c r="E55" s="7"/>
      <c r="F55" s="7"/>
      <c r="G55" s="7"/>
      <c r="H55" s="7"/>
      <c r="I55" s="7"/>
      <c r="J55" s="7"/>
      <c r="K55" s="7"/>
      <c r="L55" s="7"/>
      <c r="M55" s="7"/>
      <c r="N55" s="7"/>
      <c r="O55" s="7"/>
      <c r="P55" s="7"/>
      <c r="Q55" s="7"/>
      <c r="R55" s="7"/>
      <c r="S55" s="7"/>
      <c r="T55" s="7"/>
      <c r="U55" s="7"/>
    </row>
    <row r="56" spans="1:21" ht="12.75" customHeight="1" x14ac:dyDescent="0.25">
      <c r="A56" s="4"/>
      <c r="B56" s="5"/>
      <c r="C56" s="6"/>
      <c r="D56" s="7"/>
      <c r="E56" s="7"/>
      <c r="F56" s="7"/>
      <c r="G56" s="7"/>
      <c r="H56" s="7"/>
      <c r="I56" s="7"/>
      <c r="J56" s="7"/>
      <c r="K56" s="7"/>
      <c r="L56" s="7"/>
      <c r="M56" s="7"/>
      <c r="N56" s="7"/>
      <c r="O56" s="7"/>
      <c r="P56" s="7"/>
      <c r="Q56" s="7"/>
      <c r="R56" s="7"/>
      <c r="S56" s="7"/>
      <c r="T56" s="7"/>
      <c r="U56" s="7"/>
    </row>
    <row r="57" spans="1:21" ht="12.75" customHeight="1" x14ac:dyDescent="0.25">
      <c r="A57" s="4"/>
      <c r="B57" s="5"/>
      <c r="C57" s="6"/>
      <c r="D57" s="7"/>
      <c r="E57" s="7"/>
      <c r="F57" s="7"/>
      <c r="G57" s="7"/>
      <c r="H57" s="7"/>
      <c r="I57" s="7"/>
      <c r="J57" s="7"/>
      <c r="K57" s="7"/>
      <c r="L57" s="7"/>
      <c r="M57" s="7"/>
      <c r="N57" s="7"/>
      <c r="O57" s="7"/>
      <c r="P57" s="7"/>
      <c r="Q57" s="7"/>
      <c r="R57" s="7"/>
      <c r="S57" s="7"/>
      <c r="T57" s="7"/>
      <c r="U57" s="7"/>
    </row>
    <row r="58" spans="1:21" ht="12.75" customHeight="1" x14ac:dyDescent="0.25">
      <c r="A58" s="4"/>
      <c r="B58" s="5"/>
      <c r="C58" s="6"/>
      <c r="D58" s="7"/>
      <c r="E58" s="7"/>
      <c r="F58" s="7"/>
      <c r="G58" s="7"/>
      <c r="H58" s="7"/>
      <c r="I58" s="7"/>
      <c r="J58" s="7"/>
      <c r="K58" s="7"/>
      <c r="L58" s="7"/>
      <c r="M58" s="7"/>
      <c r="N58" s="7"/>
      <c r="O58" s="7"/>
      <c r="P58" s="7"/>
      <c r="Q58" s="7"/>
      <c r="R58" s="7"/>
      <c r="S58" s="7"/>
      <c r="T58" s="7"/>
      <c r="U58" s="7"/>
    </row>
    <row r="59" spans="1:21" ht="12.75" customHeight="1" x14ac:dyDescent="0.25">
      <c r="A59" s="4"/>
      <c r="B59" s="5"/>
      <c r="C59" s="6"/>
      <c r="D59" s="7"/>
      <c r="E59" s="7"/>
      <c r="F59" s="7"/>
      <c r="G59" s="7"/>
      <c r="H59" s="7"/>
      <c r="I59" s="7"/>
      <c r="J59" s="7"/>
      <c r="K59" s="7"/>
      <c r="L59" s="7"/>
      <c r="M59" s="7"/>
      <c r="N59" s="7"/>
      <c r="O59" s="7"/>
      <c r="P59" s="7"/>
      <c r="Q59" s="7"/>
      <c r="R59" s="7"/>
      <c r="S59" s="7"/>
      <c r="T59" s="7"/>
      <c r="U59" s="7"/>
    </row>
    <row r="60" spans="1:21" ht="12.75" customHeight="1" x14ac:dyDescent="0.25">
      <c r="A60" s="4"/>
      <c r="B60" s="5"/>
      <c r="C60" s="6"/>
      <c r="D60" s="7"/>
      <c r="E60" s="7"/>
      <c r="F60" s="7"/>
      <c r="G60" s="7"/>
      <c r="H60" s="7"/>
      <c r="I60" s="7"/>
      <c r="J60" s="7"/>
      <c r="K60" s="7"/>
      <c r="L60" s="7"/>
      <c r="M60" s="7"/>
      <c r="N60" s="7"/>
      <c r="O60" s="7"/>
      <c r="P60" s="7"/>
      <c r="Q60" s="7"/>
      <c r="R60" s="7"/>
      <c r="S60" s="7"/>
      <c r="T60" s="7"/>
      <c r="U60" s="7"/>
    </row>
    <row r="61" spans="1:21" ht="12.75" customHeight="1" x14ac:dyDescent="0.25">
      <c r="A61" s="4"/>
      <c r="B61" s="5"/>
      <c r="C61" s="6"/>
      <c r="D61" s="7"/>
      <c r="E61" s="7"/>
      <c r="F61" s="7"/>
      <c r="G61" s="7"/>
      <c r="H61" s="7"/>
      <c r="I61" s="7"/>
      <c r="J61" s="7"/>
      <c r="K61" s="7"/>
      <c r="L61" s="7"/>
      <c r="M61" s="7"/>
      <c r="N61" s="7"/>
      <c r="O61" s="7"/>
      <c r="P61" s="7"/>
      <c r="Q61" s="7"/>
      <c r="R61" s="7"/>
      <c r="S61" s="7"/>
      <c r="T61" s="7"/>
      <c r="U61" s="7"/>
    </row>
    <row r="62" spans="1:21" ht="12.75" customHeight="1" x14ac:dyDescent="0.25">
      <c r="A62" s="4"/>
      <c r="B62" s="5"/>
      <c r="C62" s="6"/>
      <c r="D62" s="7"/>
      <c r="E62" s="7"/>
      <c r="F62" s="7"/>
      <c r="G62" s="7"/>
      <c r="H62" s="7"/>
      <c r="I62" s="7"/>
      <c r="J62" s="7"/>
      <c r="K62" s="7"/>
      <c r="L62" s="7"/>
      <c r="M62" s="7"/>
      <c r="N62" s="7"/>
      <c r="O62" s="7"/>
      <c r="P62" s="7"/>
      <c r="Q62" s="7"/>
      <c r="R62" s="7"/>
      <c r="S62" s="7"/>
      <c r="T62" s="7"/>
      <c r="U62" s="7"/>
    </row>
    <row r="63" spans="1:21" ht="12.75" customHeight="1" x14ac:dyDescent="0.25">
      <c r="A63" s="4"/>
      <c r="B63" s="5"/>
      <c r="C63" s="6"/>
      <c r="D63" s="7"/>
      <c r="E63" s="7"/>
      <c r="F63" s="7"/>
      <c r="G63" s="7"/>
      <c r="H63" s="7"/>
      <c r="I63" s="7"/>
      <c r="J63" s="7"/>
      <c r="K63" s="7"/>
      <c r="L63" s="7"/>
      <c r="M63" s="7"/>
      <c r="N63" s="7"/>
      <c r="O63" s="7"/>
      <c r="P63" s="7"/>
      <c r="Q63" s="7"/>
      <c r="R63" s="7"/>
      <c r="S63" s="7"/>
      <c r="T63" s="7"/>
      <c r="U63" s="7"/>
    </row>
    <row r="64" spans="1:21" ht="12.75" customHeight="1" x14ac:dyDescent="0.25">
      <c r="A64" s="4"/>
      <c r="B64" s="5"/>
      <c r="C64" s="6"/>
      <c r="D64" s="7"/>
      <c r="E64" s="7"/>
      <c r="F64" s="7"/>
      <c r="G64" s="7"/>
      <c r="H64" s="7"/>
      <c r="I64" s="7"/>
      <c r="J64" s="7"/>
      <c r="K64" s="7"/>
      <c r="L64" s="7"/>
      <c r="M64" s="7"/>
      <c r="N64" s="7"/>
      <c r="O64" s="7"/>
      <c r="P64" s="7"/>
      <c r="Q64" s="7"/>
      <c r="R64" s="7"/>
      <c r="S64" s="7"/>
      <c r="T64" s="7"/>
      <c r="U64" s="7"/>
    </row>
    <row r="65" spans="1:21" ht="12.75" customHeight="1" x14ac:dyDescent="0.25">
      <c r="A65" s="4"/>
      <c r="B65" s="5"/>
      <c r="C65" s="6"/>
      <c r="D65" s="7"/>
      <c r="E65" s="7"/>
      <c r="F65" s="7"/>
      <c r="G65" s="7"/>
      <c r="H65" s="7"/>
      <c r="I65" s="7"/>
      <c r="J65" s="7"/>
      <c r="K65" s="7"/>
      <c r="L65" s="7"/>
      <c r="M65" s="7"/>
      <c r="N65" s="7"/>
      <c r="O65" s="7"/>
      <c r="P65" s="7"/>
      <c r="Q65" s="7"/>
      <c r="R65" s="7"/>
      <c r="S65" s="7"/>
      <c r="T65" s="7"/>
      <c r="U65" s="7"/>
    </row>
    <row r="66" spans="1:21" ht="12.75" customHeight="1" x14ac:dyDescent="0.25">
      <c r="A66" s="4"/>
      <c r="B66" s="5"/>
      <c r="C66" s="6"/>
      <c r="D66" s="7"/>
      <c r="E66" s="7"/>
      <c r="F66" s="7"/>
      <c r="G66" s="7"/>
      <c r="H66" s="7"/>
      <c r="I66" s="7"/>
      <c r="J66" s="7"/>
      <c r="K66" s="7"/>
      <c r="L66" s="7"/>
      <c r="M66" s="7"/>
      <c r="N66" s="7"/>
      <c r="O66" s="7"/>
      <c r="P66" s="7"/>
      <c r="Q66" s="7"/>
      <c r="R66" s="7"/>
      <c r="S66" s="7"/>
      <c r="T66" s="7"/>
      <c r="U66" s="7"/>
    </row>
    <row r="67" spans="1:21" ht="12.75" customHeight="1" x14ac:dyDescent="0.25">
      <c r="A67" s="4"/>
      <c r="B67" s="5"/>
      <c r="C67" s="6"/>
      <c r="D67" s="7"/>
      <c r="E67" s="7"/>
      <c r="F67" s="7"/>
      <c r="G67" s="7"/>
      <c r="H67" s="7"/>
      <c r="I67" s="7"/>
      <c r="J67" s="7"/>
      <c r="K67" s="7"/>
      <c r="L67" s="7"/>
      <c r="M67" s="7"/>
      <c r="N67" s="7"/>
      <c r="O67" s="7"/>
      <c r="P67" s="7"/>
      <c r="Q67" s="7"/>
      <c r="R67" s="7"/>
      <c r="S67" s="7"/>
      <c r="T67" s="7"/>
      <c r="U67" s="7"/>
    </row>
    <row r="68" spans="1:21" ht="12.75" customHeight="1" x14ac:dyDescent="0.25">
      <c r="A68" s="4"/>
      <c r="B68" s="5"/>
      <c r="C68" s="6"/>
      <c r="D68" s="7"/>
      <c r="E68" s="7"/>
      <c r="F68" s="7"/>
      <c r="G68" s="7"/>
      <c r="H68" s="7"/>
      <c r="I68" s="7"/>
      <c r="J68" s="7"/>
      <c r="K68" s="7"/>
      <c r="L68" s="7"/>
      <c r="M68" s="7"/>
      <c r="N68" s="7"/>
      <c r="O68" s="7"/>
      <c r="P68" s="7"/>
      <c r="Q68" s="7"/>
      <c r="R68" s="7"/>
      <c r="S68" s="7"/>
      <c r="T68" s="7"/>
      <c r="U68" s="7"/>
    </row>
    <row r="69" spans="1:21" ht="12.75" customHeight="1" x14ac:dyDescent="0.25">
      <c r="A69" s="4"/>
      <c r="B69" s="5"/>
      <c r="C69" s="6"/>
      <c r="D69" s="7"/>
      <c r="E69" s="7"/>
      <c r="F69" s="7"/>
      <c r="G69" s="7"/>
      <c r="H69" s="7"/>
      <c r="I69" s="7"/>
      <c r="J69" s="7"/>
      <c r="K69" s="7"/>
      <c r="L69" s="7"/>
      <c r="M69" s="7"/>
      <c r="N69" s="7"/>
      <c r="O69" s="7"/>
      <c r="P69" s="7"/>
      <c r="Q69" s="7"/>
      <c r="R69" s="7"/>
      <c r="S69" s="7"/>
      <c r="T69" s="7"/>
      <c r="U69" s="7"/>
    </row>
    <row r="70" spans="1:21" ht="12.75" customHeight="1" x14ac:dyDescent="0.25">
      <c r="A70" s="4"/>
      <c r="B70" s="5"/>
      <c r="C70" s="6"/>
      <c r="D70" s="7"/>
      <c r="E70" s="7"/>
      <c r="F70" s="7"/>
      <c r="G70" s="7"/>
      <c r="H70" s="7"/>
      <c r="I70" s="7"/>
      <c r="J70" s="7"/>
      <c r="K70" s="7"/>
      <c r="L70" s="7"/>
      <c r="M70" s="7"/>
      <c r="N70" s="7"/>
      <c r="O70" s="7"/>
      <c r="P70" s="7"/>
      <c r="Q70" s="7"/>
      <c r="R70" s="7"/>
      <c r="S70" s="7"/>
      <c r="T70" s="7"/>
      <c r="U70" s="7"/>
    </row>
    <row r="71" spans="1:21" ht="12.75" customHeight="1" x14ac:dyDescent="0.25">
      <c r="A71" s="4"/>
      <c r="B71" s="5"/>
      <c r="C71" s="6"/>
      <c r="D71" s="7"/>
      <c r="E71" s="7"/>
      <c r="F71" s="7"/>
      <c r="G71" s="7"/>
      <c r="H71" s="7"/>
      <c r="I71" s="7"/>
      <c r="J71" s="7"/>
      <c r="K71" s="7"/>
      <c r="L71" s="7"/>
      <c r="M71" s="7"/>
      <c r="N71" s="7"/>
      <c r="O71" s="7"/>
      <c r="P71" s="7"/>
      <c r="Q71" s="7"/>
      <c r="R71" s="7"/>
      <c r="S71" s="7"/>
      <c r="T71" s="7"/>
      <c r="U71" s="7"/>
    </row>
    <row r="72" spans="1:21" ht="12.75" customHeight="1" x14ac:dyDescent="0.25">
      <c r="A72" s="4"/>
      <c r="B72" s="5"/>
      <c r="C72" s="6"/>
      <c r="D72" s="7"/>
      <c r="E72" s="7"/>
      <c r="F72" s="7"/>
      <c r="G72" s="7"/>
      <c r="H72" s="7"/>
      <c r="I72" s="7"/>
      <c r="J72" s="7"/>
      <c r="K72" s="7"/>
      <c r="L72" s="7"/>
      <c r="M72" s="7"/>
      <c r="N72" s="7"/>
      <c r="O72" s="7"/>
      <c r="P72" s="7"/>
      <c r="Q72" s="7"/>
      <c r="R72" s="7"/>
      <c r="S72" s="7"/>
      <c r="T72" s="7"/>
      <c r="U72" s="7"/>
    </row>
    <row r="73" spans="1:21" ht="12.75" customHeight="1" x14ac:dyDescent="0.25">
      <c r="A73" s="4"/>
      <c r="B73" s="5"/>
      <c r="C73" s="6"/>
      <c r="D73" s="7"/>
      <c r="E73" s="7"/>
      <c r="F73" s="7"/>
      <c r="G73" s="7"/>
      <c r="H73" s="7"/>
      <c r="I73" s="7"/>
      <c r="J73" s="7"/>
      <c r="K73" s="7"/>
      <c r="L73" s="7"/>
      <c r="M73" s="7"/>
      <c r="N73" s="7"/>
      <c r="O73" s="7"/>
      <c r="P73" s="7"/>
      <c r="Q73" s="7"/>
      <c r="R73" s="7"/>
      <c r="S73" s="7"/>
      <c r="T73" s="7"/>
      <c r="U73" s="7"/>
    </row>
    <row r="74" spans="1:21" ht="12.75" customHeight="1" x14ac:dyDescent="0.25">
      <c r="A74" s="4"/>
      <c r="B74" s="5"/>
      <c r="C74" s="6"/>
      <c r="D74" s="7"/>
      <c r="E74" s="7"/>
      <c r="F74" s="7"/>
      <c r="G74" s="7"/>
      <c r="H74" s="7"/>
      <c r="I74" s="7"/>
      <c r="J74" s="7"/>
      <c r="K74" s="7"/>
      <c r="L74" s="7"/>
      <c r="M74" s="7"/>
      <c r="N74" s="7"/>
      <c r="O74" s="7"/>
      <c r="P74" s="7"/>
      <c r="Q74" s="7"/>
      <c r="R74" s="7"/>
      <c r="S74" s="7"/>
      <c r="T74" s="7"/>
      <c r="U74" s="7"/>
    </row>
    <row r="75" spans="1:21" ht="12.75" customHeight="1" x14ac:dyDescent="0.25">
      <c r="A75" s="4"/>
      <c r="B75" s="5"/>
      <c r="C75" s="6"/>
      <c r="D75" s="7"/>
      <c r="E75" s="7"/>
      <c r="F75" s="7"/>
      <c r="G75" s="7"/>
      <c r="H75" s="7"/>
      <c r="I75" s="7"/>
      <c r="J75" s="7"/>
      <c r="K75" s="7"/>
      <c r="L75" s="7"/>
      <c r="M75" s="7"/>
      <c r="N75" s="7"/>
      <c r="O75" s="7"/>
      <c r="P75" s="7"/>
      <c r="Q75" s="7"/>
      <c r="R75" s="7"/>
      <c r="S75" s="7"/>
      <c r="T75" s="7"/>
      <c r="U75" s="7"/>
    </row>
    <row r="76" spans="1:21" ht="12.75" customHeight="1" x14ac:dyDescent="0.25">
      <c r="A76" s="4"/>
      <c r="B76" s="5"/>
      <c r="C76" s="6"/>
      <c r="D76" s="7"/>
      <c r="E76" s="7"/>
      <c r="F76" s="7"/>
      <c r="G76" s="7"/>
      <c r="H76" s="7"/>
      <c r="I76" s="7"/>
      <c r="J76" s="7"/>
      <c r="K76" s="7"/>
      <c r="L76" s="7"/>
      <c r="M76" s="7"/>
      <c r="N76" s="7"/>
      <c r="O76" s="7"/>
      <c r="P76" s="7"/>
      <c r="Q76" s="7"/>
      <c r="R76" s="7"/>
      <c r="S76" s="7"/>
      <c r="T76" s="7"/>
      <c r="U76" s="7"/>
    </row>
    <row r="77" spans="1:21" ht="12.75" customHeight="1" x14ac:dyDescent="0.25">
      <c r="A77" s="4"/>
      <c r="B77" s="5"/>
      <c r="C77" s="6"/>
      <c r="D77" s="7"/>
      <c r="E77" s="7"/>
      <c r="F77" s="7"/>
      <c r="G77" s="7"/>
      <c r="H77" s="7"/>
      <c r="I77" s="7"/>
      <c r="J77" s="7"/>
      <c r="K77" s="7"/>
      <c r="L77" s="7"/>
      <c r="M77" s="7"/>
      <c r="N77" s="7"/>
      <c r="O77" s="7"/>
      <c r="P77" s="7"/>
      <c r="Q77" s="7"/>
      <c r="R77" s="7"/>
      <c r="S77" s="7"/>
      <c r="T77" s="7"/>
      <c r="U77" s="7"/>
    </row>
    <row r="78" spans="1:21" ht="12.75" customHeight="1" x14ac:dyDescent="0.25">
      <c r="A78" s="4"/>
      <c r="B78" s="5"/>
      <c r="C78" s="6"/>
      <c r="D78" s="7"/>
      <c r="E78" s="7"/>
      <c r="F78" s="7"/>
      <c r="G78" s="7"/>
      <c r="H78" s="7"/>
      <c r="I78" s="7"/>
      <c r="J78" s="7"/>
      <c r="K78" s="7"/>
      <c r="L78" s="7"/>
      <c r="M78" s="7"/>
      <c r="N78" s="7"/>
      <c r="O78" s="7"/>
      <c r="P78" s="7"/>
      <c r="Q78" s="7"/>
      <c r="R78" s="7"/>
      <c r="S78" s="7"/>
      <c r="T78" s="7"/>
      <c r="U78" s="7"/>
    </row>
    <row r="79" spans="1:21" ht="12.75" customHeight="1" x14ac:dyDescent="0.25">
      <c r="A79" s="4"/>
      <c r="B79" s="5"/>
      <c r="C79" s="6"/>
      <c r="D79" s="7"/>
      <c r="E79" s="7"/>
      <c r="F79" s="7"/>
      <c r="G79" s="7"/>
      <c r="H79" s="7"/>
      <c r="I79" s="7"/>
      <c r="J79" s="7"/>
      <c r="K79" s="7"/>
      <c r="L79" s="7"/>
      <c r="M79" s="7"/>
      <c r="N79" s="7"/>
      <c r="O79" s="7"/>
      <c r="P79" s="7"/>
      <c r="Q79" s="7"/>
      <c r="R79" s="7"/>
      <c r="S79" s="7"/>
      <c r="T79" s="7"/>
      <c r="U79" s="7"/>
    </row>
    <row r="80" spans="1:21" ht="12.75" customHeight="1" x14ac:dyDescent="0.25">
      <c r="A80" s="4"/>
      <c r="B80" s="5"/>
      <c r="C80" s="6"/>
      <c r="D80" s="7"/>
      <c r="E80" s="7"/>
      <c r="F80" s="7"/>
      <c r="G80" s="7"/>
      <c r="H80" s="7"/>
      <c r="I80" s="7"/>
      <c r="J80" s="7"/>
      <c r="K80" s="7"/>
      <c r="L80" s="7"/>
      <c r="M80" s="7"/>
      <c r="N80" s="7"/>
      <c r="O80" s="7"/>
      <c r="P80" s="7"/>
      <c r="Q80" s="7"/>
      <c r="R80" s="7"/>
      <c r="S80" s="7"/>
      <c r="T80" s="7"/>
      <c r="U80" s="7"/>
    </row>
    <row r="81" spans="1:21" ht="12.75" customHeight="1" x14ac:dyDescent="0.25">
      <c r="A81" s="4"/>
      <c r="B81" s="5"/>
      <c r="C81" s="6"/>
      <c r="D81" s="7"/>
      <c r="E81" s="7"/>
      <c r="F81" s="7"/>
      <c r="G81" s="7"/>
      <c r="H81" s="7"/>
      <c r="I81" s="7"/>
      <c r="J81" s="7"/>
      <c r="K81" s="7"/>
      <c r="L81" s="7"/>
      <c r="M81" s="7"/>
      <c r="N81" s="7"/>
      <c r="O81" s="7"/>
      <c r="P81" s="7"/>
      <c r="Q81" s="7"/>
      <c r="R81" s="7"/>
      <c r="S81" s="7"/>
      <c r="T81" s="7"/>
      <c r="U81" s="7"/>
    </row>
    <row r="82" spans="1:21" ht="12.75" customHeight="1" x14ac:dyDescent="0.25">
      <c r="A82" s="4"/>
      <c r="B82" s="5"/>
      <c r="C82" s="6"/>
      <c r="D82" s="7"/>
      <c r="E82" s="7"/>
      <c r="F82" s="7"/>
      <c r="G82" s="7"/>
      <c r="H82" s="7"/>
      <c r="I82" s="7"/>
      <c r="J82" s="7"/>
      <c r="K82" s="7"/>
      <c r="L82" s="7"/>
      <c r="M82" s="7"/>
      <c r="N82" s="7"/>
      <c r="O82" s="7"/>
      <c r="P82" s="7"/>
      <c r="Q82" s="7"/>
      <c r="R82" s="7"/>
      <c r="S82" s="7"/>
      <c r="T82" s="7"/>
      <c r="U82" s="7"/>
    </row>
    <row r="83" spans="1:21" ht="12.75" customHeight="1" x14ac:dyDescent="0.25">
      <c r="A83" s="4"/>
      <c r="B83" s="5"/>
      <c r="C83" s="6"/>
      <c r="D83" s="7"/>
      <c r="E83" s="7"/>
      <c r="F83" s="7"/>
      <c r="G83" s="7"/>
      <c r="H83" s="7"/>
      <c r="I83" s="7"/>
      <c r="J83" s="7"/>
      <c r="K83" s="7"/>
      <c r="L83" s="7"/>
      <c r="M83" s="7"/>
      <c r="N83" s="7"/>
      <c r="O83" s="7"/>
      <c r="P83" s="7"/>
      <c r="Q83" s="7"/>
      <c r="R83" s="7"/>
      <c r="S83" s="7"/>
      <c r="T83" s="7"/>
      <c r="U83" s="7"/>
    </row>
    <row r="84" spans="1:21" ht="12.75" customHeight="1" x14ac:dyDescent="0.25">
      <c r="A84" s="4"/>
      <c r="B84" s="5"/>
      <c r="C84" s="6"/>
      <c r="D84" s="7"/>
      <c r="E84" s="7"/>
      <c r="F84" s="7"/>
      <c r="G84" s="7"/>
      <c r="H84" s="7"/>
      <c r="I84" s="7"/>
      <c r="J84" s="7"/>
      <c r="K84" s="7"/>
      <c r="L84" s="7"/>
      <c r="M84" s="7"/>
      <c r="N84" s="7"/>
      <c r="O84" s="7"/>
      <c r="P84" s="7"/>
      <c r="Q84" s="7"/>
      <c r="R84" s="7"/>
      <c r="S84" s="7"/>
      <c r="T84" s="7"/>
      <c r="U84" s="7"/>
    </row>
    <row r="85" spans="1:21" ht="12.75" customHeight="1" x14ac:dyDescent="0.25">
      <c r="A85" s="4"/>
      <c r="B85" s="5"/>
      <c r="C85" s="6"/>
      <c r="D85" s="7"/>
      <c r="E85" s="7"/>
      <c r="F85" s="7"/>
      <c r="G85" s="7"/>
      <c r="H85" s="7"/>
      <c r="I85" s="7"/>
      <c r="J85" s="7"/>
      <c r="K85" s="7"/>
      <c r="L85" s="7"/>
      <c r="M85" s="7"/>
      <c r="N85" s="7"/>
      <c r="O85" s="7"/>
      <c r="P85" s="7"/>
      <c r="Q85" s="7"/>
      <c r="R85" s="7"/>
      <c r="S85" s="7"/>
      <c r="T85" s="7"/>
      <c r="U85" s="7"/>
    </row>
    <row r="86" spans="1:21" ht="12.75" customHeight="1" x14ac:dyDescent="0.25">
      <c r="A86" s="4"/>
      <c r="B86" s="5"/>
      <c r="C86" s="6"/>
      <c r="D86" s="7"/>
      <c r="E86" s="7"/>
      <c r="F86" s="7"/>
      <c r="G86" s="7"/>
      <c r="H86" s="7"/>
      <c r="I86" s="7"/>
      <c r="J86" s="7"/>
      <c r="K86" s="7"/>
      <c r="L86" s="7"/>
      <c r="M86" s="7"/>
      <c r="N86" s="7"/>
      <c r="O86" s="7"/>
      <c r="P86" s="7"/>
      <c r="Q86" s="7"/>
      <c r="R86" s="7"/>
      <c r="S86" s="7"/>
      <c r="T86" s="7"/>
      <c r="U86" s="7"/>
    </row>
    <row r="87" spans="1:21" ht="12.75" customHeight="1" x14ac:dyDescent="0.25">
      <c r="A87" s="4"/>
      <c r="B87" s="5"/>
      <c r="C87" s="6"/>
      <c r="D87" s="7"/>
      <c r="E87" s="7"/>
      <c r="F87" s="7"/>
      <c r="G87" s="7"/>
      <c r="H87" s="7"/>
      <c r="I87" s="7"/>
      <c r="J87" s="7"/>
      <c r="K87" s="7"/>
      <c r="L87" s="7"/>
      <c r="M87" s="7"/>
      <c r="N87" s="7"/>
      <c r="O87" s="7"/>
      <c r="P87" s="7"/>
      <c r="Q87" s="7"/>
      <c r="R87" s="7"/>
      <c r="S87" s="7"/>
      <c r="T87" s="7"/>
      <c r="U87" s="7"/>
    </row>
    <row r="88" spans="1:21" ht="12.75" customHeight="1" x14ac:dyDescent="0.25">
      <c r="A88" s="4"/>
      <c r="B88" s="5"/>
      <c r="C88" s="6"/>
      <c r="D88" s="7"/>
      <c r="E88" s="7"/>
      <c r="F88" s="7"/>
      <c r="G88" s="7"/>
      <c r="H88" s="7"/>
      <c r="I88" s="7"/>
      <c r="J88" s="7"/>
      <c r="K88" s="7"/>
      <c r="L88" s="7"/>
      <c r="M88" s="7"/>
      <c r="N88" s="7"/>
      <c r="O88" s="7"/>
      <c r="P88" s="7"/>
      <c r="Q88" s="7"/>
      <c r="R88" s="7"/>
      <c r="S88" s="7"/>
      <c r="T88" s="7"/>
      <c r="U88" s="7"/>
    </row>
    <row r="89" spans="1:21" ht="12.75" customHeight="1" x14ac:dyDescent="0.25">
      <c r="A89" s="4"/>
      <c r="B89" s="5"/>
      <c r="C89" s="6"/>
      <c r="D89" s="7"/>
      <c r="E89" s="7"/>
      <c r="F89" s="7"/>
      <c r="G89" s="7"/>
      <c r="H89" s="7"/>
      <c r="I89" s="7"/>
      <c r="J89" s="7"/>
      <c r="K89" s="7"/>
      <c r="L89" s="7"/>
      <c r="M89" s="7"/>
      <c r="N89" s="7"/>
      <c r="O89" s="7"/>
      <c r="P89" s="7"/>
      <c r="Q89" s="7"/>
      <c r="R89" s="7"/>
      <c r="S89" s="7"/>
      <c r="T89" s="7"/>
      <c r="U89" s="7"/>
    </row>
    <row r="90" spans="1:21" ht="12.75" customHeight="1" x14ac:dyDescent="0.25">
      <c r="A90" s="4"/>
      <c r="B90" s="5"/>
      <c r="C90" s="6"/>
      <c r="D90" s="7"/>
      <c r="E90" s="7"/>
      <c r="F90" s="7"/>
      <c r="G90" s="7"/>
      <c r="H90" s="7"/>
      <c r="I90" s="7"/>
      <c r="J90" s="7"/>
      <c r="K90" s="7"/>
      <c r="L90" s="7"/>
      <c r="M90" s="7"/>
      <c r="N90" s="7"/>
      <c r="O90" s="7"/>
      <c r="P90" s="7"/>
      <c r="Q90" s="7"/>
      <c r="R90" s="7"/>
      <c r="S90" s="7"/>
      <c r="T90" s="7"/>
      <c r="U90" s="7"/>
    </row>
    <row r="91" spans="1:21" ht="12.75" customHeight="1" x14ac:dyDescent="0.25">
      <c r="A91" s="4"/>
      <c r="B91" s="5"/>
      <c r="C91" s="6"/>
      <c r="D91" s="7"/>
      <c r="E91" s="7"/>
      <c r="F91" s="7"/>
      <c r="G91" s="7"/>
      <c r="H91" s="7"/>
      <c r="I91" s="7"/>
      <c r="J91" s="7"/>
      <c r="K91" s="7"/>
      <c r="L91" s="7"/>
      <c r="M91" s="7"/>
      <c r="N91" s="7"/>
      <c r="O91" s="7"/>
      <c r="P91" s="7"/>
      <c r="Q91" s="7"/>
      <c r="R91" s="7"/>
      <c r="S91" s="7"/>
      <c r="T91" s="7"/>
      <c r="U91" s="7"/>
    </row>
    <row r="92" spans="1:21" ht="12.75" customHeight="1" x14ac:dyDescent="0.25">
      <c r="A92" s="4"/>
      <c r="B92" s="5"/>
      <c r="C92" s="6"/>
      <c r="D92" s="7"/>
      <c r="E92" s="7"/>
      <c r="F92" s="7"/>
      <c r="G92" s="7"/>
      <c r="H92" s="7"/>
      <c r="I92" s="7"/>
      <c r="J92" s="7"/>
      <c r="K92" s="7"/>
      <c r="L92" s="7"/>
      <c r="M92" s="7"/>
      <c r="N92" s="7"/>
      <c r="O92" s="7"/>
      <c r="P92" s="7"/>
      <c r="Q92" s="7"/>
      <c r="R92" s="7"/>
      <c r="S92" s="7"/>
      <c r="T92" s="7"/>
      <c r="U92" s="7"/>
    </row>
    <row r="93" spans="1:21" ht="12.75" customHeight="1" x14ac:dyDescent="0.25">
      <c r="A93" s="4"/>
      <c r="B93" s="5"/>
      <c r="C93" s="6"/>
      <c r="D93" s="7"/>
      <c r="E93" s="7"/>
      <c r="F93" s="7"/>
      <c r="G93" s="7"/>
      <c r="H93" s="7"/>
      <c r="I93" s="7"/>
      <c r="J93" s="7"/>
      <c r="K93" s="7"/>
      <c r="L93" s="7"/>
      <c r="M93" s="7"/>
      <c r="N93" s="7"/>
      <c r="O93" s="7"/>
      <c r="P93" s="7"/>
      <c r="Q93" s="7"/>
      <c r="R93" s="7"/>
      <c r="S93" s="7"/>
      <c r="T93" s="7"/>
      <c r="U93" s="7"/>
    </row>
    <row r="94" spans="1:21" ht="12.75" customHeight="1" x14ac:dyDescent="0.25">
      <c r="A94" s="4"/>
      <c r="B94" s="5"/>
      <c r="C94" s="6"/>
      <c r="D94" s="7"/>
      <c r="E94" s="7"/>
      <c r="F94" s="7"/>
      <c r="G94" s="7"/>
      <c r="H94" s="7"/>
      <c r="I94" s="7"/>
      <c r="J94" s="7"/>
      <c r="K94" s="7"/>
      <c r="L94" s="7"/>
      <c r="M94" s="7"/>
      <c r="N94" s="7"/>
      <c r="O94" s="7"/>
      <c r="P94" s="7"/>
      <c r="Q94" s="7"/>
      <c r="R94" s="7"/>
      <c r="S94" s="7"/>
      <c r="T94" s="7"/>
      <c r="U94" s="7"/>
    </row>
    <row r="95" spans="1:21" ht="12.75" customHeight="1" x14ac:dyDescent="0.25">
      <c r="A95" s="4"/>
      <c r="B95" s="5"/>
      <c r="C95" s="6"/>
      <c r="D95" s="7"/>
      <c r="E95" s="7"/>
      <c r="F95" s="7"/>
      <c r="G95" s="7"/>
      <c r="H95" s="7"/>
      <c r="I95" s="7"/>
      <c r="J95" s="7"/>
      <c r="K95" s="7"/>
      <c r="L95" s="7"/>
      <c r="M95" s="7"/>
      <c r="N95" s="7"/>
      <c r="O95" s="7"/>
      <c r="P95" s="7"/>
      <c r="Q95" s="7"/>
      <c r="R95" s="7"/>
      <c r="S95" s="7"/>
      <c r="T95" s="7"/>
      <c r="U95" s="7"/>
    </row>
    <row r="96" spans="1:21" ht="12.75" customHeight="1" x14ac:dyDescent="0.25">
      <c r="A96" s="4"/>
      <c r="B96" s="5"/>
      <c r="C96" s="6"/>
      <c r="D96" s="7"/>
      <c r="E96" s="7"/>
      <c r="F96" s="7"/>
      <c r="G96" s="7"/>
      <c r="H96" s="7"/>
      <c r="I96" s="7"/>
      <c r="J96" s="7"/>
      <c r="K96" s="7"/>
      <c r="L96" s="7"/>
      <c r="M96" s="7"/>
      <c r="N96" s="7"/>
      <c r="O96" s="7"/>
      <c r="P96" s="7"/>
      <c r="Q96" s="7"/>
      <c r="R96" s="7"/>
      <c r="S96" s="7"/>
      <c r="T96" s="7"/>
      <c r="U96" s="7"/>
    </row>
  </sheetData>
  <mergeCells count="1">
    <mergeCell ref="D1:F1"/>
  </mergeCells>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76938-1856-457E-8906-273ED02E58DB}">
  <dimension ref="C3:C8"/>
  <sheetViews>
    <sheetView zoomScale="265" zoomScaleNormal="265" workbookViewId="0">
      <selection activeCell="C2" sqref="C2"/>
    </sheetView>
  </sheetViews>
  <sheetFormatPr defaultRowHeight="13.2" x14ac:dyDescent="0.25"/>
  <cols>
    <col min="3" max="3" width="29" bestFit="1" customWidth="1"/>
  </cols>
  <sheetData>
    <row r="3" spans="3:3" x14ac:dyDescent="0.25">
      <c r="C3" s="162" t="s">
        <v>268</v>
      </c>
    </row>
    <row r="4" spans="3:3" x14ac:dyDescent="0.25">
      <c r="C4" t="s">
        <v>269</v>
      </c>
    </row>
    <row r="5" spans="3:3" x14ac:dyDescent="0.25">
      <c r="C5" s="163" t="s">
        <v>270</v>
      </c>
    </row>
    <row r="6" spans="3:3" x14ac:dyDescent="0.25">
      <c r="C6" s="163" t="s">
        <v>271</v>
      </c>
    </row>
    <row r="7" spans="3:3" x14ac:dyDescent="0.25">
      <c r="C7" s="163" t="s">
        <v>272</v>
      </c>
    </row>
    <row r="8" spans="3:3" x14ac:dyDescent="0.25">
      <c r="C8" s="163" t="s">
        <v>273</v>
      </c>
    </row>
  </sheetData>
  <hyperlinks>
    <hyperlink ref="C5" r:id="rId1" xr:uid="{82554C07-88C0-428A-AAE8-8F012FC6EC5C}"/>
    <hyperlink ref="C6" r:id="rId2" xr:uid="{B0853D0F-8A93-4C9E-920E-B39FC0ADCFE0}"/>
    <hyperlink ref="C7" r:id="rId3" xr:uid="{E1272101-9154-4871-9472-8A0FC6357EFD}"/>
    <hyperlink ref="C8" r:id="rId4" xr:uid="{4D6EA1A8-B1E6-4970-9EF0-A16A3B4ACF7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108"/>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7.109375" defaultRowHeight="12.75" customHeight="1" x14ac:dyDescent="0.25"/>
  <cols>
    <col min="1" max="1" width="27" customWidth="1"/>
    <col min="2" max="2" width="29" customWidth="1"/>
    <col min="3" max="3" width="18.44140625" customWidth="1"/>
    <col min="4" max="4" width="26.5546875" customWidth="1"/>
    <col min="5" max="5" width="11" customWidth="1"/>
    <col min="6" max="6" width="22.33203125" customWidth="1"/>
    <col min="7" max="7" width="12.5546875" customWidth="1"/>
    <col min="8" max="9" width="12.88671875" customWidth="1"/>
    <col min="10" max="10" width="26" customWidth="1"/>
    <col min="11" max="21" width="8.6640625" customWidth="1"/>
    <col min="22" max="31" width="5.33203125" customWidth="1"/>
    <col min="32" max="32" width="11.5546875" customWidth="1"/>
    <col min="33" max="33" width="11.33203125" customWidth="1"/>
    <col min="34" max="34" width="17.109375" customWidth="1"/>
    <col min="35" max="35" width="13.88671875" customWidth="1"/>
    <col min="36" max="36" width="16.109375" customWidth="1"/>
    <col min="37" max="37" width="50.33203125" customWidth="1"/>
    <col min="38" max="38" width="27.6640625" customWidth="1"/>
    <col min="39" max="39" width="18.5546875" customWidth="1"/>
    <col min="40" max="52" width="17.109375" customWidth="1"/>
  </cols>
  <sheetData>
    <row r="1" spans="1:52" ht="52.8" x14ac:dyDescent="0.25">
      <c r="A1" s="16" t="s">
        <v>84</v>
      </c>
      <c r="B1" s="17" t="s">
        <v>211</v>
      </c>
      <c r="C1" s="17" t="s">
        <v>47</v>
      </c>
      <c r="D1" s="18" t="s">
        <v>142</v>
      </c>
      <c r="E1" s="17" t="s">
        <v>123</v>
      </c>
      <c r="F1" s="18" t="s">
        <v>142</v>
      </c>
      <c r="G1" s="18" t="s">
        <v>207</v>
      </c>
      <c r="H1" s="19" t="s">
        <v>142</v>
      </c>
      <c r="I1" s="20" t="s">
        <v>37</v>
      </c>
      <c r="J1" s="21" t="s">
        <v>142</v>
      </c>
      <c r="K1" s="215" t="s">
        <v>147</v>
      </c>
      <c r="L1" s="215"/>
      <c r="M1" s="215"/>
      <c r="N1" s="215"/>
      <c r="O1" s="215"/>
      <c r="P1" s="215"/>
      <c r="Q1" s="215"/>
      <c r="R1" s="215"/>
      <c r="S1" s="215"/>
      <c r="T1" s="215"/>
      <c r="U1" s="215"/>
      <c r="V1" s="216" t="s">
        <v>238</v>
      </c>
      <c r="W1" s="217"/>
      <c r="X1" s="217"/>
      <c r="Y1" s="217"/>
      <c r="Z1" s="217"/>
      <c r="AA1" s="217"/>
      <c r="AB1" s="217"/>
      <c r="AC1" s="217"/>
      <c r="AD1" s="217"/>
      <c r="AE1" s="216"/>
      <c r="AF1" s="22" t="s">
        <v>181</v>
      </c>
      <c r="AG1" s="22" t="s">
        <v>181</v>
      </c>
      <c r="AH1" s="23" t="s">
        <v>142</v>
      </c>
      <c r="AI1" s="24" t="s">
        <v>20</v>
      </c>
      <c r="AJ1" s="24" t="s">
        <v>5</v>
      </c>
      <c r="AK1" s="21" t="s">
        <v>142</v>
      </c>
      <c r="AL1" s="17" t="s">
        <v>21</v>
      </c>
      <c r="AM1" s="17" t="s">
        <v>56</v>
      </c>
      <c r="AN1" s="17" t="s">
        <v>144</v>
      </c>
      <c r="AO1" s="17" t="s">
        <v>145</v>
      </c>
      <c r="AP1" s="25"/>
      <c r="AQ1" s="25"/>
      <c r="AR1" s="25"/>
      <c r="AS1" s="25"/>
      <c r="AT1" s="25"/>
      <c r="AU1" s="25"/>
      <c r="AV1" s="25"/>
      <c r="AW1" s="25"/>
      <c r="AX1" s="25"/>
      <c r="AY1" s="25"/>
      <c r="AZ1" s="25"/>
    </row>
    <row r="2" spans="1:52" ht="122.4" x14ac:dyDescent="0.25">
      <c r="A2" s="26" t="s">
        <v>98</v>
      </c>
      <c r="B2" s="27"/>
      <c r="C2" s="27" t="s">
        <v>223</v>
      </c>
      <c r="D2" s="28"/>
      <c r="E2" s="27" t="s">
        <v>237</v>
      </c>
      <c r="F2" s="28"/>
      <c r="G2" s="28" t="s">
        <v>28</v>
      </c>
      <c r="H2" s="29"/>
      <c r="I2" s="30" t="s">
        <v>10</v>
      </c>
      <c r="J2" s="31"/>
      <c r="K2" s="27">
        <v>2000</v>
      </c>
      <c r="L2" s="27">
        <v>2001</v>
      </c>
      <c r="M2" s="27">
        <v>2002</v>
      </c>
      <c r="N2" s="27">
        <v>2003</v>
      </c>
      <c r="O2" s="27">
        <v>2004</v>
      </c>
      <c r="P2" s="27">
        <v>2005</v>
      </c>
      <c r="Q2" s="27">
        <v>2006</v>
      </c>
      <c r="R2" s="27">
        <v>2007</v>
      </c>
      <c r="S2" s="27">
        <v>2008</v>
      </c>
      <c r="T2" s="27">
        <v>2009</v>
      </c>
      <c r="U2" s="27" t="s">
        <v>237</v>
      </c>
      <c r="V2" s="28" t="s">
        <v>137</v>
      </c>
      <c r="W2" s="28" t="s">
        <v>140</v>
      </c>
      <c r="X2" s="28" t="s">
        <v>163</v>
      </c>
      <c r="Y2" s="28" t="s">
        <v>43</v>
      </c>
      <c r="Z2" s="28" t="s">
        <v>100</v>
      </c>
      <c r="AA2" s="28" t="s">
        <v>152</v>
      </c>
      <c r="AB2" s="28" t="s">
        <v>61</v>
      </c>
      <c r="AC2" s="28" t="s">
        <v>171</v>
      </c>
      <c r="AD2" s="28" t="s">
        <v>208</v>
      </c>
      <c r="AE2" s="29" t="s">
        <v>120</v>
      </c>
      <c r="AF2" s="32" t="s">
        <v>4</v>
      </c>
      <c r="AG2" s="32" t="s">
        <v>138</v>
      </c>
      <c r="AH2" s="33"/>
      <c r="AI2" s="30" t="s">
        <v>175</v>
      </c>
      <c r="AJ2" s="30" t="s">
        <v>57</v>
      </c>
      <c r="AK2" s="31"/>
      <c r="AL2" s="27"/>
      <c r="AM2" s="27"/>
      <c r="AN2" s="27"/>
      <c r="AO2" s="27"/>
      <c r="AP2" s="34"/>
      <c r="AQ2" s="34"/>
      <c r="AR2" s="34"/>
      <c r="AS2" s="34"/>
      <c r="AT2" s="34"/>
      <c r="AU2" s="34"/>
      <c r="AV2" s="34"/>
      <c r="AW2" s="34"/>
      <c r="AX2" s="34"/>
      <c r="AY2" s="34"/>
      <c r="AZ2" s="34"/>
    </row>
    <row r="3" spans="1:52" ht="39.6" x14ac:dyDescent="0.25">
      <c r="A3" s="16" t="s">
        <v>125</v>
      </c>
      <c r="B3" s="35" t="s">
        <v>129</v>
      </c>
      <c r="C3" s="36">
        <v>75000000000</v>
      </c>
      <c r="D3" s="37" t="s">
        <v>1</v>
      </c>
      <c r="E3" s="36">
        <v>41400000</v>
      </c>
      <c r="F3" s="37" t="s">
        <v>33</v>
      </c>
      <c r="G3" s="37"/>
      <c r="H3" s="38"/>
      <c r="I3" s="39">
        <f t="shared" ref="I3:I26" si="0">C3/E3</f>
        <v>1811.5942028985507</v>
      </c>
      <c r="J3" s="40"/>
      <c r="K3" s="41">
        <v>24000000</v>
      </c>
      <c r="L3" s="41">
        <v>24400000</v>
      </c>
      <c r="M3" s="41">
        <v>25900000</v>
      </c>
      <c r="N3" s="41">
        <v>27700000</v>
      </c>
      <c r="O3" s="41">
        <v>29800000</v>
      </c>
      <c r="P3" s="41">
        <v>31900000</v>
      </c>
      <c r="Q3" s="41">
        <v>33700000</v>
      </c>
      <c r="R3" s="41">
        <v>38000000</v>
      </c>
      <c r="S3" s="41">
        <v>39000000</v>
      </c>
      <c r="T3" s="41">
        <v>37300000</v>
      </c>
      <c r="U3" s="41">
        <v>41400000</v>
      </c>
      <c r="V3" s="42">
        <f t="shared" ref="V3:V23" si="1">((L3-K3)/K3)*100</f>
        <v>1.6666666666666667</v>
      </c>
      <c r="W3" s="42">
        <f t="shared" ref="W3:W23" si="2">((M3-L3)/L3)*100</f>
        <v>6.1475409836065573</v>
      </c>
      <c r="X3" s="42">
        <f t="shared" ref="X3:X23" si="3">((N3-M3)/M3)*100</f>
        <v>6.9498069498069501</v>
      </c>
      <c r="Y3" s="42">
        <f t="shared" ref="Y3:Y23" si="4">((O3-N3)/N3)*100</f>
        <v>7.5812274368231041</v>
      </c>
      <c r="Z3" s="42">
        <f t="shared" ref="Z3:Z23" si="5">((P3-O3)/O3)*100</f>
        <v>7.0469798657718119</v>
      </c>
      <c r="AA3" s="42">
        <f t="shared" ref="AA3:AA23" si="6">((Q3-P3)/P3)*100</f>
        <v>5.6426332288401255</v>
      </c>
      <c r="AB3" s="42">
        <f t="shared" ref="AB3:AB23" si="7">((R3-Q3)/Q3)*100</f>
        <v>12.759643916913946</v>
      </c>
      <c r="AC3" s="42">
        <f t="shared" ref="AC3:AC23" si="8">((S3-R3)/R3)*100</f>
        <v>2.6315789473684208</v>
      </c>
      <c r="AD3" s="42">
        <f t="shared" ref="AD3:AD23" si="9">((T3-S3)/S3)*100</f>
        <v>-4.3589743589743586</v>
      </c>
      <c r="AE3" s="43">
        <f t="shared" ref="AE3:AE23" si="10">((U3-T3)/T3)*100</f>
        <v>10.991957104557642</v>
      </c>
      <c r="AF3" s="44">
        <f t="shared" ref="AF3:AF23" si="11">AVERAGE(V3:AE3)</f>
        <v>5.7059060741380865</v>
      </c>
      <c r="AG3" s="44">
        <f t="shared" ref="AG3:AG26" si="12">AF3/100</f>
        <v>5.7059060741380868E-2</v>
      </c>
      <c r="AH3" s="45"/>
      <c r="AI3" s="46">
        <f t="shared" ref="AI3:AI26" si="13">LN(((AG3*I3)+1))/AG3</f>
        <v>81.458084804424189</v>
      </c>
      <c r="AJ3" s="46">
        <f t="shared" ref="AJ3:AJ26" si="14">AI3*1.25</f>
        <v>101.82260600553023</v>
      </c>
      <c r="AK3" s="40"/>
      <c r="AL3" s="35" t="s">
        <v>232</v>
      </c>
      <c r="AM3" s="35" t="s">
        <v>134</v>
      </c>
      <c r="AN3" s="35"/>
      <c r="AO3" s="35"/>
      <c r="AP3" s="47"/>
      <c r="AQ3" s="47"/>
      <c r="AR3" s="47"/>
      <c r="AS3" s="47"/>
      <c r="AT3" s="47"/>
      <c r="AU3" s="47"/>
      <c r="AV3" s="47"/>
      <c r="AW3" s="47"/>
      <c r="AX3" s="47"/>
      <c r="AY3" s="47"/>
      <c r="AZ3" s="47"/>
    </row>
    <row r="4" spans="1:52" ht="79.2" x14ac:dyDescent="0.25">
      <c r="A4" s="16" t="s">
        <v>213</v>
      </c>
      <c r="B4" s="35" t="s">
        <v>54</v>
      </c>
      <c r="C4" s="36">
        <v>1800000</v>
      </c>
      <c r="D4" s="37"/>
      <c r="E4" s="36">
        <v>135000</v>
      </c>
      <c r="F4" s="37" t="s">
        <v>53</v>
      </c>
      <c r="G4" s="48">
        <v>180000</v>
      </c>
      <c r="H4" s="38" t="s">
        <v>212</v>
      </c>
      <c r="I4" s="39">
        <f t="shared" si="0"/>
        <v>13.333333333333334</v>
      </c>
      <c r="J4" s="40"/>
      <c r="K4" s="41">
        <v>118000</v>
      </c>
      <c r="L4" s="41">
        <v>151000</v>
      </c>
      <c r="M4" s="41">
        <v>148000</v>
      </c>
      <c r="N4" s="41">
        <v>81600</v>
      </c>
      <c r="O4" s="41">
        <v>113000</v>
      </c>
      <c r="P4" s="41">
        <v>137000</v>
      </c>
      <c r="Q4" s="41">
        <v>134000</v>
      </c>
      <c r="R4" s="41">
        <v>170000</v>
      </c>
      <c r="S4" s="41">
        <v>197000</v>
      </c>
      <c r="T4" s="41">
        <v>155000</v>
      </c>
      <c r="U4" s="41">
        <v>135000</v>
      </c>
      <c r="V4" s="42">
        <f t="shared" si="1"/>
        <v>27.966101694915253</v>
      </c>
      <c r="W4" s="42">
        <f t="shared" si="2"/>
        <v>-1.9867549668874174</v>
      </c>
      <c r="X4" s="42">
        <f t="shared" si="3"/>
        <v>-44.86486486486487</v>
      </c>
      <c r="Y4" s="42">
        <f t="shared" si="4"/>
        <v>38.480392156862749</v>
      </c>
      <c r="Z4" s="42">
        <f t="shared" si="5"/>
        <v>21.238938053097346</v>
      </c>
      <c r="AA4" s="42">
        <f t="shared" si="6"/>
        <v>-2.1897810218978102</v>
      </c>
      <c r="AB4" s="42">
        <f t="shared" si="7"/>
        <v>26.865671641791046</v>
      </c>
      <c r="AC4" s="42">
        <f t="shared" si="8"/>
        <v>15.882352941176469</v>
      </c>
      <c r="AD4" s="42">
        <f>((T4-S4)/S4)*100</f>
        <v>-21.319796954314722</v>
      </c>
      <c r="AE4" s="43">
        <f t="shared" si="10"/>
        <v>-12.903225806451612</v>
      </c>
      <c r="AF4" s="44">
        <f t="shared" si="11"/>
        <v>4.7169032873426415</v>
      </c>
      <c r="AG4" s="44">
        <f t="shared" si="12"/>
        <v>4.7169032873426414E-2</v>
      </c>
      <c r="AH4" s="45"/>
      <c r="AI4" s="46">
        <f t="shared" si="13"/>
        <v>10.344021445625748</v>
      </c>
      <c r="AJ4" s="46">
        <f t="shared" si="14"/>
        <v>12.930026807032185</v>
      </c>
      <c r="AK4" s="40"/>
      <c r="AL4" s="35" t="s">
        <v>45</v>
      </c>
      <c r="AM4" s="35" t="s">
        <v>78</v>
      </c>
      <c r="AN4" s="35" t="s">
        <v>25</v>
      </c>
      <c r="AO4" s="35" t="s">
        <v>130</v>
      </c>
      <c r="AP4" s="47"/>
      <c r="AQ4" s="47"/>
      <c r="AR4" s="47"/>
      <c r="AS4" s="47"/>
      <c r="AT4" s="47"/>
      <c r="AU4" s="47"/>
      <c r="AV4" s="47"/>
      <c r="AW4" s="47"/>
      <c r="AX4" s="47"/>
      <c r="AY4" s="47"/>
      <c r="AZ4" s="47"/>
    </row>
    <row r="5" spans="1:52" ht="39.6" x14ac:dyDescent="0.25">
      <c r="A5" s="16" t="s">
        <v>73</v>
      </c>
      <c r="B5" s="35" t="s">
        <v>104</v>
      </c>
      <c r="C5" s="36">
        <v>660000</v>
      </c>
      <c r="D5" s="37" t="s">
        <v>124</v>
      </c>
      <c r="E5" s="36">
        <v>22000</v>
      </c>
      <c r="F5" s="37" t="s">
        <v>12</v>
      </c>
      <c r="G5" s="48">
        <v>21000</v>
      </c>
      <c r="H5" s="38" t="s">
        <v>183</v>
      </c>
      <c r="I5" s="39">
        <f t="shared" si="0"/>
        <v>30</v>
      </c>
      <c r="J5" s="40"/>
      <c r="K5" s="41">
        <v>19700</v>
      </c>
      <c r="L5" s="41">
        <v>18200</v>
      </c>
      <c r="M5" s="41">
        <v>15800</v>
      </c>
      <c r="N5" s="41">
        <v>16900</v>
      </c>
      <c r="O5" s="41">
        <v>18800</v>
      </c>
      <c r="P5" s="41">
        <v>19400</v>
      </c>
      <c r="Q5" s="41">
        <v>19300</v>
      </c>
      <c r="R5" s="41">
        <v>20400</v>
      </c>
      <c r="S5" s="41">
        <v>19600</v>
      </c>
      <c r="T5" s="41">
        <v>18800</v>
      </c>
      <c r="U5" s="41">
        <v>22000</v>
      </c>
      <c r="V5" s="42">
        <f t="shared" si="1"/>
        <v>-7.6142131979695442</v>
      </c>
      <c r="W5" s="42">
        <f t="shared" si="2"/>
        <v>-13.186813186813188</v>
      </c>
      <c r="X5" s="42">
        <f t="shared" si="3"/>
        <v>6.962025316455696</v>
      </c>
      <c r="Y5" s="42">
        <f t="shared" si="4"/>
        <v>11.242603550295858</v>
      </c>
      <c r="Z5" s="42">
        <f t="shared" si="5"/>
        <v>3.1914893617021276</v>
      </c>
      <c r="AA5" s="42">
        <f t="shared" si="6"/>
        <v>-0.51546391752577314</v>
      </c>
      <c r="AB5" s="42">
        <f t="shared" si="7"/>
        <v>5.6994818652849739</v>
      </c>
      <c r="AC5" s="42">
        <f t="shared" si="8"/>
        <v>-3.9215686274509802</v>
      </c>
      <c r="AD5" s="42">
        <f t="shared" si="9"/>
        <v>-4.0816326530612246</v>
      </c>
      <c r="AE5" s="43">
        <f t="shared" si="10"/>
        <v>17.021276595744681</v>
      </c>
      <c r="AF5" s="44">
        <f t="shared" si="11"/>
        <v>1.4797185106662627</v>
      </c>
      <c r="AG5" s="44">
        <f t="shared" si="12"/>
        <v>1.4797185106662628E-2</v>
      </c>
      <c r="AH5" s="49"/>
      <c r="AI5" s="46">
        <f t="shared" si="13"/>
        <v>24.826246002127647</v>
      </c>
      <c r="AJ5" s="46">
        <f t="shared" si="14"/>
        <v>31.032807502659558</v>
      </c>
      <c r="AK5" s="40"/>
      <c r="AL5" s="35" t="s">
        <v>191</v>
      </c>
      <c r="AM5" s="35" t="s">
        <v>106</v>
      </c>
      <c r="AN5" s="35" t="s">
        <v>40</v>
      </c>
      <c r="AO5" s="35" t="s">
        <v>165</v>
      </c>
      <c r="AP5" s="47"/>
      <c r="AQ5" s="47"/>
      <c r="AR5" s="47"/>
      <c r="AS5" s="47"/>
      <c r="AT5" s="47"/>
      <c r="AU5" s="47"/>
      <c r="AV5" s="47"/>
      <c r="AW5" s="47"/>
      <c r="AX5" s="47"/>
      <c r="AY5" s="47"/>
      <c r="AZ5" s="47"/>
    </row>
    <row r="6" spans="1:52" ht="39.6" x14ac:dyDescent="0.25">
      <c r="A6" s="16" t="s">
        <v>19</v>
      </c>
      <c r="B6" s="35" t="s">
        <v>46</v>
      </c>
      <c r="C6" s="36">
        <f>1000*350000</f>
        <v>350000000</v>
      </c>
      <c r="D6" s="37" t="s">
        <v>83</v>
      </c>
      <c r="E6" s="36">
        <f>22000*1000</f>
        <v>22000000</v>
      </c>
      <c r="F6" s="37" t="s">
        <v>41</v>
      </c>
      <c r="G6" s="48" t="s">
        <v>23</v>
      </c>
      <c r="H6" s="38"/>
      <c r="I6" s="39">
        <f t="shared" si="0"/>
        <v>15.909090909090908</v>
      </c>
      <c r="J6" s="40"/>
      <c r="K6" s="41">
        <v>14400000</v>
      </c>
      <c r="L6" s="41">
        <v>12100000</v>
      </c>
      <c r="M6" s="41">
        <v>13500000</v>
      </c>
      <c r="N6" s="41">
        <v>15500000</v>
      </c>
      <c r="O6" s="41">
        <v>17500000</v>
      </c>
      <c r="P6" s="41">
        <v>19300000</v>
      </c>
      <c r="Q6" s="41">
        <v>19600000</v>
      </c>
      <c r="R6" s="41">
        <v>21500000</v>
      </c>
      <c r="S6" s="41">
        <v>23800000</v>
      </c>
      <c r="T6" s="41">
        <v>19300000</v>
      </c>
      <c r="U6" s="41">
        <f>22000*1000</f>
        <v>22000000</v>
      </c>
      <c r="V6" s="42">
        <f t="shared" si="1"/>
        <v>-15.972222222222221</v>
      </c>
      <c r="W6" s="42">
        <f t="shared" si="2"/>
        <v>11.570247933884298</v>
      </c>
      <c r="X6" s="42">
        <f t="shared" si="3"/>
        <v>14.814814814814813</v>
      </c>
      <c r="Y6" s="42">
        <f t="shared" si="4"/>
        <v>12.903225806451612</v>
      </c>
      <c r="Z6" s="42">
        <f t="shared" si="5"/>
        <v>10.285714285714285</v>
      </c>
      <c r="AA6" s="42">
        <f t="shared" si="6"/>
        <v>1.5544041450777202</v>
      </c>
      <c r="AB6" s="42">
        <f t="shared" si="7"/>
        <v>9.6938775510204085</v>
      </c>
      <c r="AC6" s="42">
        <f t="shared" si="8"/>
        <v>10.697674418604651</v>
      </c>
      <c r="AD6" s="42">
        <f t="shared" si="9"/>
        <v>-18.907563025210084</v>
      </c>
      <c r="AE6" s="43">
        <f t="shared" si="10"/>
        <v>13.989637305699482</v>
      </c>
      <c r="AF6" s="44">
        <f t="shared" si="11"/>
        <v>5.062981101383496</v>
      </c>
      <c r="AG6" s="44">
        <f t="shared" si="12"/>
        <v>5.0629811013834958E-2</v>
      </c>
      <c r="AH6" s="45"/>
      <c r="AI6" s="46">
        <f t="shared" si="13"/>
        <v>11.669474895500352</v>
      </c>
      <c r="AJ6" s="46">
        <f t="shared" si="14"/>
        <v>14.58684361937544</v>
      </c>
      <c r="AK6" s="40"/>
      <c r="AL6" s="35" t="s">
        <v>24</v>
      </c>
      <c r="AM6" s="35" t="s">
        <v>107</v>
      </c>
      <c r="AN6" s="50"/>
      <c r="AO6" s="51"/>
      <c r="AP6" s="47"/>
      <c r="AQ6" s="47"/>
      <c r="AR6" s="47"/>
      <c r="AS6" s="47"/>
      <c r="AT6" s="47"/>
      <c r="AU6" s="47"/>
      <c r="AV6" s="47"/>
      <c r="AW6" s="47"/>
      <c r="AX6" s="47"/>
      <c r="AY6" s="47"/>
      <c r="AZ6" s="47"/>
    </row>
    <row r="7" spans="1:52" ht="52.8" x14ac:dyDescent="0.25">
      <c r="A7" s="16" t="s">
        <v>42</v>
      </c>
      <c r="B7" s="35" t="s">
        <v>159</v>
      </c>
      <c r="C7" s="36">
        <v>7300000</v>
      </c>
      <c r="D7" s="37"/>
      <c r="E7" s="36">
        <v>88000</v>
      </c>
      <c r="F7" s="37" t="s">
        <v>86</v>
      </c>
      <c r="G7" s="48"/>
      <c r="H7" s="38"/>
      <c r="I7" s="39">
        <f t="shared" si="0"/>
        <v>82.954545454545453</v>
      </c>
      <c r="J7" s="40"/>
      <c r="K7" s="41">
        <v>33300</v>
      </c>
      <c r="L7" s="41">
        <v>36700</v>
      </c>
      <c r="M7" s="41">
        <v>47600</v>
      </c>
      <c r="N7" s="41">
        <v>48400</v>
      </c>
      <c r="O7" s="41">
        <v>52400</v>
      </c>
      <c r="P7" s="41">
        <v>57900</v>
      </c>
      <c r="Q7" s="41">
        <v>67500</v>
      </c>
      <c r="R7" s="41">
        <v>65500</v>
      </c>
      <c r="S7" s="41">
        <v>75900</v>
      </c>
      <c r="T7" s="41">
        <v>72300</v>
      </c>
      <c r="U7" s="41">
        <v>88000</v>
      </c>
      <c r="V7" s="42">
        <f t="shared" si="1"/>
        <v>10.21021021021021</v>
      </c>
      <c r="W7" s="42">
        <f t="shared" si="2"/>
        <v>29.700272479564031</v>
      </c>
      <c r="X7" s="42">
        <f t="shared" si="3"/>
        <v>1.680672268907563</v>
      </c>
      <c r="Y7" s="42">
        <f t="shared" si="4"/>
        <v>8.2644628099173563</v>
      </c>
      <c r="Z7" s="42">
        <f t="shared" si="5"/>
        <v>10.496183206106871</v>
      </c>
      <c r="AA7" s="42">
        <f t="shared" si="6"/>
        <v>16.580310880829018</v>
      </c>
      <c r="AB7" s="42">
        <f t="shared" si="7"/>
        <v>-2.9629629629629632</v>
      </c>
      <c r="AC7" s="42">
        <f t="shared" si="8"/>
        <v>15.877862595419847</v>
      </c>
      <c r="AD7" s="42">
        <f t="shared" si="9"/>
        <v>-4.7430830039525684</v>
      </c>
      <c r="AE7" s="43">
        <f t="shared" si="10"/>
        <v>21.715076071922546</v>
      </c>
      <c r="AF7" s="44">
        <f t="shared" si="11"/>
        <v>10.681900455596193</v>
      </c>
      <c r="AG7" s="44">
        <f t="shared" si="12"/>
        <v>0.10681900455596192</v>
      </c>
      <c r="AH7" s="45"/>
      <c r="AI7" s="46">
        <f t="shared" si="13"/>
        <v>21.425026020401383</v>
      </c>
      <c r="AJ7" s="46">
        <f t="shared" si="14"/>
        <v>26.78128252550173</v>
      </c>
      <c r="AK7" s="40"/>
      <c r="AL7" s="35" t="s">
        <v>232</v>
      </c>
      <c r="AM7" s="35" t="s">
        <v>204</v>
      </c>
      <c r="AN7" s="50"/>
      <c r="AO7" s="51"/>
      <c r="AP7" s="47"/>
      <c r="AQ7" s="47"/>
      <c r="AR7" s="47"/>
      <c r="AS7" s="47"/>
      <c r="AT7" s="47"/>
      <c r="AU7" s="47"/>
      <c r="AV7" s="47"/>
      <c r="AW7" s="47"/>
      <c r="AX7" s="47"/>
      <c r="AY7" s="47"/>
      <c r="AZ7" s="47"/>
    </row>
    <row r="8" spans="1:52" ht="39.6" x14ac:dyDescent="0.25">
      <c r="A8" s="16" t="s">
        <v>6</v>
      </c>
      <c r="B8" s="35" t="s">
        <v>89</v>
      </c>
      <c r="C8" s="36">
        <f>630000*1000</f>
        <v>630000000</v>
      </c>
      <c r="D8" s="37" t="s">
        <v>52</v>
      </c>
      <c r="E8" s="36">
        <f>16200*1000</f>
        <v>16200000</v>
      </c>
      <c r="F8" s="37" t="s">
        <v>36</v>
      </c>
      <c r="G8" s="48">
        <v>19327000</v>
      </c>
      <c r="H8" s="38" t="s">
        <v>193</v>
      </c>
      <c r="I8" s="39">
        <f t="shared" si="0"/>
        <v>38.888888888888886</v>
      </c>
      <c r="J8" s="40"/>
      <c r="K8" s="41">
        <v>13200000</v>
      </c>
      <c r="L8" s="41">
        <v>13700000</v>
      </c>
      <c r="M8" s="41">
        <v>13600000</v>
      </c>
      <c r="N8" s="41">
        <v>13600000</v>
      </c>
      <c r="O8" s="41">
        <v>14600000</v>
      </c>
      <c r="P8" s="41">
        <v>15000000</v>
      </c>
      <c r="Q8" s="41">
        <v>15100000</v>
      </c>
      <c r="R8" s="41">
        <v>15400000</v>
      </c>
      <c r="S8" s="41">
        <v>15400000</v>
      </c>
      <c r="T8" s="41">
        <v>15900000</v>
      </c>
      <c r="U8" s="41">
        <f>16200*1000</f>
        <v>16200000</v>
      </c>
      <c r="V8" s="42">
        <f t="shared" si="1"/>
        <v>3.7878787878787881</v>
      </c>
      <c r="W8" s="42">
        <f t="shared" si="2"/>
        <v>-0.72992700729927007</v>
      </c>
      <c r="X8" s="42">
        <f t="shared" si="3"/>
        <v>0</v>
      </c>
      <c r="Y8" s="42">
        <f t="shared" si="4"/>
        <v>7.3529411764705888</v>
      </c>
      <c r="Z8" s="42">
        <f t="shared" si="5"/>
        <v>2.7397260273972601</v>
      </c>
      <c r="AA8" s="42">
        <f t="shared" si="6"/>
        <v>0.66666666666666674</v>
      </c>
      <c r="AB8" s="42">
        <f t="shared" si="7"/>
        <v>1.9867549668874174</v>
      </c>
      <c r="AC8" s="42">
        <f t="shared" si="8"/>
        <v>0</v>
      </c>
      <c r="AD8" s="42">
        <f t="shared" si="9"/>
        <v>3.2467532467532463</v>
      </c>
      <c r="AE8" s="43">
        <f t="shared" si="10"/>
        <v>1.8867924528301887</v>
      </c>
      <c r="AF8" s="44">
        <f t="shared" si="11"/>
        <v>2.0937586317584889</v>
      </c>
      <c r="AG8" s="44">
        <f t="shared" si="12"/>
        <v>2.093758631758489E-2</v>
      </c>
      <c r="AH8" s="45"/>
      <c r="AI8" s="46">
        <f t="shared" si="13"/>
        <v>28.449619020964334</v>
      </c>
      <c r="AJ8" s="46">
        <f t="shared" si="14"/>
        <v>35.562023776205422</v>
      </c>
      <c r="AK8" s="40"/>
      <c r="AL8" s="35" t="s">
        <v>216</v>
      </c>
      <c r="AM8" s="35" t="s">
        <v>109</v>
      </c>
      <c r="AN8" s="35" t="s">
        <v>179</v>
      </c>
      <c r="AO8" s="35"/>
      <c r="AP8" s="47"/>
      <c r="AQ8" s="47"/>
      <c r="AR8" s="47"/>
      <c r="AS8" s="47"/>
      <c r="AT8" s="47"/>
      <c r="AU8" s="47"/>
      <c r="AV8" s="47"/>
      <c r="AW8" s="47"/>
      <c r="AX8" s="47"/>
      <c r="AY8" s="47"/>
      <c r="AZ8" s="47"/>
    </row>
    <row r="9" spans="1:52" ht="52.8" x14ac:dyDescent="0.25">
      <c r="A9" s="16" t="s">
        <v>13</v>
      </c>
      <c r="B9" s="35" t="s">
        <v>133</v>
      </c>
      <c r="C9" s="36">
        <v>51000</v>
      </c>
      <c r="D9" s="37"/>
      <c r="E9" s="36">
        <v>2500</v>
      </c>
      <c r="F9" s="37" t="s">
        <v>36</v>
      </c>
      <c r="G9" s="48">
        <v>3970.5</v>
      </c>
      <c r="H9" s="38"/>
      <c r="I9" s="39">
        <f t="shared" si="0"/>
        <v>20.399999999999999</v>
      </c>
      <c r="J9" s="40"/>
      <c r="K9" s="41">
        <v>2550</v>
      </c>
      <c r="L9" s="41">
        <v>2570</v>
      </c>
      <c r="M9" s="41">
        <v>2550</v>
      </c>
      <c r="N9" s="41">
        <v>2590</v>
      </c>
      <c r="O9" s="41">
        <v>2430</v>
      </c>
      <c r="P9" s="41">
        <v>2470</v>
      </c>
      <c r="Q9" s="41">
        <v>2500</v>
      </c>
      <c r="R9" s="41">
        <v>2380</v>
      </c>
      <c r="S9" s="41">
        <v>2260</v>
      </c>
      <c r="T9" s="41">
        <v>2450</v>
      </c>
      <c r="U9" s="41">
        <v>2500</v>
      </c>
      <c r="V9" s="42">
        <f t="shared" si="1"/>
        <v>0.78431372549019607</v>
      </c>
      <c r="W9" s="42">
        <f t="shared" si="2"/>
        <v>-0.77821011673151752</v>
      </c>
      <c r="X9" s="42">
        <f t="shared" si="3"/>
        <v>1.5686274509803921</v>
      </c>
      <c r="Y9" s="42">
        <f t="shared" si="4"/>
        <v>-6.1776061776061777</v>
      </c>
      <c r="Z9" s="42">
        <f t="shared" si="5"/>
        <v>1.6460905349794239</v>
      </c>
      <c r="AA9" s="42">
        <f t="shared" si="6"/>
        <v>1.214574898785425</v>
      </c>
      <c r="AB9" s="42">
        <f t="shared" si="7"/>
        <v>-4.8</v>
      </c>
      <c r="AC9" s="42">
        <f t="shared" si="8"/>
        <v>-5.0420168067226889</v>
      </c>
      <c r="AD9" s="42">
        <f t="shared" si="9"/>
        <v>8.4070796460176993</v>
      </c>
      <c r="AE9" s="43">
        <f t="shared" si="10"/>
        <v>2.0408163265306123</v>
      </c>
      <c r="AF9" s="44">
        <f t="shared" si="11"/>
        <v>-0.11363305182766345</v>
      </c>
      <c r="AG9" s="44">
        <f t="shared" si="12"/>
        <v>-1.1363305182766346E-3</v>
      </c>
      <c r="AH9" s="45"/>
      <c r="AI9" s="46">
        <f t="shared" si="13"/>
        <v>20.64016646952404</v>
      </c>
      <c r="AJ9" s="46">
        <f t="shared" si="14"/>
        <v>25.800208086905052</v>
      </c>
      <c r="AK9" s="40"/>
      <c r="AL9" s="35" t="s">
        <v>196</v>
      </c>
      <c r="AM9" s="35" t="s">
        <v>32</v>
      </c>
      <c r="AN9" s="35" t="s">
        <v>75</v>
      </c>
      <c r="AO9" s="35" t="s">
        <v>135</v>
      </c>
      <c r="AP9" s="47"/>
      <c r="AQ9" s="47"/>
      <c r="AR9" s="47"/>
      <c r="AS9" s="47"/>
      <c r="AT9" s="47"/>
      <c r="AU9" s="47"/>
      <c r="AV9" s="47"/>
      <c r="AW9" s="47"/>
      <c r="AX9" s="47"/>
      <c r="AY9" s="47"/>
      <c r="AZ9" s="47"/>
    </row>
    <row r="10" spans="1:52" ht="26.4" x14ac:dyDescent="0.25">
      <c r="A10" s="16" t="s">
        <v>31</v>
      </c>
      <c r="B10" s="35" t="s">
        <v>158</v>
      </c>
      <c r="C10" s="36">
        <v>71000000</v>
      </c>
      <c r="D10" s="37"/>
      <c r="E10" s="36">
        <v>1100000</v>
      </c>
      <c r="F10" s="37" t="s">
        <v>86</v>
      </c>
      <c r="G10" s="37"/>
      <c r="H10" s="38"/>
      <c r="I10" s="39">
        <f t="shared" si="0"/>
        <v>64.545454545454547</v>
      </c>
      <c r="J10" s="40"/>
      <c r="K10" s="41">
        <v>571000</v>
      </c>
      <c r="L10" s="41">
        <v>826000</v>
      </c>
      <c r="M10" s="41">
        <v>810000</v>
      </c>
      <c r="N10" s="41">
        <v>742000</v>
      </c>
      <c r="O10" s="41">
        <v>982000</v>
      </c>
      <c r="P10" s="41">
        <v>1060000</v>
      </c>
      <c r="Q10" s="41">
        <v>1030000</v>
      </c>
      <c r="R10" s="41">
        <v>1110000</v>
      </c>
      <c r="S10" s="41">
        <v>1120000</v>
      </c>
      <c r="T10" s="41">
        <v>1100000</v>
      </c>
      <c r="U10" s="41">
        <v>1100000</v>
      </c>
      <c r="V10" s="42">
        <f t="shared" si="1"/>
        <v>44.658493870402808</v>
      </c>
      <c r="W10" s="42">
        <f t="shared" si="2"/>
        <v>-1.937046004842615</v>
      </c>
      <c r="X10" s="42">
        <f t="shared" si="3"/>
        <v>-8.3950617283950617</v>
      </c>
      <c r="Y10" s="42">
        <f t="shared" si="4"/>
        <v>32.345013477088948</v>
      </c>
      <c r="Z10" s="42">
        <f t="shared" si="5"/>
        <v>7.9429735234215881</v>
      </c>
      <c r="AA10" s="42">
        <f t="shared" si="6"/>
        <v>-2.8301886792452833</v>
      </c>
      <c r="AB10" s="42">
        <f t="shared" si="7"/>
        <v>7.7669902912621351</v>
      </c>
      <c r="AC10" s="42">
        <f t="shared" si="8"/>
        <v>0.90090090090090091</v>
      </c>
      <c r="AD10" s="42">
        <f t="shared" si="9"/>
        <v>-1.7857142857142856</v>
      </c>
      <c r="AE10" s="43">
        <f t="shared" si="10"/>
        <v>0</v>
      </c>
      <c r="AF10" s="44">
        <f t="shared" si="11"/>
        <v>7.866636136487914</v>
      </c>
      <c r="AG10" s="44">
        <f t="shared" si="12"/>
        <v>7.8666361364879145E-2</v>
      </c>
      <c r="AH10" s="45"/>
      <c r="AI10" s="46">
        <f t="shared" si="13"/>
        <v>22.939953223750017</v>
      </c>
      <c r="AJ10" s="46">
        <f t="shared" si="14"/>
        <v>28.674941529687523</v>
      </c>
      <c r="AK10" s="40"/>
      <c r="AL10" s="35"/>
      <c r="AM10" s="35"/>
      <c r="AN10" s="35"/>
      <c r="AO10" s="35"/>
      <c r="AP10" s="47"/>
      <c r="AQ10" s="47"/>
      <c r="AR10" s="47"/>
      <c r="AS10" s="47"/>
      <c r="AT10" s="47"/>
      <c r="AU10" s="47"/>
      <c r="AV10" s="47"/>
      <c r="AW10" s="47"/>
      <c r="AX10" s="47"/>
      <c r="AY10" s="47"/>
      <c r="AZ10" s="47"/>
    </row>
    <row r="11" spans="1:52" ht="66" x14ac:dyDescent="0.25">
      <c r="A11" s="16" t="s">
        <v>176</v>
      </c>
      <c r="B11" s="35" t="s">
        <v>164</v>
      </c>
      <c r="C11" s="36">
        <v>11000</v>
      </c>
      <c r="D11" s="37" t="s">
        <v>153</v>
      </c>
      <c r="E11" s="17">
        <v>574</v>
      </c>
      <c r="F11" s="37" t="s">
        <v>121</v>
      </c>
      <c r="G11" s="37" t="s">
        <v>23</v>
      </c>
      <c r="H11" s="38"/>
      <c r="I11" s="39">
        <f t="shared" si="0"/>
        <v>19.16376306620209</v>
      </c>
      <c r="J11" s="40"/>
      <c r="K11" s="41">
        <v>335</v>
      </c>
      <c r="L11" s="41">
        <v>345</v>
      </c>
      <c r="M11" s="41">
        <v>335</v>
      </c>
      <c r="N11" s="41">
        <v>370</v>
      </c>
      <c r="O11" s="41">
        <v>405</v>
      </c>
      <c r="P11" s="41">
        <v>500</v>
      </c>
      <c r="Q11" s="41">
        <v>580</v>
      </c>
      <c r="R11" s="41">
        <v>563</v>
      </c>
      <c r="S11" s="41">
        <v>570</v>
      </c>
      <c r="T11" s="41">
        <v>546</v>
      </c>
      <c r="U11" s="35">
        <v>574</v>
      </c>
      <c r="V11" s="42">
        <f t="shared" si="1"/>
        <v>2.9850746268656714</v>
      </c>
      <c r="W11" s="42">
        <f t="shared" si="2"/>
        <v>-2.8985507246376812</v>
      </c>
      <c r="X11" s="42">
        <f t="shared" si="3"/>
        <v>10.44776119402985</v>
      </c>
      <c r="Y11" s="42">
        <f t="shared" si="4"/>
        <v>9.4594594594594597</v>
      </c>
      <c r="Z11" s="42">
        <f t="shared" si="5"/>
        <v>23.456790123456788</v>
      </c>
      <c r="AA11" s="42">
        <f t="shared" si="6"/>
        <v>16</v>
      </c>
      <c r="AB11" s="42">
        <f t="shared" si="7"/>
        <v>-2.9310344827586206</v>
      </c>
      <c r="AC11" s="42">
        <f t="shared" si="8"/>
        <v>1.2433392539964476</v>
      </c>
      <c r="AD11" s="42">
        <f t="shared" si="9"/>
        <v>-4.2105263157894735</v>
      </c>
      <c r="AE11" s="43">
        <f t="shared" si="10"/>
        <v>5.1282051282051277</v>
      </c>
      <c r="AF11" s="44">
        <f t="shared" si="11"/>
        <v>5.8680518262827563</v>
      </c>
      <c r="AG11" s="44">
        <f t="shared" si="12"/>
        <v>5.8680518262827566E-2</v>
      </c>
      <c r="AH11" s="45"/>
      <c r="AI11" s="46">
        <f t="shared" si="13"/>
        <v>12.841657132371855</v>
      </c>
      <c r="AJ11" s="46">
        <f t="shared" si="14"/>
        <v>16.05207141546482</v>
      </c>
      <c r="AK11" s="40"/>
      <c r="AL11" s="35" t="s">
        <v>198</v>
      </c>
      <c r="AM11" s="35" t="s">
        <v>210</v>
      </c>
      <c r="AN11" s="35" t="s">
        <v>182</v>
      </c>
      <c r="AO11" s="35"/>
      <c r="AP11" s="47"/>
      <c r="AQ11" s="47"/>
      <c r="AR11" s="47"/>
      <c r="AS11" s="47"/>
      <c r="AT11" s="47"/>
      <c r="AU11" s="47"/>
      <c r="AV11" s="47"/>
      <c r="AW11" s="47"/>
      <c r="AX11" s="47"/>
      <c r="AY11" s="47"/>
      <c r="AZ11" s="47"/>
    </row>
    <row r="12" spans="1:52" ht="39.6" x14ac:dyDescent="0.25">
      <c r="A12" s="16" t="s">
        <v>7</v>
      </c>
      <c r="B12" s="35" t="s">
        <v>119</v>
      </c>
      <c r="C12" s="36">
        <v>80000000</v>
      </c>
      <c r="D12" s="37"/>
      <c r="E12" s="36">
        <v>4100000</v>
      </c>
      <c r="F12" s="37" t="s">
        <v>86</v>
      </c>
      <c r="G12" s="48" t="s">
        <v>23</v>
      </c>
      <c r="H12" s="38"/>
      <c r="I12" s="39">
        <f t="shared" si="0"/>
        <v>19.512195121951219</v>
      </c>
      <c r="J12" s="40"/>
      <c r="K12" s="41">
        <v>3100000</v>
      </c>
      <c r="L12" s="41">
        <v>3100000</v>
      </c>
      <c r="M12" s="41">
        <v>2910000</v>
      </c>
      <c r="N12" s="41">
        <v>2950000</v>
      </c>
      <c r="O12" s="41">
        <v>3150000</v>
      </c>
      <c r="P12" s="41">
        <v>3270000</v>
      </c>
      <c r="Q12" s="41">
        <v>3470000</v>
      </c>
      <c r="R12" s="41">
        <v>3770000</v>
      </c>
      <c r="S12" s="41">
        <v>3840000</v>
      </c>
      <c r="T12" s="41">
        <v>3860000</v>
      </c>
      <c r="U12" s="41">
        <v>4100000</v>
      </c>
      <c r="V12" s="42">
        <f t="shared" si="1"/>
        <v>0</v>
      </c>
      <c r="W12" s="42">
        <f t="shared" si="2"/>
        <v>-6.129032258064516</v>
      </c>
      <c r="X12" s="42">
        <f t="shared" si="3"/>
        <v>1.3745704467353952</v>
      </c>
      <c r="Y12" s="42">
        <f t="shared" si="4"/>
        <v>6.7796610169491522</v>
      </c>
      <c r="Z12" s="42">
        <f t="shared" si="5"/>
        <v>3.8095238095238098</v>
      </c>
      <c r="AA12" s="42">
        <f t="shared" si="6"/>
        <v>6.1162079510703364</v>
      </c>
      <c r="AB12" s="42">
        <f t="shared" si="7"/>
        <v>8.6455331412103753</v>
      </c>
      <c r="AC12" s="42">
        <f t="shared" si="8"/>
        <v>1.8567639257294428</v>
      </c>
      <c r="AD12" s="42">
        <f t="shared" si="9"/>
        <v>0.52083333333333326</v>
      </c>
      <c r="AE12" s="43">
        <f t="shared" si="10"/>
        <v>6.2176165803108807</v>
      </c>
      <c r="AF12" s="44">
        <f t="shared" si="11"/>
        <v>2.9191677946798209</v>
      </c>
      <c r="AG12" s="44">
        <f t="shared" si="12"/>
        <v>2.9191677946798208E-2</v>
      </c>
      <c r="AH12" s="45"/>
      <c r="AI12" s="46">
        <f t="shared" si="13"/>
        <v>15.443333099835046</v>
      </c>
      <c r="AJ12" s="46">
        <f t="shared" si="14"/>
        <v>19.304166374793809</v>
      </c>
      <c r="AK12" s="40"/>
      <c r="AL12" s="35" t="s">
        <v>232</v>
      </c>
      <c r="AM12" s="35" t="s">
        <v>49</v>
      </c>
      <c r="AN12" s="35"/>
      <c r="AO12" s="35"/>
      <c r="AP12" s="47"/>
      <c r="AQ12" s="47"/>
      <c r="AR12" s="47"/>
      <c r="AS12" s="47"/>
      <c r="AT12" s="47"/>
      <c r="AU12" s="47"/>
      <c r="AV12" s="47"/>
      <c r="AW12" s="47"/>
      <c r="AX12" s="47"/>
      <c r="AY12" s="47"/>
      <c r="AZ12" s="47"/>
    </row>
    <row r="13" spans="1:52" ht="39.6" x14ac:dyDescent="0.25">
      <c r="A13" s="16" t="s">
        <v>199</v>
      </c>
      <c r="B13" s="35" t="s">
        <v>88</v>
      </c>
      <c r="C13" s="36">
        <v>630000000</v>
      </c>
      <c r="D13" s="37"/>
      <c r="E13" s="36">
        <v>13000000</v>
      </c>
      <c r="F13" s="37" t="s">
        <v>86</v>
      </c>
      <c r="G13" s="48" t="s">
        <v>23</v>
      </c>
      <c r="H13" s="38"/>
      <c r="I13" s="39">
        <f t="shared" si="0"/>
        <v>48.46153846153846</v>
      </c>
      <c r="J13" s="40"/>
      <c r="K13" s="41">
        <v>7280000</v>
      </c>
      <c r="L13" s="41">
        <v>7600000</v>
      </c>
      <c r="M13" s="41">
        <v>8100000</v>
      </c>
      <c r="N13" s="41">
        <v>8200000</v>
      </c>
      <c r="O13" s="41">
        <v>9350000</v>
      </c>
      <c r="P13" s="41">
        <v>10500000</v>
      </c>
      <c r="Q13" s="41">
        <v>11900000</v>
      </c>
      <c r="R13" s="41">
        <v>12600000</v>
      </c>
      <c r="S13" s="41">
        <v>13300000</v>
      </c>
      <c r="T13" s="41">
        <v>10800000</v>
      </c>
      <c r="U13" s="41">
        <v>13000000</v>
      </c>
      <c r="V13" s="42">
        <f t="shared" si="1"/>
        <v>4.395604395604396</v>
      </c>
      <c r="W13" s="42">
        <f t="shared" si="2"/>
        <v>6.5789473684210522</v>
      </c>
      <c r="X13" s="42">
        <f t="shared" si="3"/>
        <v>1.2345679012345678</v>
      </c>
      <c r="Y13" s="42">
        <f t="shared" si="4"/>
        <v>14.02439024390244</v>
      </c>
      <c r="Z13" s="42">
        <f t="shared" si="5"/>
        <v>12.299465240641712</v>
      </c>
      <c r="AA13" s="42">
        <f t="shared" si="6"/>
        <v>13.333333333333334</v>
      </c>
      <c r="AB13" s="42">
        <f t="shared" si="7"/>
        <v>5.8823529411764701</v>
      </c>
      <c r="AC13" s="42">
        <f t="shared" si="8"/>
        <v>5.5555555555555554</v>
      </c>
      <c r="AD13" s="42">
        <f t="shared" si="9"/>
        <v>-18.796992481203006</v>
      </c>
      <c r="AE13" s="43">
        <f t="shared" si="10"/>
        <v>20.37037037037037</v>
      </c>
      <c r="AF13" s="44">
        <f t="shared" si="11"/>
        <v>6.4877594869036894</v>
      </c>
      <c r="AG13" s="44">
        <f t="shared" si="12"/>
        <v>6.4877594869036895E-2</v>
      </c>
      <c r="AH13" s="45"/>
      <c r="AI13" s="46">
        <f t="shared" si="13"/>
        <v>21.913234163583891</v>
      </c>
      <c r="AJ13" s="46">
        <f t="shared" si="14"/>
        <v>27.391542704479864</v>
      </c>
      <c r="AK13" s="40"/>
      <c r="AL13" s="35" t="s">
        <v>232</v>
      </c>
      <c r="AM13" s="35" t="s">
        <v>94</v>
      </c>
      <c r="AN13" s="35"/>
      <c r="AO13" s="35"/>
      <c r="AP13" s="47"/>
      <c r="AQ13" s="47"/>
      <c r="AR13" s="47"/>
      <c r="AS13" s="47"/>
      <c r="AT13" s="47"/>
      <c r="AU13" s="47"/>
      <c r="AV13" s="47"/>
      <c r="AW13" s="47"/>
      <c r="AX13" s="47"/>
      <c r="AY13" s="47"/>
      <c r="AZ13" s="47"/>
    </row>
    <row r="14" spans="1:52" ht="52.8" x14ac:dyDescent="0.25">
      <c r="A14" s="16" t="s">
        <v>141</v>
      </c>
      <c r="B14" s="35" t="s">
        <v>110</v>
      </c>
      <c r="C14" s="36">
        <v>9800000</v>
      </c>
      <c r="D14" s="37"/>
      <c r="E14" s="36">
        <v>234000</v>
      </c>
      <c r="F14" s="37" t="s">
        <v>86</v>
      </c>
      <c r="G14" s="48"/>
      <c r="H14" s="38"/>
      <c r="I14" s="39">
        <f t="shared" si="0"/>
        <v>41.880341880341881</v>
      </c>
      <c r="J14" s="40"/>
      <c r="K14" s="41">
        <v>129000</v>
      </c>
      <c r="L14" s="41">
        <v>130000</v>
      </c>
      <c r="M14" s="41">
        <v>123000</v>
      </c>
      <c r="N14" s="41">
        <v>125000</v>
      </c>
      <c r="O14" s="41">
        <v>141000</v>
      </c>
      <c r="P14" s="41">
        <v>185000</v>
      </c>
      <c r="Q14" s="41">
        <v>184000</v>
      </c>
      <c r="R14" s="41">
        <v>205000</v>
      </c>
      <c r="S14" s="41">
        <v>218000</v>
      </c>
      <c r="T14" s="41">
        <v>221000</v>
      </c>
      <c r="U14" s="41">
        <v>234000</v>
      </c>
      <c r="V14" s="42">
        <f t="shared" si="1"/>
        <v>0.77519379844961245</v>
      </c>
      <c r="W14" s="42">
        <f t="shared" si="2"/>
        <v>-5.384615384615385</v>
      </c>
      <c r="X14" s="42">
        <f t="shared" si="3"/>
        <v>1.6260162601626018</v>
      </c>
      <c r="Y14" s="42">
        <f t="shared" si="4"/>
        <v>12.8</v>
      </c>
      <c r="Z14" s="42">
        <f t="shared" si="5"/>
        <v>31.205673758865249</v>
      </c>
      <c r="AA14" s="42">
        <f t="shared" si="6"/>
        <v>-0.54054054054054057</v>
      </c>
      <c r="AB14" s="42">
        <f t="shared" si="7"/>
        <v>11.413043478260869</v>
      </c>
      <c r="AC14" s="42">
        <f t="shared" si="8"/>
        <v>6.3414634146341466</v>
      </c>
      <c r="AD14" s="42">
        <f t="shared" si="9"/>
        <v>1.3761467889908259</v>
      </c>
      <c r="AE14" s="43">
        <f t="shared" si="10"/>
        <v>5.8823529411764701</v>
      </c>
      <c r="AF14" s="44">
        <f t="shared" si="11"/>
        <v>6.5494734515383843</v>
      </c>
      <c r="AG14" s="44">
        <f t="shared" si="12"/>
        <v>6.5494734515383846E-2</v>
      </c>
      <c r="AH14" s="45"/>
      <c r="AI14" s="46">
        <f t="shared" si="13"/>
        <v>20.152336046712989</v>
      </c>
      <c r="AJ14" s="46">
        <f t="shared" si="14"/>
        <v>25.190420058391236</v>
      </c>
      <c r="AK14" s="40"/>
      <c r="AL14" s="35" t="s">
        <v>232</v>
      </c>
      <c r="AM14" s="35" t="s">
        <v>202</v>
      </c>
      <c r="AN14" s="35"/>
      <c r="AO14" s="35"/>
      <c r="AP14" s="47"/>
      <c r="AQ14" s="47"/>
      <c r="AR14" s="47"/>
      <c r="AS14" s="47"/>
      <c r="AT14" s="47"/>
      <c r="AU14" s="47"/>
      <c r="AV14" s="47"/>
      <c r="AW14" s="47"/>
      <c r="AX14" s="47"/>
      <c r="AY14" s="47"/>
      <c r="AZ14" s="47"/>
    </row>
    <row r="15" spans="1:52" ht="66" x14ac:dyDescent="0.25">
      <c r="A15" s="16" t="s">
        <v>68</v>
      </c>
      <c r="B15" s="35" t="s">
        <v>82</v>
      </c>
      <c r="C15" s="36">
        <v>76000000</v>
      </c>
      <c r="D15" s="37"/>
      <c r="E15" s="36">
        <v>1550000</v>
      </c>
      <c r="F15" s="37" t="s">
        <v>86</v>
      </c>
      <c r="G15" s="48">
        <v>1280000</v>
      </c>
      <c r="H15" s="38">
        <v>2008</v>
      </c>
      <c r="I15" s="39">
        <f t="shared" si="0"/>
        <v>49.032258064516128</v>
      </c>
      <c r="J15" s="40"/>
      <c r="K15" s="41">
        <v>1250000</v>
      </c>
      <c r="L15" s="41">
        <v>1330000</v>
      </c>
      <c r="M15" s="41">
        <v>1340000</v>
      </c>
      <c r="N15" s="41">
        <v>1400000</v>
      </c>
      <c r="O15" s="41">
        <v>1400000</v>
      </c>
      <c r="P15" s="41">
        <v>1490000</v>
      </c>
      <c r="Q15" s="41">
        <v>1580000</v>
      </c>
      <c r="R15" s="41">
        <v>1660000</v>
      </c>
      <c r="S15" s="41">
        <v>1570000</v>
      </c>
      <c r="T15" s="41">
        <v>1400000</v>
      </c>
      <c r="U15" s="41">
        <v>1550000</v>
      </c>
      <c r="V15" s="42">
        <f t="shared" si="1"/>
        <v>6.4</v>
      </c>
      <c r="W15" s="42">
        <f t="shared" si="2"/>
        <v>0.75187969924812026</v>
      </c>
      <c r="X15" s="42">
        <f t="shared" si="3"/>
        <v>4.4776119402985071</v>
      </c>
      <c r="Y15" s="42">
        <f t="shared" si="4"/>
        <v>0</v>
      </c>
      <c r="Z15" s="42">
        <f t="shared" si="5"/>
        <v>6.4285714285714279</v>
      </c>
      <c r="AA15" s="42">
        <f t="shared" si="6"/>
        <v>6.0402684563758395</v>
      </c>
      <c r="AB15" s="42">
        <f t="shared" si="7"/>
        <v>5.0632911392405067</v>
      </c>
      <c r="AC15" s="42">
        <f t="shared" si="8"/>
        <v>-5.4216867469879517</v>
      </c>
      <c r="AD15" s="42">
        <f t="shared" si="9"/>
        <v>-10.828025477707007</v>
      </c>
      <c r="AE15" s="43">
        <f t="shared" si="10"/>
        <v>10.714285714285714</v>
      </c>
      <c r="AF15" s="44">
        <f t="shared" si="11"/>
        <v>2.3626196153325152</v>
      </c>
      <c r="AG15" s="44">
        <f t="shared" si="12"/>
        <v>2.3626196153325153E-2</v>
      </c>
      <c r="AH15" s="45" t="s">
        <v>101</v>
      </c>
      <c r="AI15" s="46">
        <f t="shared" si="13"/>
        <v>32.565056010764586</v>
      </c>
      <c r="AJ15" s="46">
        <f t="shared" si="14"/>
        <v>40.706320013455731</v>
      </c>
      <c r="AK15" s="40"/>
      <c r="AL15" s="35" t="s">
        <v>77</v>
      </c>
      <c r="AM15" s="35" t="s">
        <v>69</v>
      </c>
      <c r="AN15" s="35" t="s">
        <v>226</v>
      </c>
      <c r="AO15" s="35"/>
      <c r="AP15" s="47"/>
      <c r="AQ15" s="47"/>
      <c r="AR15" s="47"/>
      <c r="AS15" s="47"/>
      <c r="AT15" s="47"/>
      <c r="AU15" s="47"/>
      <c r="AV15" s="47"/>
      <c r="AW15" s="47"/>
      <c r="AX15" s="47"/>
      <c r="AY15" s="47"/>
      <c r="AZ15" s="47"/>
    </row>
    <row r="16" spans="1:52" ht="66" x14ac:dyDescent="0.25">
      <c r="A16" s="16" t="s">
        <v>160</v>
      </c>
      <c r="B16" s="35" t="s">
        <v>111</v>
      </c>
      <c r="C16" s="36">
        <v>66000</v>
      </c>
      <c r="D16" s="37" t="s">
        <v>132</v>
      </c>
      <c r="E16" s="36">
        <v>183</v>
      </c>
      <c r="F16" s="37" t="s">
        <v>178</v>
      </c>
      <c r="G16" s="37" t="s">
        <v>23</v>
      </c>
      <c r="H16" s="38"/>
      <c r="I16" s="39">
        <f t="shared" si="0"/>
        <v>360.65573770491801</v>
      </c>
      <c r="J16" s="40" t="s">
        <v>173</v>
      </c>
      <c r="K16" s="41">
        <v>155</v>
      </c>
      <c r="L16" s="41">
        <v>160</v>
      </c>
      <c r="M16" s="41">
        <v>184</v>
      </c>
      <c r="N16" s="41">
        <v>205</v>
      </c>
      <c r="O16" s="41">
        <v>214</v>
      </c>
      <c r="P16" s="41">
        <v>217</v>
      </c>
      <c r="Q16" s="41">
        <v>221</v>
      </c>
      <c r="R16" s="41">
        <v>213</v>
      </c>
      <c r="S16" s="41">
        <v>189</v>
      </c>
      <c r="T16" s="41">
        <v>181</v>
      </c>
      <c r="U16" s="41">
        <v>183</v>
      </c>
      <c r="V16" s="42">
        <f t="shared" si="1"/>
        <v>3.225806451612903</v>
      </c>
      <c r="W16" s="42">
        <f t="shared" si="2"/>
        <v>15</v>
      </c>
      <c r="X16" s="42">
        <f t="shared" si="3"/>
        <v>11.413043478260869</v>
      </c>
      <c r="Y16" s="42">
        <f t="shared" si="4"/>
        <v>4.3902439024390238</v>
      </c>
      <c r="Z16" s="42">
        <f t="shared" si="5"/>
        <v>1.4018691588785046</v>
      </c>
      <c r="AA16" s="42">
        <f t="shared" si="6"/>
        <v>1.8433179723502304</v>
      </c>
      <c r="AB16" s="42">
        <f t="shared" si="7"/>
        <v>-3.6199095022624439</v>
      </c>
      <c r="AC16" s="42">
        <f t="shared" si="8"/>
        <v>-11.267605633802818</v>
      </c>
      <c r="AD16" s="42">
        <f t="shared" si="9"/>
        <v>-4.2328042328042326</v>
      </c>
      <c r="AE16" s="43">
        <f t="shared" si="10"/>
        <v>1.1049723756906076</v>
      </c>
      <c r="AF16" s="44">
        <f t="shared" si="11"/>
        <v>1.9258933970362642</v>
      </c>
      <c r="AG16" s="44">
        <f t="shared" si="12"/>
        <v>1.9258933970362643E-2</v>
      </c>
      <c r="AH16" s="45"/>
      <c r="AI16" s="46">
        <f t="shared" si="13"/>
        <v>107.62013923335145</v>
      </c>
      <c r="AJ16" s="46">
        <f t="shared" si="14"/>
        <v>134.52517404168933</v>
      </c>
      <c r="AK16" s="40"/>
      <c r="AL16" s="35" t="s">
        <v>232</v>
      </c>
      <c r="AM16" s="35" t="s">
        <v>227</v>
      </c>
      <c r="AN16" s="35"/>
      <c r="AO16" s="35"/>
      <c r="AP16" s="47"/>
      <c r="AQ16" s="47"/>
      <c r="AR16" s="47"/>
      <c r="AS16" s="47"/>
      <c r="AT16" s="47"/>
      <c r="AU16" s="47"/>
      <c r="AV16" s="47"/>
      <c r="AW16" s="47"/>
      <c r="AX16" s="47"/>
      <c r="AY16" s="47"/>
      <c r="AZ16" s="47"/>
    </row>
    <row r="17" spans="1:52" ht="105.6" x14ac:dyDescent="0.25">
      <c r="A17" s="16" t="s">
        <v>2</v>
      </c>
      <c r="B17" s="35" t="s">
        <v>108</v>
      </c>
      <c r="C17" s="36">
        <v>65000000000</v>
      </c>
      <c r="D17" s="37" t="s">
        <v>214</v>
      </c>
      <c r="E17" s="36">
        <v>176000000</v>
      </c>
      <c r="F17" s="37" t="s">
        <v>38</v>
      </c>
      <c r="G17" s="37" t="s">
        <v>23</v>
      </c>
      <c r="H17" s="38"/>
      <c r="I17" s="39">
        <f t="shared" si="0"/>
        <v>369.31818181818181</v>
      </c>
      <c r="J17" s="40"/>
      <c r="K17" s="41">
        <v>133000000</v>
      </c>
      <c r="L17" s="41">
        <v>126000000</v>
      </c>
      <c r="M17" s="41">
        <v>135000000</v>
      </c>
      <c r="N17" s="41">
        <v>137000000</v>
      </c>
      <c r="O17" s="41">
        <v>141000000</v>
      </c>
      <c r="P17" s="41">
        <v>147000000</v>
      </c>
      <c r="Q17" s="41">
        <v>142000000</v>
      </c>
      <c r="R17" s="41">
        <v>156000000</v>
      </c>
      <c r="S17" s="41">
        <v>161000000</v>
      </c>
      <c r="T17" s="41">
        <v>166000000</v>
      </c>
      <c r="U17" s="41">
        <v>176000000</v>
      </c>
      <c r="V17" s="42">
        <f t="shared" si="1"/>
        <v>-5.2631578947368416</v>
      </c>
      <c r="W17" s="42">
        <f t="shared" si="2"/>
        <v>7.1428571428571423</v>
      </c>
      <c r="X17" s="42">
        <f t="shared" si="3"/>
        <v>1.4814814814814816</v>
      </c>
      <c r="Y17" s="42">
        <f t="shared" si="4"/>
        <v>2.9197080291970803</v>
      </c>
      <c r="Z17" s="42">
        <f t="shared" si="5"/>
        <v>4.2553191489361701</v>
      </c>
      <c r="AA17" s="42">
        <f t="shared" si="6"/>
        <v>-3.4013605442176873</v>
      </c>
      <c r="AB17" s="42">
        <f t="shared" si="7"/>
        <v>9.8591549295774641</v>
      </c>
      <c r="AC17" s="42">
        <f t="shared" si="8"/>
        <v>3.2051282051282048</v>
      </c>
      <c r="AD17" s="42">
        <f t="shared" si="9"/>
        <v>3.1055900621118013</v>
      </c>
      <c r="AE17" s="43">
        <f t="shared" si="10"/>
        <v>6.024096385542169</v>
      </c>
      <c r="AF17" s="44">
        <f t="shared" si="11"/>
        <v>2.9328816945876985</v>
      </c>
      <c r="AG17" s="44">
        <f t="shared" si="12"/>
        <v>2.9328816945876985E-2</v>
      </c>
      <c r="AH17" s="45"/>
      <c r="AI17" s="46">
        <f t="shared" si="13"/>
        <v>84.244088196357652</v>
      </c>
      <c r="AJ17" s="46">
        <f t="shared" si="14"/>
        <v>105.30511024544707</v>
      </c>
      <c r="AK17" s="40" t="s">
        <v>11</v>
      </c>
      <c r="AL17" s="35" t="s">
        <v>188</v>
      </c>
      <c r="AM17" s="35" t="s">
        <v>27</v>
      </c>
      <c r="AN17" s="35" t="s">
        <v>167</v>
      </c>
      <c r="AO17" s="35" t="s">
        <v>50</v>
      </c>
      <c r="AP17" s="47"/>
      <c r="AQ17" s="52"/>
      <c r="AR17" s="52"/>
      <c r="AS17" s="52"/>
      <c r="AT17" s="52"/>
      <c r="AU17" s="52"/>
      <c r="AV17" s="52"/>
      <c r="AW17" s="52"/>
      <c r="AX17" s="52"/>
      <c r="AY17" s="52"/>
      <c r="AZ17" s="52"/>
    </row>
    <row r="18" spans="1:52" ht="39.6" x14ac:dyDescent="0.25">
      <c r="A18" s="16" t="s">
        <v>265</v>
      </c>
      <c r="B18" s="35" t="s">
        <v>39</v>
      </c>
      <c r="C18" s="36">
        <f>110000000</f>
        <v>110000000</v>
      </c>
      <c r="D18" s="37" t="s">
        <v>14</v>
      </c>
      <c r="E18" s="36">
        <v>130000</v>
      </c>
      <c r="F18" s="37" t="s">
        <v>243</v>
      </c>
      <c r="G18" s="37" t="s">
        <v>23</v>
      </c>
      <c r="H18" s="38"/>
      <c r="I18" s="39">
        <f t="shared" si="0"/>
        <v>846.15384615384619</v>
      </c>
      <c r="J18" s="40"/>
      <c r="K18" s="41">
        <v>83500</v>
      </c>
      <c r="L18" s="41">
        <v>83500</v>
      </c>
      <c r="M18" s="41">
        <v>98300</v>
      </c>
      <c r="N18" s="41">
        <v>99100</v>
      </c>
      <c r="O18" s="41">
        <v>102000</v>
      </c>
      <c r="P18" s="41">
        <v>123000</v>
      </c>
      <c r="Q18" s="41">
        <v>123000</v>
      </c>
      <c r="R18" s="41">
        <v>124000</v>
      </c>
      <c r="S18" s="41">
        <v>124000</v>
      </c>
      <c r="T18" s="41">
        <v>133000</v>
      </c>
      <c r="U18" s="41">
        <v>130000</v>
      </c>
      <c r="V18" s="42">
        <f t="shared" si="1"/>
        <v>0</v>
      </c>
      <c r="W18" s="42">
        <f t="shared" si="2"/>
        <v>17.724550898203592</v>
      </c>
      <c r="X18" s="42">
        <f t="shared" si="3"/>
        <v>0.81383519837232954</v>
      </c>
      <c r="Y18" s="42">
        <f t="shared" si="4"/>
        <v>2.9263370332996974</v>
      </c>
      <c r="Z18" s="42">
        <f t="shared" si="5"/>
        <v>20.588235294117645</v>
      </c>
      <c r="AA18" s="42">
        <f t="shared" si="6"/>
        <v>0</v>
      </c>
      <c r="AB18" s="42">
        <f t="shared" si="7"/>
        <v>0.81300813008130091</v>
      </c>
      <c r="AC18" s="42">
        <f t="shared" si="8"/>
        <v>0</v>
      </c>
      <c r="AD18" s="42">
        <f t="shared" si="9"/>
        <v>7.2580645161290329</v>
      </c>
      <c r="AE18" s="43">
        <f t="shared" si="10"/>
        <v>-2.2556390977443606</v>
      </c>
      <c r="AF18" s="44">
        <f t="shared" si="11"/>
        <v>4.7868391972459232</v>
      </c>
      <c r="AG18" s="44">
        <f t="shared" si="12"/>
        <v>4.7868391972459234E-2</v>
      </c>
      <c r="AH18" s="45"/>
      <c r="AI18" s="46">
        <f t="shared" si="13"/>
        <v>77.834041051003169</v>
      </c>
      <c r="AJ18" s="46">
        <f t="shared" si="14"/>
        <v>97.292551313753961</v>
      </c>
      <c r="AK18" s="40"/>
      <c r="AL18" s="35" t="s">
        <v>232</v>
      </c>
      <c r="AM18" s="35" t="s">
        <v>205</v>
      </c>
      <c r="AN18" s="35"/>
      <c r="AO18" s="35"/>
      <c r="AP18" s="47"/>
      <c r="AQ18" s="47"/>
      <c r="AR18" s="47"/>
      <c r="AS18" s="47"/>
      <c r="AT18" s="47"/>
      <c r="AU18" s="47"/>
      <c r="AV18" s="47"/>
      <c r="AW18" s="47"/>
      <c r="AX18" s="47"/>
      <c r="AY18" s="47"/>
      <c r="AZ18" s="47"/>
    </row>
    <row r="19" spans="1:52" ht="39.6" x14ac:dyDescent="0.25">
      <c r="A19" s="16" t="s">
        <v>29</v>
      </c>
      <c r="B19" s="35" t="s">
        <v>74</v>
      </c>
      <c r="C19" s="36">
        <v>510000</v>
      </c>
      <c r="D19" s="37"/>
      <c r="E19" s="36">
        <v>22200</v>
      </c>
      <c r="F19" s="37" t="s">
        <v>36</v>
      </c>
      <c r="G19" s="48">
        <v>29958</v>
      </c>
      <c r="H19" s="38"/>
      <c r="I19" s="39">
        <f t="shared" si="0"/>
        <v>22.972972972972972</v>
      </c>
      <c r="J19" s="40"/>
      <c r="K19" s="41">
        <v>17700</v>
      </c>
      <c r="L19" s="41">
        <v>18700</v>
      </c>
      <c r="M19" s="41">
        <v>20000</v>
      </c>
      <c r="N19" s="41">
        <v>18800</v>
      </c>
      <c r="O19" s="41">
        <v>19700</v>
      </c>
      <c r="P19" s="41">
        <v>19300</v>
      </c>
      <c r="Q19" s="41">
        <v>20200</v>
      </c>
      <c r="R19" s="41">
        <v>20800</v>
      </c>
      <c r="S19" s="41">
        <v>21300</v>
      </c>
      <c r="T19" s="41">
        <v>21800</v>
      </c>
      <c r="U19" s="41">
        <v>22200</v>
      </c>
      <c r="V19" s="42">
        <f t="shared" si="1"/>
        <v>5.6497175141242941</v>
      </c>
      <c r="W19" s="42">
        <f t="shared" si="2"/>
        <v>6.9518716577540109</v>
      </c>
      <c r="X19" s="42">
        <f t="shared" si="3"/>
        <v>-6</v>
      </c>
      <c r="Y19" s="42">
        <f t="shared" si="4"/>
        <v>4.7872340425531918</v>
      </c>
      <c r="Z19" s="42">
        <f t="shared" si="5"/>
        <v>-2.030456852791878</v>
      </c>
      <c r="AA19" s="42">
        <f t="shared" si="6"/>
        <v>4.6632124352331603</v>
      </c>
      <c r="AB19" s="42">
        <f t="shared" si="7"/>
        <v>2.9702970297029703</v>
      </c>
      <c r="AC19" s="42">
        <f t="shared" si="8"/>
        <v>2.4038461538461542</v>
      </c>
      <c r="AD19" s="42">
        <f t="shared" si="9"/>
        <v>2.3474178403755865</v>
      </c>
      <c r="AE19" s="43">
        <f t="shared" si="10"/>
        <v>1.834862385321101</v>
      </c>
      <c r="AF19" s="44">
        <f t="shared" si="11"/>
        <v>2.3578002206118591</v>
      </c>
      <c r="AG19" s="44">
        <f t="shared" si="12"/>
        <v>2.3578002206118592E-2</v>
      </c>
      <c r="AH19" s="45"/>
      <c r="AI19" s="46">
        <f t="shared" si="13"/>
        <v>18.358539596202881</v>
      </c>
      <c r="AJ19" s="46">
        <f t="shared" si="14"/>
        <v>22.948174495253603</v>
      </c>
      <c r="AK19" s="40"/>
      <c r="AL19" s="35" t="s">
        <v>3</v>
      </c>
      <c r="AM19" s="35" t="s">
        <v>136</v>
      </c>
      <c r="AN19" s="35" t="s">
        <v>236</v>
      </c>
      <c r="AO19" s="35"/>
      <c r="AP19" s="47"/>
      <c r="AQ19" s="47"/>
      <c r="AR19" s="47"/>
      <c r="AS19" s="47"/>
      <c r="AT19" s="47"/>
      <c r="AU19" s="47"/>
      <c r="AV19" s="47"/>
      <c r="AW19" s="47"/>
      <c r="AX19" s="47"/>
      <c r="AY19" s="47"/>
      <c r="AZ19" s="47"/>
    </row>
    <row r="20" spans="1:52" ht="39.6" x14ac:dyDescent="0.25">
      <c r="A20" s="16" t="s">
        <v>166</v>
      </c>
      <c r="B20" s="35" t="s">
        <v>235</v>
      </c>
      <c r="C20" s="36">
        <v>110000</v>
      </c>
      <c r="D20" s="37"/>
      <c r="E20" s="17">
        <v>670</v>
      </c>
      <c r="F20" s="37" t="s">
        <v>36</v>
      </c>
      <c r="G20" s="37" t="s">
        <v>23</v>
      </c>
      <c r="H20" s="38"/>
      <c r="I20" s="39">
        <f t="shared" si="0"/>
        <v>164.17910447761193</v>
      </c>
      <c r="J20" s="40"/>
      <c r="K20" s="41">
        <v>836</v>
      </c>
      <c r="L20" s="41">
        <v>1300</v>
      </c>
      <c r="M20" s="41">
        <v>1540</v>
      </c>
      <c r="N20" s="41">
        <v>1210</v>
      </c>
      <c r="O20" s="41">
        <v>1510</v>
      </c>
      <c r="P20" s="41">
        <v>1260</v>
      </c>
      <c r="Q20" s="41">
        <v>1400</v>
      </c>
      <c r="R20" s="41">
        <v>815</v>
      </c>
      <c r="S20" s="41">
        <v>1170</v>
      </c>
      <c r="T20" s="41">
        <v>665</v>
      </c>
      <c r="U20" s="35">
        <v>670</v>
      </c>
      <c r="V20" s="42">
        <f t="shared" si="1"/>
        <v>55.502392344497608</v>
      </c>
      <c r="W20" s="42">
        <f t="shared" si="2"/>
        <v>18.461538461538463</v>
      </c>
      <c r="X20" s="42">
        <f t="shared" si="3"/>
        <v>-21.428571428571427</v>
      </c>
      <c r="Y20" s="42">
        <f t="shared" si="4"/>
        <v>24.793388429752067</v>
      </c>
      <c r="Z20" s="42">
        <f t="shared" si="5"/>
        <v>-16.556291390728479</v>
      </c>
      <c r="AA20" s="42">
        <f t="shared" si="6"/>
        <v>11.111111111111111</v>
      </c>
      <c r="AB20" s="42">
        <f t="shared" si="7"/>
        <v>-41.785714285714285</v>
      </c>
      <c r="AC20" s="42">
        <f t="shared" si="8"/>
        <v>43.558282208588956</v>
      </c>
      <c r="AD20" s="42">
        <f t="shared" si="9"/>
        <v>-43.162393162393165</v>
      </c>
      <c r="AE20" s="43">
        <f t="shared" si="10"/>
        <v>0.75187969924812026</v>
      </c>
      <c r="AF20" s="44">
        <f t="shared" si="11"/>
        <v>3.1245621987328982</v>
      </c>
      <c r="AG20" s="44">
        <f t="shared" si="12"/>
        <v>3.1245621987328984E-2</v>
      </c>
      <c r="AH20" s="45"/>
      <c r="AI20" s="46">
        <f t="shared" si="13"/>
        <v>58.029726115965225</v>
      </c>
      <c r="AJ20" s="46">
        <f t="shared" si="14"/>
        <v>72.537157644956537</v>
      </c>
      <c r="AK20" s="40"/>
      <c r="AL20" s="35" t="s">
        <v>232</v>
      </c>
      <c r="AM20" s="35" t="s">
        <v>0</v>
      </c>
      <c r="AN20" s="35"/>
      <c r="AO20" s="35"/>
      <c r="AP20" s="47"/>
      <c r="AQ20" s="47"/>
      <c r="AR20" s="47"/>
      <c r="AS20" s="47"/>
      <c r="AT20" s="47"/>
      <c r="AU20" s="47"/>
      <c r="AV20" s="47"/>
      <c r="AW20" s="47"/>
      <c r="AX20" s="47"/>
      <c r="AY20" s="47"/>
      <c r="AZ20" s="47"/>
    </row>
    <row r="21" spans="1:52" ht="66" x14ac:dyDescent="0.25">
      <c r="A21" s="16" t="s">
        <v>62</v>
      </c>
      <c r="B21" s="35" t="s">
        <v>161</v>
      </c>
      <c r="C21" s="36">
        <v>5200000</v>
      </c>
      <c r="D21" s="37"/>
      <c r="E21" s="36">
        <v>261000</v>
      </c>
      <c r="F21" s="37" t="s">
        <v>36</v>
      </c>
      <c r="G21" s="48">
        <v>360300</v>
      </c>
      <c r="H21" s="38" t="s">
        <v>114</v>
      </c>
      <c r="I21" s="39">
        <f t="shared" si="0"/>
        <v>19.92337164750958</v>
      </c>
      <c r="J21" s="40"/>
      <c r="K21" s="41">
        <v>238000</v>
      </c>
      <c r="L21" s="41">
        <v>222000</v>
      </c>
      <c r="M21" s="41">
        <v>249000</v>
      </c>
      <c r="N21" s="41">
        <v>207000</v>
      </c>
      <c r="O21" s="41">
        <v>264000</v>
      </c>
      <c r="P21" s="41">
        <v>290000</v>
      </c>
      <c r="Q21" s="41">
        <v>302000</v>
      </c>
      <c r="R21" s="41">
        <v>320000</v>
      </c>
      <c r="S21" s="41">
        <v>299000</v>
      </c>
      <c r="T21" s="41">
        <v>260000</v>
      </c>
      <c r="U21" s="41">
        <v>261000</v>
      </c>
      <c r="V21" s="42">
        <f t="shared" si="1"/>
        <v>-6.7226890756302522</v>
      </c>
      <c r="W21" s="42">
        <f t="shared" si="2"/>
        <v>12.162162162162163</v>
      </c>
      <c r="X21" s="42">
        <f t="shared" si="3"/>
        <v>-16.867469879518072</v>
      </c>
      <c r="Y21" s="42">
        <f t="shared" si="4"/>
        <v>27.536231884057973</v>
      </c>
      <c r="Z21" s="42">
        <f t="shared" si="5"/>
        <v>9.8484848484848477</v>
      </c>
      <c r="AA21" s="42">
        <f t="shared" si="6"/>
        <v>4.1379310344827589</v>
      </c>
      <c r="AB21" s="42">
        <f t="shared" si="7"/>
        <v>5.9602649006622519</v>
      </c>
      <c r="AC21" s="42">
        <f t="shared" si="8"/>
        <v>-6.5625</v>
      </c>
      <c r="AD21" s="42">
        <f t="shared" si="9"/>
        <v>-13.043478260869565</v>
      </c>
      <c r="AE21" s="43">
        <f t="shared" si="10"/>
        <v>0.38461538461538464</v>
      </c>
      <c r="AF21" s="44">
        <f t="shared" si="11"/>
        <v>1.6833552998447492</v>
      </c>
      <c r="AG21" s="44">
        <f t="shared" si="12"/>
        <v>1.6833552998447493E-2</v>
      </c>
      <c r="AH21" s="45"/>
      <c r="AI21" s="46">
        <f t="shared" si="13"/>
        <v>17.180968490137854</v>
      </c>
      <c r="AJ21" s="46">
        <f t="shared" si="14"/>
        <v>21.476210612672318</v>
      </c>
      <c r="AK21" s="40"/>
      <c r="AL21" s="35" t="s">
        <v>115</v>
      </c>
      <c r="AM21" s="35" t="s">
        <v>215</v>
      </c>
      <c r="AN21" s="35" t="s">
        <v>81</v>
      </c>
      <c r="AO21" s="35"/>
      <c r="AP21" s="47"/>
      <c r="AQ21" s="47"/>
      <c r="AR21" s="47"/>
      <c r="AS21" s="47"/>
      <c r="AT21" s="47"/>
      <c r="AU21" s="47"/>
      <c r="AV21" s="47"/>
      <c r="AW21" s="47"/>
      <c r="AX21" s="47"/>
      <c r="AY21" s="47"/>
      <c r="AZ21" s="47"/>
    </row>
    <row r="22" spans="1:52" ht="39.6" x14ac:dyDescent="0.25">
      <c r="A22" s="16" t="s">
        <v>112</v>
      </c>
      <c r="B22" s="35" t="s">
        <v>190</v>
      </c>
      <c r="C22" s="36">
        <f>690000*1000</f>
        <v>690000000</v>
      </c>
      <c r="D22" s="37" t="s">
        <v>180</v>
      </c>
      <c r="E22" s="36">
        <f>6300*1000</f>
        <v>6300000</v>
      </c>
      <c r="F22" s="37" t="s">
        <v>58</v>
      </c>
      <c r="G22" s="48" t="s">
        <v>23</v>
      </c>
      <c r="H22" s="38"/>
      <c r="I22" s="39">
        <f t="shared" si="0"/>
        <v>109.52380952380952</v>
      </c>
      <c r="J22" s="40"/>
      <c r="K22" s="41">
        <v>4700000</v>
      </c>
      <c r="L22" s="41">
        <v>5000000</v>
      </c>
      <c r="M22" s="41">
        <v>4800000</v>
      </c>
      <c r="N22" s="41">
        <v>5300000</v>
      </c>
      <c r="O22" s="41">
        <v>5000000</v>
      </c>
      <c r="P22" s="41">
        <v>5200000</v>
      </c>
      <c r="Q22" s="41">
        <v>5800000</v>
      </c>
      <c r="R22" s="41">
        <v>6240000</v>
      </c>
      <c r="S22" s="41">
        <v>6390000</v>
      </c>
      <c r="T22" s="41">
        <v>5800000</v>
      </c>
      <c r="U22" s="41">
        <f>6300*1000</f>
        <v>6300000</v>
      </c>
      <c r="V22" s="42">
        <f t="shared" si="1"/>
        <v>6.3829787234042552</v>
      </c>
      <c r="W22" s="42">
        <f t="shared" si="2"/>
        <v>-4</v>
      </c>
      <c r="X22" s="42">
        <f t="shared" si="3"/>
        <v>10.416666666666668</v>
      </c>
      <c r="Y22" s="42">
        <f t="shared" si="4"/>
        <v>-5.6603773584905666</v>
      </c>
      <c r="Z22" s="42">
        <f t="shared" si="5"/>
        <v>4</v>
      </c>
      <c r="AA22" s="42">
        <f t="shared" si="6"/>
        <v>11.538461538461538</v>
      </c>
      <c r="AB22" s="42">
        <f t="shared" si="7"/>
        <v>7.5862068965517242</v>
      </c>
      <c r="AC22" s="42">
        <f t="shared" si="8"/>
        <v>2.4038461538461542</v>
      </c>
      <c r="AD22" s="42">
        <f t="shared" si="9"/>
        <v>-9.2331768388106426</v>
      </c>
      <c r="AE22" s="43">
        <f t="shared" si="10"/>
        <v>8.6206896551724146</v>
      </c>
      <c r="AF22" s="44">
        <f t="shared" si="11"/>
        <v>3.2055295436801545</v>
      </c>
      <c r="AG22" s="44">
        <f t="shared" si="12"/>
        <v>3.2055295436801544E-2</v>
      </c>
      <c r="AH22" s="45"/>
      <c r="AI22" s="46">
        <f t="shared" si="13"/>
        <v>46.996245305087818</v>
      </c>
      <c r="AJ22" s="46">
        <f t="shared" si="14"/>
        <v>58.745306631359774</v>
      </c>
      <c r="AK22" s="40"/>
      <c r="AL22" s="35" t="s">
        <v>232</v>
      </c>
      <c r="AM22" s="35" t="s">
        <v>60</v>
      </c>
      <c r="AN22" s="35"/>
      <c r="AO22" s="35"/>
      <c r="AP22" s="47"/>
      <c r="AQ22" s="47"/>
      <c r="AR22" s="47"/>
      <c r="AS22" s="47"/>
      <c r="AT22" s="47"/>
      <c r="AU22" s="47"/>
      <c r="AV22" s="47"/>
      <c r="AW22" s="47"/>
      <c r="AX22" s="47"/>
      <c r="AY22" s="47"/>
      <c r="AZ22" s="47"/>
    </row>
    <row r="23" spans="1:52" ht="39.6" x14ac:dyDescent="0.25">
      <c r="A23" s="16" t="s">
        <v>225</v>
      </c>
      <c r="B23" s="35" t="s">
        <v>139</v>
      </c>
      <c r="C23" s="36">
        <v>2900000</v>
      </c>
      <c r="D23" s="37"/>
      <c r="E23" s="36">
        <v>61000</v>
      </c>
      <c r="F23" s="37" t="s">
        <v>36</v>
      </c>
      <c r="G23" s="48" t="s">
        <v>23</v>
      </c>
      <c r="H23" s="38"/>
      <c r="I23" s="39">
        <f t="shared" si="0"/>
        <v>47.540983606557376</v>
      </c>
      <c r="J23" s="40"/>
      <c r="K23" s="41">
        <v>37400</v>
      </c>
      <c r="L23" s="41">
        <v>44200</v>
      </c>
      <c r="M23" s="41">
        <v>59100</v>
      </c>
      <c r="N23" s="41">
        <v>62100</v>
      </c>
      <c r="O23" s="41">
        <v>73700</v>
      </c>
      <c r="P23" s="41">
        <v>70100</v>
      </c>
      <c r="Q23" s="41">
        <v>90800</v>
      </c>
      <c r="R23" s="41">
        <v>54500</v>
      </c>
      <c r="S23" s="41">
        <v>55900</v>
      </c>
      <c r="T23" s="41">
        <v>61300</v>
      </c>
      <c r="U23" s="41">
        <v>61000</v>
      </c>
      <c r="V23" s="42">
        <f t="shared" si="1"/>
        <v>18.181818181818183</v>
      </c>
      <c r="W23" s="42">
        <f t="shared" si="2"/>
        <v>33.710407239819006</v>
      </c>
      <c r="X23" s="42">
        <f t="shared" si="3"/>
        <v>5.0761421319796955</v>
      </c>
      <c r="Y23" s="42">
        <f t="shared" si="4"/>
        <v>18.679549114331724</v>
      </c>
      <c r="Z23" s="42">
        <f t="shared" si="5"/>
        <v>-4.8846675712347354</v>
      </c>
      <c r="AA23" s="42">
        <f t="shared" si="6"/>
        <v>29.529243937232525</v>
      </c>
      <c r="AB23" s="42">
        <f t="shared" si="7"/>
        <v>-39.977973568281939</v>
      </c>
      <c r="AC23" s="42">
        <f t="shared" si="8"/>
        <v>2.5688073394495414</v>
      </c>
      <c r="AD23" s="42">
        <f t="shared" si="9"/>
        <v>9.6601073345259394</v>
      </c>
      <c r="AE23" s="43">
        <f t="shared" si="10"/>
        <v>-0.48939641109298526</v>
      </c>
      <c r="AF23" s="44">
        <f t="shared" si="11"/>
        <v>7.2054037728546962</v>
      </c>
      <c r="AG23" s="44">
        <f t="shared" si="12"/>
        <v>7.205403772854696E-2</v>
      </c>
      <c r="AH23" s="45"/>
      <c r="AI23" s="46">
        <f t="shared" si="13"/>
        <v>20.64267032564182</v>
      </c>
      <c r="AJ23" s="46">
        <f t="shared" si="14"/>
        <v>25.803337907052274</v>
      </c>
      <c r="AK23" s="40"/>
      <c r="AL23" s="35" t="s">
        <v>232</v>
      </c>
      <c r="AM23" s="35" t="s">
        <v>242</v>
      </c>
      <c r="AN23" s="35"/>
      <c r="AO23" s="35"/>
      <c r="AP23" s="47"/>
      <c r="AQ23" s="47"/>
      <c r="AR23" s="47"/>
      <c r="AS23" s="47"/>
      <c r="AT23" s="47"/>
      <c r="AU23" s="47"/>
      <c r="AV23" s="47"/>
      <c r="AW23" s="47"/>
      <c r="AX23" s="47"/>
      <c r="AY23" s="47"/>
      <c r="AZ23" s="47"/>
    </row>
    <row r="24" spans="1:52" ht="92.4" x14ac:dyDescent="0.25">
      <c r="A24" s="16" t="s">
        <v>230</v>
      </c>
      <c r="B24" s="35" t="s">
        <v>194</v>
      </c>
      <c r="C24" s="36">
        <v>5469000</v>
      </c>
      <c r="D24" s="37" t="s">
        <v>15</v>
      </c>
      <c r="E24" s="36">
        <v>53663</v>
      </c>
      <c r="F24" s="37" t="s">
        <v>36</v>
      </c>
      <c r="G24" s="48">
        <v>68799</v>
      </c>
      <c r="H24" s="38">
        <v>2010</v>
      </c>
      <c r="I24" s="39">
        <f t="shared" si="0"/>
        <v>101.91379535247749</v>
      </c>
      <c r="J24" s="40"/>
      <c r="K24" s="41" t="s">
        <v>23</v>
      </c>
      <c r="L24" s="35" t="s">
        <v>23</v>
      </c>
      <c r="M24" s="41" t="s">
        <v>23</v>
      </c>
      <c r="N24" s="41">
        <v>35574</v>
      </c>
      <c r="O24" s="41">
        <v>40178</v>
      </c>
      <c r="P24" s="41">
        <v>41719</v>
      </c>
      <c r="Q24" s="41">
        <v>39444</v>
      </c>
      <c r="R24" s="41">
        <v>41282</v>
      </c>
      <c r="S24" s="41">
        <v>43853</v>
      </c>
      <c r="T24" s="41">
        <v>50772</v>
      </c>
      <c r="U24" s="41">
        <v>53663</v>
      </c>
      <c r="V24" s="42" t="s">
        <v>23</v>
      </c>
      <c r="W24" s="42" t="s">
        <v>23</v>
      </c>
      <c r="X24" s="42" t="s">
        <v>23</v>
      </c>
      <c r="Y24" s="42">
        <f t="shared" ref="Y24:AE26" si="15">((O24-N24)/N24)*100</f>
        <v>12.942036318659694</v>
      </c>
      <c r="Z24" s="42">
        <f t="shared" si="15"/>
        <v>3.8354323261486383</v>
      </c>
      <c r="AA24" s="42">
        <f t="shared" si="15"/>
        <v>-5.453150842541767</v>
      </c>
      <c r="AB24" s="42">
        <f t="shared" si="15"/>
        <v>4.6597708143190344</v>
      </c>
      <c r="AC24" s="42">
        <f t="shared" si="15"/>
        <v>6.2278959352744536</v>
      </c>
      <c r="AD24" s="42">
        <f t="shared" si="15"/>
        <v>15.777711901124212</v>
      </c>
      <c r="AE24" s="43">
        <f t="shared" si="15"/>
        <v>5.694083353029229</v>
      </c>
      <c r="AF24" s="44">
        <f>AVERAGE(Y24:AE24)</f>
        <v>6.2405399722876425</v>
      </c>
      <c r="AG24" s="44">
        <f t="shared" si="12"/>
        <v>6.2405399722876426E-2</v>
      </c>
      <c r="AH24" s="45" t="s">
        <v>76</v>
      </c>
      <c r="AI24" s="46">
        <f t="shared" si="13"/>
        <v>31.985309282391878</v>
      </c>
      <c r="AJ24" s="46">
        <f t="shared" si="14"/>
        <v>39.981636602989845</v>
      </c>
      <c r="AK24" s="40"/>
      <c r="AL24" s="35" t="s">
        <v>195</v>
      </c>
      <c r="AM24" s="35" t="s">
        <v>218</v>
      </c>
      <c r="AN24" s="35" t="s">
        <v>44</v>
      </c>
      <c r="AO24" s="35"/>
      <c r="AP24" s="47"/>
      <c r="AQ24" s="47"/>
      <c r="AR24" s="47"/>
      <c r="AS24" s="47"/>
      <c r="AT24" s="47"/>
      <c r="AU24" s="47"/>
      <c r="AV24" s="47"/>
      <c r="AW24" s="47"/>
      <c r="AX24" s="47"/>
      <c r="AY24" s="47"/>
      <c r="AZ24" s="47"/>
    </row>
    <row r="25" spans="1:52" ht="39.6" x14ac:dyDescent="0.25">
      <c r="A25" s="16" t="s">
        <v>154</v>
      </c>
      <c r="B25" s="35" t="s">
        <v>127</v>
      </c>
      <c r="C25" s="36">
        <v>540000</v>
      </c>
      <c r="D25" s="37" t="s">
        <v>217</v>
      </c>
      <c r="E25" s="36">
        <v>8900</v>
      </c>
      <c r="F25" s="37" t="s">
        <v>239</v>
      </c>
      <c r="G25" s="48" t="s">
        <v>23</v>
      </c>
      <c r="H25" s="38"/>
      <c r="I25" s="39">
        <f t="shared" si="0"/>
        <v>60.674157303370784</v>
      </c>
      <c r="J25" s="40"/>
      <c r="K25" s="41">
        <v>2400</v>
      </c>
      <c r="L25" s="41">
        <v>2400</v>
      </c>
      <c r="M25" s="41">
        <v>2400</v>
      </c>
      <c r="N25" s="41">
        <v>2400</v>
      </c>
      <c r="O25" s="41">
        <v>2400</v>
      </c>
      <c r="P25" s="41">
        <v>6080</v>
      </c>
      <c r="Q25" s="41">
        <v>8900</v>
      </c>
      <c r="R25" s="41">
        <v>8900</v>
      </c>
      <c r="S25" s="41">
        <v>8900</v>
      </c>
      <c r="T25" s="41">
        <v>8900</v>
      </c>
      <c r="U25" s="41">
        <v>8900</v>
      </c>
      <c r="V25" s="42">
        <f t="shared" ref="V25:X26" si="16">((L25-K25)/K25)*100</f>
        <v>0</v>
      </c>
      <c r="W25" s="42">
        <f t="shared" si="16"/>
        <v>0</v>
      </c>
      <c r="X25" s="42">
        <f t="shared" si="16"/>
        <v>0</v>
      </c>
      <c r="Y25" s="42">
        <f t="shared" si="15"/>
        <v>0</v>
      </c>
      <c r="Z25" s="42">
        <f t="shared" si="15"/>
        <v>153.33333333333334</v>
      </c>
      <c r="AA25" s="42">
        <f t="shared" si="15"/>
        <v>46.381578947368425</v>
      </c>
      <c r="AB25" s="42">
        <f t="shared" si="15"/>
        <v>0</v>
      </c>
      <c r="AC25" s="42">
        <f t="shared" si="15"/>
        <v>0</v>
      </c>
      <c r="AD25" s="42">
        <f t="shared" si="15"/>
        <v>0</v>
      </c>
      <c r="AE25" s="43">
        <f t="shared" si="15"/>
        <v>0</v>
      </c>
      <c r="AF25" s="44">
        <f>AVERAGE(V25:AE25)</f>
        <v>19.971491228070175</v>
      </c>
      <c r="AG25" s="44">
        <f t="shared" si="12"/>
        <v>0.19971491228070173</v>
      </c>
      <c r="AH25" s="45"/>
      <c r="AI25" s="46">
        <f t="shared" si="13"/>
        <v>12.888120268082208</v>
      </c>
      <c r="AJ25" s="46">
        <f t="shared" si="14"/>
        <v>16.110150335102759</v>
      </c>
      <c r="AK25" s="40"/>
      <c r="AL25" s="35" t="s">
        <v>232</v>
      </c>
      <c r="AM25" s="35" t="s">
        <v>205</v>
      </c>
      <c r="AN25" s="35"/>
      <c r="AO25" s="35"/>
      <c r="AP25" s="47"/>
      <c r="AQ25" s="47"/>
      <c r="AR25" s="47"/>
      <c r="AS25" s="47"/>
      <c r="AT25" s="47"/>
      <c r="AU25" s="47"/>
      <c r="AV25" s="47"/>
      <c r="AW25" s="47"/>
      <c r="AX25" s="47"/>
      <c r="AY25" s="47"/>
      <c r="AZ25" s="47"/>
    </row>
    <row r="26" spans="1:52" ht="52.8" x14ac:dyDescent="0.25">
      <c r="A26" s="16" t="s">
        <v>102</v>
      </c>
      <c r="B26" s="35" t="s">
        <v>143</v>
      </c>
      <c r="C26" s="36">
        <v>250000000</v>
      </c>
      <c r="D26" s="37"/>
      <c r="E26" s="36">
        <v>12000000</v>
      </c>
      <c r="F26" s="37" t="s">
        <v>149</v>
      </c>
      <c r="G26" s="48">
        <v>12571000</v>
      </c>
      <c r="H26" s="38">
        <v>2010</v>
      </c>
      <c r="I26" s="39">
        <f t="shared" si="0"/>
        <v>20.833333333333332</v>
      </c>
      <c r="J26" s="40"/>
      <c r="K26" s="41">
        <v>8730000</v>
      </c>
      <c r="L26" s="41">
        <v>8850000</v>
      </c>
      <c r="M26" s="41">
        <v>8360000</v>
      </c>
      <c r="N26" s="41">
        <v>9010000</v>
      </c>
      <c r="O26" s="41">
        <v>9600000</v>
      </c>
      <c r="P26" s="41">
        <v>9800000</v>
      </c>
      <c r="Q26" s="41">
        <v>10000000</v>
      </c>
      <c r="R26" s="41">
        <v>10900000</v>
      </c>
      <c r="S26" s="41">
        <v>11600000</v>
      </c>
      <c r="T26" s="41">
        <v>11200000</v>
      </c>
      <c r="U26" s="41">
        <v>12000000</v>
      </c>
      <c r="V26" s="42">
        <f t="shared" si="16"/>
        <v>1.3745704467353952</v>
      </c>
      <c r="W26" s="42">
        <f t="shared" si="16"/>
        <v>-5.536723163841808</v>
      </c>
      <c r="X26" s="42">
        <f t="shared" si="16"/>
        <v>7.7751196172248811</v>
      </c>
      <c r="Y26" s="42">
        <f t="shared" si="15"/>
        <v>6.5482796892341852</v>
      </c>
      <c r="Z26" s="42">
        <f t="shared" si="15"/>
        <v>2.083333333333333</v>
      </c>
      <c r="AA26" s="42">
        <f t="shared" si="15"/>
        <v>2.0408163265306123</v>
      </c>
      <c r="AB26" s="42">
        <f t="shared" si="15"/>
        <v>9</v>
      </c>
      <c r="AC26" s="42">
        <f t="shared" si="15"/>
        <v>6.4220183486238538</v>
      </c>
      <c r="AD26" s="42">
        <f t="shared" si="15"/>
        <v>-3.4482758620689653</v>
      </c>
      <c r="AE26" s="43">
        <f t="shared" si="15"/>
        <v>7.1428571428571423</v>
      </c>
      <c r="AF26" s="44">
        <f>AVERAGE(V26:AE26)</f>
        <v>3.3401995878628625</v>
      </c>
      <c r="AG26" s="44">
        <f t="shared" si="12"/>
        <v>3.3401995878628625E-2</v>
      </c>
      <c r="AH26" s="45"/>
      <c r="AI26" s="46">
        <f t="shared" si="13"/>
        <v>15.813389807985521</v>
      </c>
      <c r="AJ26" s="46">
        <f t="shared" si="14"/>
        <v>19.766737259981902</v>
      </c>
      <c r="AK26" s="40"/>
      <c r="AL26" s="35" t="s">
        <v>172</v>
      </c>
      <c r="AM26" s="35" t="s">
        <v>95</v>
      </c>
      <c r="AN26" s="35" t="s">
        <v>96</v>
      </c>
      <c r="AO26" s="35"/>
      <c r="AP26" s="47"/>
      <c r="AQ26" s="47"/>
      <c r="AR26" s="47"/>
      <c r="AS26" s="47"/>
      <c r="AT26" s="47"/>
      <c r="AU26" s="47"/>
      <c r="AV26" s="47"/>
      <c r="AW26" s="47"/>
      <c r="AX26" s="47"/>
      <c r="AY26" s="47"/>
      <c r="AZ26" s="47"/>
    </row>
    <row r="27" spans="1:52" ht="13.2" x14ac:dyDescent="0.25">
      <c r="A27" s="47"/>
      <c r="B27" s="53"/>
      <c r="C27" s="54"/>
      <c r="D27" s="55"/>
      <c r="E27" s="56"/>
      <c r="F27" s="55"/>
      <c r="G27" s="55"/>
      <c r="H27" s="57"/>
      <c r="I27" s="58"/>
      <c r="J27" s="59"/>
      <c r="K27" s="60"/>
      <c r="L27" s="60"/>
      <c r="M27" s="60"/>
      <c r="N27" s="60"/>
      <c r="O27" s="60"/>
      <c r="P27" s="60"/>
      <c r="Q27" s="60"/>
      <c r="R27" s="60"/>
      <c r="S27" s="60"/>
      <c r="T27" s="60"/>
      <c r="U27" s="53"/>
      <c r="V27" s="55"/>
      <c r="W27" s="55"/>
      <c r="X27" s="55"/>
      <c r="Y27" s="55"/>
      <c r="Z27" s="55"/>
      <c r="AA27" s="55"/>
      <c r="AB27" s="55"/>
      <c r="AC27" s="55"/>
      <c r="AD27" s="55"/>
      <c r="AE27" s="57"/>
      <c r="AF27" s="61"/>
      <c r="AG27" s="61"/>
      <c r="AH27" s="62"/>
      <c r="AI27" s="63"/>
      <c r="AJ27" s="63"/>
      <c r="AK27" s="59"/>
      <c r="AL27" s="53"/>
      <c r="AM27" s="53"/>
      <c r="AN27" s="53"/>
      <c r="AO27" s="53"/>
      <c r="AP27" s="47"/>
      <c r="AQ27" s="47"/>
      <c r="AR27" s="47"/>
      <c r="AS27" s="47"/>
      <c r="AT27" s="47"/>
      <c r="AU27" s="47"/>
      <c r="AV27" s="47"/>
      <c r="AW27" s="47"/>
      <c r="AX27" s="47"/>
      <c r="AY27" s="47"/>
      <c r="AZ27" s="47"/>
    </row>
    <row r="28" spans="1:52" ht="13.2" x14ac:dyDescent="0.25">
      <c r="A28" s="47"/>
      <c r="B28" s="53"/>
      <c r="C28" s="54"/>
      <c r="D28" s="55"/>
      <c r="E28" s="56"/>
      <c r="F28" s="55"/>
      <c r="G28" s="55"/>
      <c r="H28" s="57"/>
      <c r="I28" s="63"/>
      <c r="J28" s="59"/>
      <c r="K28" s="60"/>
      <c r="L28" s="60"/>
      <c r="M28" s="60"/>
      <c r="N28" s="60"/>
      <c r="O28" s="60"/>
      <c r="P28" s="60"/>
      <c r="Q28" s="60"/>
      <c r="R28" s="60"/>
      <c r="S28" s="60"/>
      <c r="T28" s="60"/>
      <c r="U28" s="53"/>
      <c r="V28" s="55"/>
      <c r="W28" s="55"/>
      <c r="X28" s="55"/>
      <c r="Y28" s="55"/>
      <c r="Z28" s="55"/>
      <c r="AA28" s="55"/>
      <c r="AB28" s="55"/>
      <c r="AC28" s="55"/>
      <c r="AD28" s="55"/>
      <c r="AE28" s="57"/>
      <c r="AF28" s="61"/>
      <c r="AG28" s="61"/>
      <c r="AH28" s="62"/>
      <c r="AI28" s="63"/>
      <c r="AJ28" s="63"/>
      <c r="AK28" s="59"/>
      <c r="AL28" s="53"/>
      <c r="AM28" s="53"/>
      <c r="AN28" s="53"/>
      <c r="AO28" s="53"/>
      <c r="AP28" s="47"/>
      <c r="AQ28" s="47"/>
      <c r="AR28" s="47"/>
      <c r="AS28" s="47"/>
      <c r="AT28" s="47"/>
      <c r="AU28" s="47"/>
      <c r="AV28" s="47"/>
      <c r="AW28" s="47"/>
      <c r="AX28" s="47"/>
      <c r="AY28" s="47"/>
      <c r="AZ28" s="47"/>
    </row>
    <row r="29" spans="1:52" ht="13.2" x14ac:dyDescent="0.25">
      <c r="A29" s="47"/>
      <c r="B29" s="53"/>
      <c r="C29" s="54"/>
      <c r="D29" s="55"/>
      <c r="E29" s="56"/>
      <c r="F29" s="55"/>
      <c r="G29" s="55"/>
      <c r="H29" s="57"/>
      <c r="I29" s="63"/>
      <c r="J29" s="59"/>
      <c r="K29" s="60"/>
      <c r="L29" s="60"/>
      <c r="M29" s="60"/>
      <c r="N29" s="60"/>
      <c r="O29" s="60"/>
      <c r="P29" s="60"/>
      <c r="Q29" s="60"/>
      <c r="R29" s="60"/>
      <c r="S29" s="60"/>
      <c r="T29" s="60"/>
      <c r="U29" s="53"/>
      <c r="V29" s="55"/>
      <c r="W29" s="55"/>
      <c r="X29" s="55"/>
      <c r="Y29" s="55"/>
      <c r="Z29" s="55"/>
      <c r="AA29" s="55"/>
      <c r="AB29" s="55"/>
      <c r="AC29" s="55"/>
      <c r="AD29" s="55"/>
      <c r="AE29" s="57"/>
      <c r="AF29" s="61"/>
      <c r="AG29" s="61"/>
      <c r="AH29" s="62"/>
      <c r="AI29" s="63"/>
      <c r="AJ29" s="63"/>
      <c r="AK29" s="59"/>
      <c r="AL29" s="53"/>
      <c r="AM29" s="53"/>
      <c r="AN29" s="53"/>
      <c r="AO29" s="53"/>
      <c r="AP29" s="47"/>
      <c r="AQ29" s="47"/>
      <c r="AR29" s="47"/>
      <c r="AS29" s="47"/>
      <c r="AT29" s="47"/>
      <c r="AU29" s="47"/>
      <c r="AV29" s="47"/>
      <c r="AW29" s="47"/>
      <c r="AX29" s="47"/>
      <c r="AY29" s="47"/>
      <c r="AZ29" s="47"/>
    </row>
    <row r="30" spans="1:52" ht="13.2" x14ac:dyDescent="0.25">
      <c r="A30" s="47"/>
      <c r="B30" s="53"/>
      <c r="C30" s="54"/>
      <c r="D30" s="55"/>
      <c r="E30" s="56"/>
      <c r="F30" s="55"/>
      <c r="G30" s="55"/>
      <c r="H30" s="57"/>
      <c r="I30" s="63"/>
      <c r="J30" s="59"/>
      <c r="K30" s="60"/>
      <c r="L30" s="60"/>
      <c r="M30" s="60"/>
      <c r="N30" s="60"/>
      <c r="O30" s="60"/>
      <c r="P30" s="60"/>
      <c r="Q30" s="53"/>
      <c r="R30" s="53"/>
      <c r="S30" s="53"/>
      <c r="T30" s="53"/>
      <c r="U30" s="53"/>
      <c r="V30" s="55"/>
      <c r="W30" s="55"/>
      <c r="X30" s="55"/>
      <c r="Y30" s="55"/>
      <c r="Z30" s="55"/>
      <c r="AA30" s="55"/>
      <c r="AB30" s="55"/>
      <c r="AC30" s="55"/>
      <c r="AD30" s="55"/>
      <c r="AE30" s="57"/>
      <c r="AF30" s="61"/>
      <c r="AG30" s="61"/>
      <c r="AH30" s="62"/>
      <c r="AI30" s="63"/>
      <c r="AJ30" s="63"/>
      <c r="AK30" s="59"/>
      <c r="AL30" s="53"/>
      <c r="AM30" s="53"/>
      <c r="AN30" s="53"/>
      <c r="AO30" s="53"/>
      <c r="AP30" s="47"/>
      <c r="AQ30" s="47"/>
      <c r="AR30" s="47"/>
      <c r="AS30" s="47"/>
      <c r="AT30" s="47"/>
      <c r="AU30" s="47"/>
      <c r="AV30" s="47"/>
      <c r="AW30" s="47"/>
      <c r="AX30" s="47"/>
      <c r="AY30" s="47"/>
      <c r="AZ30" s="47"/>
    </row>
    <row r="31" spans="1:52" ht="13.2" x14ac:dyDescent="0.25">
      <c r="A31" s="47"/>
      <c r="B31" s="53"/>
      <c r="C31" s="54"/>
      <c r="D31" s="55"/>
      <c r="E31" s="56"/>
      <c r="F31" s="55"/>
      <c r="G31" s="55"/>
      <c r="H31" s="57"/>
      <c r="I31" s="63"/>
      <c r="J31" s="59"/>
      <c r="K31" s="60"/>
      <c r="L31" s="60"/>
      <c r="M31" s="60"/>
      <c r="N31" s="60"/>
      <c r="O31" s="60"/>
      <c r="P31" s="60"/>
      <c r="Q31" s="53"/>
      <c r="R31" s="53"/>
      <c r="S31" s="53"/>
      <c r="T31" s="53"/>
      <c r="U31" s="53"/>
      <c r="V31" s="55"/>
      <c r="W31" s="55"/>
      <c r="X31" s="55"/>
      <c r="Y31" s="55"/>
      <c r="Z31" s="55"/>
      <c r="AA31" s="55"/>
      <c r="AB31" s="55"/>
      <c r="AC31" s="55"/>
      <c r="AD31" s="55"/>
      <c r="AE31" s="57"/>
      <c r="AF31" s="61"/>
      <c r="AG31" s="61"/>
      <c r="AH31" s="62"/>
      <c r="AI31" s="63"/>
      <c r="AJ31" s="63"/>
      <c r="AK31" s="59"/>
      <c r="AL31" s="53"/>
      <c r="AM31" s="53"/>
      <c r="AN31" s="53"/>
      <c r="AO31" s="53"/>
      <c r="AP31" s="47"/>
      <c r="AQ31" s="47"/>
      <c r="AR31" s="47"/>
      <c r="AS31" s="47"/>
      <c r="AT31" s="47"/>
      <c r="AU31" s="47"/>
      <c r="AV31" s="47"/>
      <c r="AW31" s="47"/>
      <c r="AX31" s="47"/>
      <c r="AY31" s="47"/>
      <c r="AZ31" s="47"/>
    </row>
    <row r="32" spans="1:52" ht="13.2" x14ac:dyDescent="0.25">
      <c r="A32" s="47"/>
      <c r="B32" s="53"/>
      <c r="C32" s="54"/>
      <c r="D32" s="55"/>
      <c r="E32" s="56"/>
      <c r="F32" s="55"/>
      <c r="G32" s="55"/>
      <c r="H32" s="57"/>
      <c r="I32" s="63"/>
      <c r="J32" s="59"/>
      <c r="K32" s="60"/>
      <c r="L32" s="60"/>
      <c r="M32" s="60"/>
      <c r="N32" s="60"/>
      <c r="O32" s="60"/>
      <c r="P32" s="60"/>
      <c r="Q32" s="53"/>
      <c r="R32" s="53"/>
      <c r="S32" s="53"/>
      <c r="T32" s="53"/>
      <c r="U32" s="53"/>
      <c r="V32" s="55"/>
      <c r="W32" s="55"/>
      <c r="X32" s="55"/>
      <c r="Y32" s="55"/>
      <c r="Z32" s="55"/>
      <c r="AA32" s="55"/>
      <c r="AB32" s="55"/>
      <c r="AC32" s="55"/>
      <c r="AD32" s="55"/>
      <c r="AE32" s="57"/>
      <c r="AF32" s="61"/>
      <c r="AG32" s="61"/>
      <c r="AH32" s="62"/>
      <c r="AI32" s="63"/>
      <c r="AJ32" s="63"/>
      <c r="AK32" s="59"/>
      <c r="AL32" s="53"/>
      <c r="AM32" s="53"/>
      <c r="AN32" s="53"/>
      <c r="AO32" s="53"/>
      <c r="AP32" s="47"/>
      <c r="AQ32" s="47"/>
      <c r="AR32" s="47"/>
      <c r="AS32" s="47"/>
      <c r="AT32" s="47"/>
      <c r="AU32" s="47"/>
      <c r="AV32" s="47"/>
      <c r="AW32" s="47"/>
      <c r="AX32" s="47"/>
      <c r="AY32" s="47"/>
      <c r="AZ32" s="47"/>
    </row>
    <row r="33" spans="1:52" ht="13.2" x14ac:dyDescent="0.25">
      <c r="A33" s="47"/>
      <c r="B33" s="53"/>
      <c r="C33" s="54"/>
      <c r="D33" s="55"/>
      <c r="E33" s="56"/>
      <c r="F33" s="55"/>
      <c r="G33" s="64"/>
      <c r="H33" s="57"/>
      <c r="I33" s="63"/>
      <c r="J33" s="59"/>
      <c r="K33" s="60"/>
      <c r="L33" s="60"/>
      <c r="M33" s="60"/>
      <c r="N33" s="60"/>
      <c r="O33" s="60"/>
      <c r="P33" s="60"/>
      <c r="Q33" s="53"/>
      <c r="R33" s="53"/>
      <c r="S33" s="53"/>
      <c r="T33" s="53"/>
      <c r="U33" s="53"/>
      <c r="V33" s="55"/>
      <c r="W33" s="55"/>
      <c r="X33" s="55"/>
      <c r="Y33" s="55"/>
      <c r="Z33" s="55"/>
      <c r="AA33" s="55"/>
      <c r="AB33" s="55"/>
      <c r="AC33" s="55"/>
      <c r="AD33" s="55"/>
      <c r="AE33" s="57"/>
      <c r="AF33" s="61"/>
      <c r="AG33" s="61"/>
      <c r="AH33" s="62"/>
      <c r="AI33" s="63"/>
      <c r="AJ33" s="63"/>
      <c r="AK33" s="59"/>
      <c r="AL33" s="53"/>
      <c r="AM33" s="53"/>
      <c r="AN33" s="53"/>
      <c r="AO33" s="53"/>
      <c r="AP33" s="47"/>
      <c r="AQ33" s="47"/>
      <c r="AR33" s="47"/>
      <c r="AS33" s="47"/>
      <c r="AT33" s="47"/>
      <c r="AU33" s="47"/>
      <c r="AV33" s="47"/>
      <c r="AW33" s="47"/>
      <c r="AX33" s="47"/>
      <c r="AY33" s="47"/>
      <c r="AZ33" s="47"/>
    </row>
    <row r="34" spans="1:52" ht="13.2" x14ac:dyDescent="0.25">
      <c r="A34" s="47"/>
      <c r="B34" s="53"/>
      <c r="C34" s="54"/>
      <c r="D34" s="55"/>
      <c r="E34" s="56"/>
      <c r="F34" s="55"/>
      <c r="G34" s="64"/>
      <c r="H34" s="57"/>
      <c r="I34" s="63"/>
      <c r="J34" s="59"/>
      <c r="K34" s="60"/>
      <c r="L34" s="60"/>
      <c r="M34" s="60"/>
      <c r="N34" s="60"/>
      <c r="O34" s="60"/>
      <c r="P34" s="60"/>
      <c r="Q34" s="53"/>
      <c r="R34" s="53"/>
      <c r="S34" s="53"/>
      <c r="T34" s="53"/>
      <c r="U34" s="53"/>
      <c r="V34" s="55"/>
      <c r="W34" s="55"/>
      <c r="X34" s="55"/>
      <c r="Y34" s="55"/>
      <c r="Z34" s="55"/>
      <c r="AA34" s="55"/>
      <c r="AB34" s="55"/>
      <c r="AC34" s="55"/>
      <c r="AD34" s="55"/>
      <c r="AE34" s="57"/>
      <c r="AF34" s="61"/>
      <c r="AG34" s="61"/>
      <c r="AH34" s="62"/>
      <c r="AI34" s="63"/>
      <c r="AJ34" s="63"/>
      <c r="AK34" s="59"/>
      <c r="AL34" s="53"/>
      <c r="AM34" s="53"/>
      <c r="AN34" s="53"/>
      <c r="AO34" s="53"/>
      <c r="AP34" s="47"/>
      <c r="AQ34" s="47"/>
      <c r="AR34" s="47"/>
      <c r="AS34" s="47"/>
      <c r="AT34" s="47"/>
      <c r="AU34" s="47"/>
      <c r="AV34" s="47"/>
      <c r="AW34" s="47"/>
      <c r="AX34" s="47"/>
      <c r="AY34" s="47"/>
      <c r="AZ34" s="47"/>
    </row>
    <row r="35" spans="1:52" ht="13.2" x14ac:dyDescent="0.25">
      <c r="A35" s="47"/>
      <c r="B35" s="53"/>
      <c r="C35" s="54"/>
      <c r="D35" s="55"/>
      <c r="E35" s="56"/>
      <c r="F35" s="55"/>
      <c r="G35" s="64"/>
      <c r="H35" s="57"/>
      <c r="I35" s="63"/>
      <c r="J35" s="59"/>
      <c r="K35" s="60"/>
      <c r="L35" s="60"/>
      <c r="M35" s="60"/>
      <c r="N35" s="60"/>
      <c r="O35" s="60"/>
      <c r="P35" s="60"/>
      <c r="Q35" s="53"/>
      <c r="R35" s="53"/>
      <c r="S35" s="53"/>
      <c r="T35" s="53"/>
      <c r="U35" s="53"/>
      <c r="V35" s="55"/>
      <c r="W35" s="55"/>
      <c r="X35" s="55"/>
      <c r="Y35" s="55"/>
      <c r="Z35" s="55"/>
      <c r="AA35" s="55"/>
      <c r="AB35" s="55"/>
      <c r="AC35" s="55"/>
      <c r="AD35" s="55"/>
      <c r="AE35" s="57"/>
      <c r="AF35" s="61"/>
      <c r="AG35" s="61"/>
      <c r="AH35" s="62"/>
      <c r="AI35" s="63"/>
      <c r="AJ35" s="63"/>
      <c r="AK35" s="59"/>
      <c r="AL35" s="53"/>
      <c r="AM35" s="53"/>
      <c r="AN35" s="53"/>
      <c r="AO35" s="53"/>
      <c r="AP35" s="47"/>
      <c r="AQ35" s="47"/>
      <c r="AR35" s="47"/>
      <c r="AS35" s="47"/>
      <c r="AT35" s="47"/>
      <c r="AU35" s="47"/>
      <c r="AV35" s="47"/>
      <c r="AW35" s="47"/>
      <c r="AX35" s="47"/>
      <c r="AY35" s="47"/>
      <c r="AZ35" s="47"/>
    </row>
    <row r="36" spans="1:52" ht="13.2" x14ac:dyDescent="0.25">
      <c r="A36" s="47"/>
      <c r="B36" s="53"/>
      <c r="C36" s="54"/>
      <c r="D36" s="55"/>
      <c r="E36" s="56"/>
      <c r="F36" s="55"/>
      <c r="G36" s="64"/>
      <c r="H36" s="57"/>
      <c r="I36" s="63"/>
      <c r="J36" s="59"/>
      <c r="K36" s="60"/>
      <c r="L36" s="60"/>
      <c r="M36" s="60"/>
      <c r="N36" s="60"/>
      <c r="O36" s="60"/>
      <c r="P36" s="60"/>
      <c r="Q36" s="53"/>
      <c r="R36" s="53"/>
      <c r="S36" s="53"/>
      <c r="T36" s="53"/>
      <c r="U36" s="53"/>
      <c r="V36" s="55"/>
      <c r="W36" s="55"/>
      <c r="X36" s="55"/>
      <c r="Y36" s="55"/>
      <c r="Z36" s="55"/>
      <c r="AA36" s="55"/>
      <c r="AB36" s="55"/>
      <c r="AC36" s="55"/>
      <c r="AD36" s="55"/>
      <c r="AE36" s="57"/>
      <c r="AF36" s="61"/>
      <c r="AG36" s="61"/>
      <c r="AH36" s="62"/>
      <c r="AI36" s="63"/>
      <c r="AJ36" s="63"/>
      <c r="AK36" s="59"/>
      <c r="AL36" s="53"/>
      <c r="AM36" s="53"/>
      <c r="AN36" s="53"/>
      <c r="AO36" s="53"/>
      <c r="AP36" s="47"/>
      <c r="AQ36" s="47"/>
      <c r="AR36" s="47"/>
      <c r="AS36" s="47"/>
      <c r="AT36" s="47"/>
      <c r="AU36" s="47"/>
      <c r="AV36" s="47"/>
      <c r="AW36" s="47"/>
      <c r="AX36" s="47"/>
      <c r="AY36" s="47"/>
      <c r="AZ36" s="47"/>
    </row>
    <row r="37" spans="1:52" ht="13.2" x14ac:dyDescent="0.25">
      <c r="A37" s="47"/>
      <c r="B37" s="53"/>
      <c r="C37" s="54"/>
      <c r="D37" s="55"/>
      <c r="E37" s="56"/>
      <c r="F37" s="55"/>
      <c r="G37" s="64"/>
      <c r="H37" s="57"/>
      <c r="I37" s="63"/>
      <c r="J37" s="59"/>
      <c r="K37" s="60"/>
      <c r="L37" s="60"/>
      <c r="M37" s="60"/>
      <c r="N37" s="60"/>
      <c r="O37" s="53"/>
      <c r="P37" s="53"/>
      <c r="Q37" s="53"/>
      <c r="R37" s="53"/>
      <c r="S37" s="53"/>
      <c r="T37" s="53"/>
      <c r="U37" s="53"/>
      <c r="V37" s="55"/>
      <c r="W37" s="55"/>
      <c r="X37" s="55"/>
      <c r="Y37" s="55"/>
      <c r="Z37" s="55"/>
      <c r="AA37" s="55"/>
      <c r="AB37" s="55"/>
      <c r="AC37" s="55"/>
      <c r="AD37" s="55"/>
      <c r="AE37" s="57"/>
      <c r="AF37" s="61"/>
      <c r="AG37" s="61"/>
      <c r="AH37" s="62"/>
      <c r="AI37" s="63"/>
      <c r="AJ37" s="63"/>
      <c r="AK37" s="59"/>
      <c r="AL37" s="53"/>
      <c r="AM37" s="53"/>
      <c r="AN37" s="53"/>
      <c r="AO37" s="53"/>
      <c r="AP37" s="47"/>
      <c r="AQ37" s="47"/>
      <c r="AR37" s="47"/>
      <c r="AS37" s="47"/>
      <c r="AT37" s="47"/>
      <c r="AU37" s="47"/>
      <c r="AV37" s="47"/>
      <c r="AW37" s="47"/>
      <c r="AX37" s="47"/>
      <c r="AY37" s="47"/>
      <c r="AZ37" s="47"/>
    </row>
    <row r="38" spans="1:52" ht="13.2" x14ac:dyDescent="0.25">
      <c r="A38" s="47"/>
      <c r="B38" s="53"/>
      <c r="C38" s="54"/>
      <c r="D38" s="55"/>
      <c r="E38" s="56"/>
      <c r="F38" s="55"/>
      <c r="G38" s="64"/>
      <c r="H38" s="57"/>
      <c r="I38" s="63"/>
      <c r="J38" s="59"/>
      <c r="K38" s="53"/>
      <c r="L38" s="53"/>
      <c r="M38" s="53"/>
      <c r="N38" s="53"/>
      <c r="O38" s="53"/>
      <c r="P38" s="53"/>
      <c r="Q38" s="53"/>
      <c r="R38" s="53"/>
      <c r="S38" s="53"/>
      <c r="T38" s="53"/>
      <c r="U38" s="53"/>
      <c r="V38" s="55"/>
      <c r="W38" s="55"/>
      <c r="X38" s="55"/>
      <c r="Y38" s="55"/>
      <c r="Z38" s="55"/>
      <c r="AA38" s="55"/>
      <c r="AB38" s="55"/>
      <c r="AC38" s="55"/>
      <c r="AD38" s="55"/>
      <c r="AE38" s="57"/>
      <c r="AF38" s="61"/>
      <c r="AG38" s="61"/>
      <c r="AH38" s="62"/>
      <c r="AI38" s="63"/>
      <c r="AJ38" s="63"/>
      <c r="AK38" s="59"/>
      <c r="AL38" s="53"/>
      <c r="AM38" s="53"/>
      <c r="AN38" s="53"/>
      <c r="AO38" s="53"/>
      <c r="AP38" s="47"/>
      <c r="AQ38" s="47"/>
      <c r="AR38" s="47"/>
      <c r="AS38" s="47"/>
      <c r="AT38" s="47"/>
      <c r="AU38" s="47"/>
      <c r="AV38" s="47"/>
      <c r="AW38" s="47"/>
      <c r="AX38" s="47"/>
      <c r="AY38" s="47"/>
      <c r="AZ38" s="47"/>
    </row>
    <row r="39" spans="1:52" ht="13.2" x14ac:dyDescent="0.25">
      <c r="A39" s="47"/>
      <c r="B39" s="53"/>
      <c r="C39" s="54"/>
      <c r="D39" s="55"/>
      <c r="E39" s="56"/>
      <c r="F39" s="55"/>
      <c r="G39" s="64"/>
      <c r="H39" s="57"/>
      <c r="I39" s="63"/>
      <c r="J39" s="59"/>
      <c r="K39" s="53"/>
      <c r="L39" s="53"/>
      <c r="M39" s="53"/>
      <c r="N39" s="53"/>
      <c r="O39" s="53"/>
      <c r="P39" s="53"/>
      <c r="Q39" s="53"/>
      <c r="R39" s="53"/>
      <c r="S39" s="53"/>
      <c r="T39" s="53"/>
      <c r="U39" s="53"/>
      <c r="V39" s="55"/>
      <c r="W39" s="55"/>
      <c r="X39" s="55"/>
      <c r="Y39" s="55"/>
      <c r="Z39" s="55"/>
      <c r="AA39" s="55"/>
      <c r="AB39" s="55"/>
      <c r="AC39" s="55"/>
      <c r="AD39" s="55"/>
      <c r="AE39" s="57"/>
      <c r="AF39" s="61"/>
      <c r="AG39" s="61"/>
      <c r="AH39" s="62"/>
      <c r="AI39" s="63"/>
      <c r="AJ39" s="63"/>
      <c r="AK39" s="59"/>
      <c r="AL39" s="53"/>
      <c r="AM39" s="53"/>
      <c r="AN39" s="53"/>
      <c r="AO39" s="53"/>
      <c r="AP39" s="47"/>
      <c r="AQ39" s="47"/>
      <c r="AR39" s="47"/>
      <c r="AS39" s="47"/>
      <c r="AT39" s="47"/>
      <c r="AU39" s="47"/>
      <c r="AV39" s="47"/>
      <c r="AW39" s="47"/>
      <c r="AX39" s="47"/>
      <c r="AY39" s="47"/>
      <c r="AZ39" s="47"/>
    </row>
    <row r="40" spans="1:52" ht="13.2" x14ac:dyDescent="0.25">
      <c r="A40" s="47"/>
      <c r="B40" s="53"/>
      <c r="C40" s="54"/>
      <c r="D40" s="55"/>
      <c r="E40" s="56"/>
      <c r="F40" s="55"/>
      <c r="G40" s="64"/>
      <c r="H40" s="57"/>
      <c r="I40" s="63"/>
      <c r="J40" s="59"/>
      <c r="K40" s="53"/>
      <c r="L40" s="53"/>
      <c r="M40" s="53"/>
      <c r="N40" s="53"/>
      <c r="O40" s="53"/>
      <c r="P40" s="53"/>
      <c r="Q40" s="53"/>
      <c r="R40" s="53"/>
      <c r="S40" s="53"/>
      <c r="T40" s="53"/>
      <c r="U40" s="53"/>
      <c r="V40" s="55"/>
      <c r="W40" s="55"/>
      <c r="X40" s="55"/>
      <c r="Y40" s="55"/>
      <c r="Z40" s="55"/>
      <c r="AA40" s="55"/>
      <c r="AB40" s="55"/>
      <c r="AC40" s="55"/>
      <c r="AD40" s="55"/>
      <c r="AE40" s="57"/>
      <c r="AF40" s="61"/>
      <c r="AG40" s="61"/>
      <c r="AH40" s="62"/>
      <c r="AI40" s="63"/>
      <c r="AJ40" s="63"/>
      <c r="AK40" s="59"/>
      <c r="AL40" s="53"/>
      <c r="AM40" s="53"/>
      <c r="AN40" s="53"/>
      <c r="AO40" s="53"/>
      <c r="AP40" s="47"/>
      <c r="AQ40" s="47"/>
      <c r="AR40" s="47"/>
      <c r="AS40" s="47"/>
      <c r="AT40" s="47"/>
      <c r="AU40" s="47"/>
      <c r="AV40" s="47"/>
      <c r="AW40" s="47"/>
      <c r="AX40" s="47"/>
      <c r="AY40" s="47"/>
      <c r="AZ40" s="47"/>
    </row>
    <row r="41" spans="1:52" ht="13.2" x14ac:dyDescent="0.25">
      <c r="A41" s="47"/>
      <c r="B41" s="53"/>
      <c r="C41" s="54"/>
      <c r="D41" s="55"/>
      <c r="E41" s="56"/>
      <c r="F41" s="55"/>
      <c r="G41" s="64"/>
      <c r="H41" s="57"/>
      <c r="I41" s="63"/>
      <c r="J41" s="59"/>
      <c r="K41" s="53"/>
      <c r="L41" s="53"/>
      <c r="M41" s="53"/>
      <c r="N41" s="53"/>
      <c r="O41" s="53"/>
      <c r="P41" s="53"/>
      <c r="Q41" s="53"/>
      <c r="R41" s="53"/>
      <c r="S41" s="53"/>
      <c r="T41" s="53"/>
      <c r="U41" s="53"/>
      <c r="V41" s="55"/>
      <c r="W41" s="55"/>
      <c r="X41" s="55"/>
      <c r="Y41" s="55"/>
      <c r="Z41" s="55"/>
      <c r="AA41" s="55"/>
      <c r="AB41" s="55"/>
      <c r="AC41" s="55"/>
      <c r="AD41" s="55"/>
      <c r="AE41" s="57"/>
      <c r="AF41" s="61"/>
      <c r="AG41" s="61"/>
      <c r="AH41" s="62"/>
      <c r="AI41" s="63"/>
      <c r="AJ41" s="63"/>
      <c r="AK41" s="59"/>
      <c r="AL41" s="53"/>
      <c r="AM41" s="53"/>
      <c r="AN41" s="53"/>
      <c r="AO41" s="53"/>
      <c r="AP41" s="47"/>
      <c r="AQ41" s="47"/>
      <c r="AR41" s="47"/>
      <c r="AS41" s="47"/>
      <c r="AT41" s="47"/>
      <c r="AU41" s="47"/>
      <c r="AV41" s="47"/>
      <c r="AW41" s="47"/>
      <c r="AX41" s="47"/>
      <c r="AY41" s="47"/>
      <c r="AZ41" s="47"/>
    </row>
    <row r="42" spans="1:52" ht="13.2" x14ac:dyDescent="0.25">
      <c r="A42" s="47"/>
      <c r="B42" s="53"/>
      <c r="C42" s="54"/>
      <c r="D42" s="55"/>
      <c r="E42" s="56"/>
      <c r="F42" s="55"/>
      <c r="G42" s="64"/>
      <c r="H42" s="57"/>
      <c r="I42" s="63"/>
      <c r="J42" s="59"/>
      <c r="K42" s="53"/>
      <c r="L42" s="53"/>
      <c r="M42" s="53"/>
      <c r="N42" s="53"/>
      <c r="O42" s="53"/>
      <c r="P42" s="53"/>
      <c r="Q42" s="53"/>
      <c r="R42" s="53"/>
      <c r="S42" s="53"/>
      <c r="T42" s="53"/>
      <c r="U42" s="53"/>
      <c r="V42" s="55"/>
      <c r="W42" s="55"/>
      <c r="X42" s="55"/>
      <c r="Y42" s="55"/>
      <c r="Z42" s="55"/>
      <c r="AA42" s="55"/>
      <c r="AB42" s="55"/>
      <c r="AC42" s="55"/>
      <c r="AD42" s="55"/>
      <c r="AE42" s="57"/>
      <c r="AF42" s="61"/>
      <c r="AG42" s="61"/>
      <c r="AH42" s="62"/>
      <c r="AI42" s="63"/>
      <c r="AJ42" s="63"/>
      <c r="AK42" s="59"/>
      <c r="AL42" s="53"/>
      <c r="AM42" s="53"/>
      <c r="AN42" s="53"/>
      <c r="AO42" s="53"/>
      <c r="AP42" s="47"/>
      <c r="AQ42" s="47"/>
      <c r="AR42" s="47"/>
      <c r="AS42" s="47"/>
      <c r="AT42" s="47"/>
      <c r="AU42" s="47"/>
      <c r="AV42" s="47"/>
      <c r="AW42" s="47"/>
      <c r="AX42" s="47"/>
      <c r="AY42" s="47"/>
      <c r="AZ42" s="47"/>
    </row>
    <row r="43" spans="1:52" ht="13.2" x14ac:dyDescent="0.25">
      <c r="A43" s="47"/>
      <c r="B43" s="53"/>
      <c r="C43" s="54"/>
      <c r="D43" s="55"/>
      <c r="E43" s="56"/>
      <c r="F43" s="55"/>
      <c r="G43" s="64"/>
      <c r="H43" s="57"/>
      <c r="I43" s="63"/>
      <c r="J43" s="59"/>
      <c r="K43" s="53"/>
      <c r="L43" s="53"/>
      <c r="M43" s="53"/>
      <c r="N43" s="53"/>
      <c r="O43" s="53"/>
      <c r="P43" s="53"/>
      <c r="Q43" s="53"/>
      <c r="R43" s="53"/>
      <c r="S43" s="53"/>
      <c r="T43" s="53"/>
      <c r="U43" s="53"/>
      <c r="V43" s="55"/>
      <c r="W43" s="55"/>
      <c r="X43" s="55"/>
      <c r="Y43" s="55"/>
      <c r="Z43" s="55"/>
      <c r="AA43" s="55"/>
      <c r="AB43" s="55"/>
      <c r="AC43" s="55"/>
      <c r="AD43" s="55"/>
      <c r="AE43" s="57"/>
      <c r="AF43" s="61"/>
      <c r="AG43" s="61"/>
      <c r="AH43" s="62"/>
      <c r="AI43" s="63"/>
      <c r="AJ43" s="63"/>
      <c r="AK43" s="59"/>
      <c r="AL43" s="53"/>
      <c r="AM43" s="53"/>
      <c r="AN43" s="53"/>
      <c r="AO43" s="53"/>
      <c r="AP43" s="47"/>
      <c r="AQ43" s="47"/>
      <c r="AR43" s="47"/>
      <c r="AS43" s="47"/>
      <c r="AT43" s="47"/>
      <c r="AU43" s="47"/>
      <c r="AV43" s="47"/>
      <c r="AW43" s="47"/>
      <c r="AX43" s="47"/>
      <c r="AY43" s="47"/>
      <c r="AZ43" s="47"/>
    </row>
    <row r="44" spans="1:52" ht="13.2" x14ac:dyDescent="0.25">
      <c r="A44" s="47"/>
      <c r="B44" s="53"/>
      <c r="C44" s="54"/>
      <c r="D44" s="55"/>
      <c r="E44" s="56"/>
      <c r="F44" s="55"/>
      <c r="G44" s="64"/>
      <c r="H44" s="57"/>
      <c r="I44" s="63"/>
      <c r="J44" s="59"/>
      <c r="K44" s="53"/>
      <c r="L44" s="53"/>
      <c r="M44" s="53"/>
      <c r="N44" s="53"/>
      <c r="O44" s="53"/>
      <c r="P44" s="53"/>
      <c r="Q44" s="53"/>
      <c r="R44" s="53"/>
      <c r="S44" s="53"/>
      <c r="T44" s="53"/>
      <c r="U44" s="53"/>
      <c r="V44" s="55"/>
      <c r="W44" s="55"/>
      <c r="X44" s="55"/>
      <c r="Y44" s="55"/>
      <c r="Z44" s="55"/>
      <c r="AA44" s="55"/>
      <c r="AB44" s="55"/>
      <c r="AC44" s="55"/>
      <c r="AD44" s="55"/>
      <c r="AE44" s="57"/>
      <c r="AF44" s="61"/>
      <c r="AG44" s="61"/>
      <c r="AH44" s="62"/>
      <c r="AI44" s="63"/>
      <c r="AJ44" s="63"/>
      <c r="AK44" s="59"/>
      <c r="AL44" s="53"/>
      <c r="AM44" s="53"/>
      <c r="AN44" s="53"/>
      <c r="AO44" s="53"/>
      <c r="AP44" s="47"/>
      <c r="AQ44" s="47"/>
      <c r="AR44" s="47"/>
      <c r="AS44" s="47"/>
      <c r="AT44" s="47"/>
      <c r="AU44" s="47"/>
      <c r="AV44" s="47"/>
      <c r="AW44" s="47"/>
      <c r="AX44" s="47"/>
      <c r="AY44" s="47"/>
      <c r="AZ44" s="47"/>
    </row>
    <row r="45" spans="1:52" ht="13.2" x14ac:dyDescent="0.25">
      <c r="A45" s="47"/>
      <c r="B45" s="53"/>
      <c r="C45" s="54"/>
      <c r="D45" s="55"/>
      <c r="E45" s="56"/>
      <c r="F45" s="55"/>
      <c r="G45" s="64"/>
      <c r="H45" s="57"/>
      <c r="I45" s="63"/>
      <c r="J45" s="59"/>
      <c r="K45" s="53"/>
      <c r="L45" s="53"/>
      <c r="M45" s="53"/>
      <c r="N45" s="53"/>
      <c r="O45" s="53"/>
      <c r="P45" s="53"/>
      <c r="Q45" s="53"/>
      <c r="R45" s="53"/>
      <c r="S45" s="53"/>
      <c r="T45" s="53"/>
      <c r="U45" s="53"/>
      <c r="V45" s="55"/>
      <c r="W45" s="55"/>
      <c r="X45" s="55"/>
      <c r="Y45" s="55"/>
      <c r="Z45" s="55"/>
      <c r="AA45" s="55"/>
      <c r="AB45" s="55"/>
      <c r="AC45" s="55"/>
      <c r="AD45" s="55"/>
      <c r="AE45" s="57"/>
      <c r="AF45" s="61"/>
      <c r="AG45" s="61"/>
      <c r="AH45" s="62"/>
      <c r="AI45" s="63"/>
      <c r="AJ45" s="63"/>
      <c r="AK45" s="59"/>
      <c r="AL45" s="53"/>
      <c r="AM45" s="53"/>
      <c r="AN45" s="53"/>
      <c r="AO45" s="53"/>
      <c r="AP45" s="47"/>
      <c r="AQ45" s="47"/>
      <c r="AR45" s="47"/>
      <c r="AS45" s="47"/>
      <c r="AT45" s="47"/>
      <c r="AU45" s="47"/>
      <c r="AV45" s="47"/>
      <c r="AW45" s="47"/>
      <c r="AX45" s="47"/>
      <c r="AY45" s="47"/>
      <c r="AZ45" s="47"/>
    </row>
    <row r="46" spans="1:52" ht="13.2" x14ac:dyDescent="0.25">
      <c r="A46" s="47"/>
      <c r="B46" s="53"/>
      <c r="C46" s="54"/>
      <c r="D46" s="55"/>
      <c r="E46" s="56"/>
      <c r="F46" s="55"/>
      <c r="G46" s="64"/>
      <c r="H46" s="57"/>
      <c r="I46" s="63"/>
      <c r="J46" s="59"/>
      <c r="K46" s="53"/>
      <c r="L46" s="53"/>
      <c r="M46" s="53"/>
      <c r="N46" s="53"/>
      <c r="O46" s="53"/>
      <c r="P46" s="53"/>
      <c r="Q46" s="53"/>
      <c r="R46" s="53"/>
      <c r="S46" s="53"/>
      <c r="T46" s="53"/>
      <c r="U46" s="53"/>
      <c r="V46" s="55"/>
      <c r="W46" s="55"/>
      <c r="X46" s="55"/>
      <c r="Y46" s="55"/>
      <c r="Z46" s="55"/>
      <c r="AA46" s="55"/>
      <c r="AB46" s="55"/>
      <c r="AC46" s="55"/>
      <c r="AD46" s="55"/>
      <c r="AE46" s="57"/>
      <c r="AF46" s="61"/>
      <c r="AG46" s="61"/>
      <c r="AH46" s="62"/>
      <c r="AI46" s="63"/>
      <c r="AJ46" s="63"/>
      <c r="AK46" s="59"/>
      <c r="AL46" s="53"/>
      <c r="AM46" s="53"/>
      <c r="AN46" s="53"/>
      <c r="AO46" s="53"/>
      <c r="AP46" s="47"/>
      <c r="AQ46" s="47"/>
      <c r="AR46" s="47"/>
      <c r="AS46" s="47"/>
      <c r="AT46" s="47"/>
      <c r="AU46" s="47"/>
      <c r="AV46" s="47"/>
      <c r="AW46" s="47"/>
      <c r="AX46" s="47"/>
      <c r="AY46" s="47"/>
      <c r="AZ46" s="47"/>
    </row>
    <row r="47" spans="1:52" ht="13.2" x14ac:dyDescent="0.25">
      <c r="A47" s="47"/>
      <c r="B47" s="53"/>
      <c r="C47" s="54"/>
      <c r="D47" s="55"/>
      <c r="E47" s="56"/>
      <c r="F47" s="55"/>
      <c r="G47" s="64"/>
      <c r="H47" s="57"/>
      <c r="I47" s="63"/>
      <c r="J47" s="59"/>
      <c r="K47" s="53"/>
      <c r="L47" s="53"/>
      <c r="M47" s="53"/>
      <c r="N47" s="53"/>
      <c r="O47" s="53"/>
      <c r="P47" s="53"/>
      <c r="Q47" s="53"/>
      <c r="R47" s="53"/>
      <c r="S47" s="53"/>
      <c r="T47" s="53"/>
      <c r="U47" s="53"/>
      <c r="V47" s="55"/>
      <c r="W47" s="55"/>
      <c r="X47" s="55"/>
      <c r="Y47" s="55"/>
      <c r="Z47" s="55"/>
      <c r="AA47" s="55"/>
      <c r="AB47" s="55"/>
      <c r="AC47" s="55"/>
      <c r="AD47" s="55"/>
      <c r="AE47" s="57"/>
      <c r="AF47" s="61"/>
      <c r="AG47" s="61"/>
      <c r="AH47" s="62"/>
      <c r="AI47" s="63"/>
      <c r="AJ47" s="63"/>
      <c r="AK47" s="59"/>
      <c r="AL47" s="53"/>
      <c r="AM47" s="53"/>
      <c r="AN47" s="53"/>
      <c r="AO47" s="53"/>
      <c r="AP47" s="47"/>
      <c r="AQ47" s="47"/>
      <c r="AR47" s="47"/>
      <c r="AS47" s="47"/>
      <c r="AT47" s="47"/>
      <c r="AU47" s="47"/>
      <c r="AV47" s="47"/>
      <c r="AW47" s="47"/>
      <c r="AX47" s="47"/>
      <c r="AY47" s="47"/>
      <c r="AZ47" s="47"/>
    </row>
    <row r="48" spans="1:52" ht="13.2" x14ac:dyDescent="0.25">
      <c r="A48" s="47"/>
      <c r="B48" s="53"/>
      <c r="C48" s="54"/>
      <c r="D48" s="55"/>
      <c r="E48" s="56"/>
      <c r="F48" s="55"/>
      <c r="G48" s="64"/>
      <c r="H48" s="57"/>
      <c r="I48" s="63"/>
      <c r="J48" s="59"/>
      <c r="K48" s="53"/>
      <c r="L48" s="53"/>
      <c r="M48" s="53"/>
      <c r="N48" s="53"/>
      <c r="O48" s="53"/>
      <c r="P48" s="53"/>
      <c r="Q48" s="53"/>
      <c r="R48" s="53"/>
      <c r="S48" s="53"/>
      <c r="T48" s="53"/>
      <c r="U48" s="53"/>
      <c r="V48" s="55"/>
      <c r="W48" s="55"/>
      <c r="X48" s="55"/>
      <c r="Y48" s="55"/>
      <c r="Z48" s="55"/>
      <c r="AA48" s="55"/>
      <c r="AB48" s="55"/>
      <c r="AC48" s="55"/>
      <c r="AD48" s="55"/>
      <c r="AE48" s="57"/>
      <c r="AF48" s="61"/>
      <c r="AG48" s="61"/>
      <c r="AH48" s="62"/>
      <c r="AI48" s="63"/>
      <c r="AJ48" s="63"/>
      <c r="AK48" s="59"/>
      <c r="AL48" s="53"/>
      <c r="AM48" s="53"/>
      <c r="AN48" s="53"/>
      <c r="AO48" s="53"/>
      <c r="AP48" s="47"/>
      <c r="AQ48" s="47"/>
      <c r="AR48" s="47"/>
      <c r="AS48" s="47"/>
      <c r="AT48" s="47"/>
      <c r="AU48" s="47"/>
      <c r="AV48" s="47"/>
      <c r="AW48" s="47"/>
      <c r="AX48" s="47"/>
      <c r="AY48" s="47"/>
      <c r="AZ48" s="47"/>
    </row>
    <row r="49" spans="1:52" ht="13.2" x14ac:dyDescent="0.25">
      <c r="A49" s="47"/>
      <c r="B49" s="53"/>
      <c r="C49" s="54"/>
      <c r="D49" s="55"/>
      <c r="E49" s="56"/>
      <c r="F49" s="55"/>
      <c r="G49" s="64"/>
      <c r="H49" s="57"/>
      <c r="I49" s="63"/>
      <c r="J49" s="59"/>
      <c r="K49" s="53"/>
      <c r="L49" s="53"/>
      <c r="M49" s="53"/>
      <c r="N49" s="53"/>
      <c r="O49" s="53"/>
      <c r="P49" s="53"/>
      <c r="Q49" s="53"/>
      <c r="R49" s="53"/>
      <c r="S49" s="53"/>
      <c r="T49" s="53"/>
      <c r="U49" s="53"/>
      <c r="V49" s="55"/>
      <c r="W49" s="55"/>
      <c r="X49" s="55"/>
      <c r="Y49" s="55"/>
      <c r="Z49" s="55"/>
      <c r="AA49" s="55"/>
      <c r="AB49" s="55"/>
      <c r="AC49" s="55"/>
      <c r="AD49" s="55"/>
      <c r="AE49" s="57"/>
      <c r="AF49" s="61"/>
      <c r="AG49" s="61"/>
      <c r="AH49" s="62"/>
      <c r="AI49" s="63"/>
      <c r="AJ49" s="63"/>
      <c r="AK49" s="59"/>
      <c r="AL49" s="53"/>
      <c r="AM49" s="53"/>
      <c r="AN49" s="53"/>
      <c r="AO49" s="53"/>
      <c r="AP49" s="47"/>
      <c r="AQ49" s="47"/>
      <c r="AR49" s="47"/>
      <c r="AS49" s="47"/>
      <c r="AT49" s="47"/>
      <c r="AU49" s="47"/>
      <c r="AV49" s="47"/>
      <c r="AW49" s="47"/>
      <c r="AX49" s="47"/>
      <c r="AY49" s="47"/>
      <c r="AZ49" s="47"/>
    </row>
    <row r="50" spans="1:52" ht="13.2" x14ac:dyDescent="0.25">
      <c r="A50" s="47"/>
      <c r="B50" s="53"/>
      <c r="C50" s="54"/>
      <c r="D50" s="55"/>
      <c r="E50" s="56"/>
      <c r="F50" s="55"/>
      <c r="G50" s="64"/>
      <c r="H50" s="57"/>
      <c r="I50" s="63"/>
      <c r="J50" s="59"/>
      <c r="K50" s="53"/>
      <c r="L50" s="53"/>
      <c r="M50" s="53"/>
      <c r="N50" s="53"/>
      <c r="O50" s="53"/>
      <c r="P50" s="53"/>
      <c r="Q50" s="53"/>
      <c r="R50" s="53"/>
      <c r="S50" s="53"/>
      <c r="T50" s="53"/>
      <c r="U50" s="53"/>
      <c r="V50" s="55"/>
      <c r="W50" s="55"/>
      <c r="X50" s="55"/>
      <c r="Y50" s="55"/>
      <c r="Z50" s="55"/>
      <c r="AA50" s="55"/>
      <c r="AB50" s="55"/>
      <c r="AC50" s="55"/>
      <c r="AD50" s="55"/>
      <c r="AE50" s="57"/>
      <c r="AF50" s="61"/>
      <c r="AG50" s="61"/>
      <c r="AH50" s="62"/>
      <c r="AI50" s="63"/>
      <c r="AJ50" s="63"/>
      <c r="AK50" s="59"/>
      <c r="AL50" s="53"/>
      <c r="AM50" s="53"/>
      <c r="AN50" s="53"/>
      <c r="AO50" s="53"/>
      <c r="AP50" s="47"/>
      <c r="AQ50" s="47"/>
      <c r="AR50" s="47"/>
      <c r="AS50" s="47"/>
      <c r="AT50" s="47"/>
      <c r="AU50" s="47"/>
      <c r="AV50" s="47"/>
      <c r="AW50" s="47"/>
      <c r="AX50" s="47"/>
      <c r="AY50" s="47"/>
      <c r="AZ50" s="47"/>
    </row>
    <row r="51" spans="1:52" ht="13.2" x14ac:dyDescent="0.25">
      <c r="A51" s="47"/>
      <c r="B51" s="53"/>
      <c r="C51" s="54"/>
      <c r="D51" s="55"/>
      <c r="E51" s="56"/>
      <c r="F51" s="55"/>
      <c r="G51" s="64"/>
      <c r="H51" s="57"/>
      <c r="I51" s="63"/>
      <c r="J51" s="59"/>
      <c r="K51" s="53"/>
      <c r="L51" s="53"/>
      <c r="M51" s="53"/>
      <c r="N51" s="53"/>
      <c r="O51" s="53"/>
      <c r="P51" s="53"/>
      <c r="Q51" s="53"/>
      <c r="R51" s="53"/>
      <c r="S51" s="53"/>
      <c r="T51" s="53"/>
      <c r="U51" s="53"/>
      <c r="V51" s="55"/>
      <c r="W51" s="55"/>
      <c r="X51" s="55"/>
      <c r="Y51" s="55"/>
      <c r="Z51" s="55"/>
      <c r="AA51" s="55"/>
      <c r="AB51" s="55"/>
      <c r="AC51" s="55"/>
      <c r="AD51" s="55"/>
      <c r="AE51" s="57"/>
      <c r="AF51" s="61"/>
      <c r="AG51" s="61"/>
      <c r="AH51" s="62"/>
      <c r="AI51" s="63"/>
      <c r="AJ51" s="63"/>
      <c r="AK51" s="59"/>
      <c r="AL51" s="53"/>
      <c r="AM51" s="53"/>
      <c r="AN51" s="53"/>
      <c r="AO51" s="53"/>
      <c r="AP51" s="47"/>
      <c r="AQ51" s="47"/>
      <c r="AR51" s="47"/>
      <c r="AS51" s="47"/>
      <c r="AT51" s="47"/>
      <c r="AU51" s="47"/>
      <c r="AV51" s="47"/>
      <c r="AW51" s="47"/>
      <c r="AX51" s="47"/>
      <c r="AY51" s="47"/>
      <c r="AZ51" s="47"/>
    </row>
    <row r="52" spans="1:52" ht="13.2" x14ac:dyDescent="0.25">
      <c r="A52" s="47"/>
      <c r="B52" s="53"/>
      <c r="C52" s="54"/>
      <c r="D52" s="55"/>
      <c r="E52" s="56"/>
      <c r="F52" s="55"/>
      <c r="G52" s="64"/>
      <c r="H52" s="57"/>
      <c r="I52" s="63"/>
      <c r="J52" s="59"/>
      <c r="K52" s="53"/>
      <c r="L52" s="53"/>
      <c r="M52" s="53"/>
      <c r="N52" s="53"/>
      <c r="O52" s="53"/>
      <c r="P52" s="53"/>
      <c r="Q52" s="53"/>
      <c r="R52" s="53"/>
      <c r="S52" s="53"/>
      <c r="T52" s="53"/>
      <c r="U52" s="53"/>
      <c r="V52" s="55"/>
      <c r="W52" s="55"/>
      <c r="X52" s="55"/>
      <c r="Y52" s="55"/>
      <c r="Z52" s="55"/>
      <c r="AA52" s="55"/>
      <c r="AB52" s="55"/>
      <c r="AC52" s="55"/>
      <c r="AD52" s="55"/>
      <c r="AE52" s="57"/>
      <c r="AF52" s="61"/>
      <c r="AG52" s="61"/>
      <c r="AH52" s="62"/>
      <c r="AI52" s="63"/>
      <c r="AJ52" s="63"/>
      <c r="AK52" s="59"/>
      <c r="AL52" s="53"/>
      <c r="AM52" s="53"/>
      <c r="AN52" s="53"/>
      <c r="AO52" s="53"/>
      <c r="AP52" s="47"/>
      <c r="AQ52" s="47"/>
      <c r="AR52" s="47"/>
      <c r="AS52" s="47"/>
      <c r="AT52" s="47"/>
      <c r="AU52" s="47"/>
      <c r="AV52" s="47"/>
      <c r="AW52" s="47"/>
      <c r="AX52" s="47"/>
      <c r="AY52" s="47"/>
      <c r="AZ52" s="47"/>
    </row>
    <row r="53" spans="1:52" ht="13.2" x14ac:dyDescent="0.25">
      <c r="A53" s="47"/>
      <c r="B53" s="53"/>
      <c r="C53" s="54"/>
      <c r="D53" s="55"/>
      <c r="E53" s="56"/>
      <c r="F53" s="55"/>
      <c r="G53" s="64"/>
      <c r="H53" s="57"/>
      <c r="I53" s="63"/>
      <c r="J53" s="59"/>
      <c r="K53" s="53"/>
      <c r="L53" s="53"/>
      <c r="M53" s="53"/>
      <c r="N53" s="53"/>
      <c r="O53" s="53"/>
      <c r="P53" s="53"/>
      <c r="Q53" s="53"/>
      <c r="R53" s="53"/>
      <c r="S53" s="53"/>
      <c r="T53" s="53"/>
      <c r="U53" s="53"/>
      <c r="V53" s="55"/>
      <c r="W53" s="55"/>
      <c r="X53" s="55"/>
      <c r="Y53" s="55"/>
      <c r="Z53" s="55"/>
      <c r="AA53" s="55"/>
      <c r="AB53" s="55"/>
      <c r="AC53" s="55"/>
      <c r="AD53" s="55"/>
      <c r="AE53" s="57"/>
      <c r="AF53" s="61"/>
      <c r="AG53" s="61"/>
      <c r="AH53" s="62"/>
      <c r="AI53" s="63"/>
      <c r="AJ53" s="63"/>
      <c r="AK53" s="59"/>
      <c r="AL53" s="53"/>
      <c r="AM53" s="53"/>
      <c r="AN53" s="53"/>
      <c r="AO53" s="53"/>
      <c r="AP53" s="47"/>
      <c r="AQ53" s="47"/>
      <c r="AR53" s="47"/>
      <c r="AS53" s="47"/>
      <c r="AT53" s="47"/>
      <c r="AU53" s="47"/>
      <c r="AV53" s="47"/>
      <c r="AW53" s="47"/>
      <c r="AX53" s="47"/>
      <c r="AY53" s="47"/>
      <c r="AZ53" s="47"/>
    </row>
    <row r="54" spans="1:52" ht="13.2" x14ac:dyDescent="0.25">
      <c r="A54" s="47"/>
      <c r="B54" s="53"/>
      <c r="C54" s="54"/>
      <c r="D54" s="55"/>
      <c r="E54" s="56"/>
      <c r="F54" s="55"/>
      <c r="G54" s="64"/>
      <c r="H54" s="57"/>
      <c r="I54" s="63"/>
      <c r="J54" s="59"/>
      <c r="K54" s="53"/>
      <c r="L54" s="53"/>
      <c r="M54" s="53"/>
      <c r="N54" s="53"/>
      <c r="O54" s="53"/>
      <c r="P54" s="53"/>
      <c r="Q54" s="53"/>
      <c r="R54" s="53"/>
      <c r="S54" s="53"/>
      <c r="T54" s="53"/>
      <c r="U54" s="53"/>
      <c r="V54" s="55"/>
      <c r="W54" s="55"/>
      <c r="X54" s="55"/>
      <c r="Y54" s="55"/>
      <c r="Z54" s="55"/>
      <c r="AA54" s="55"/>
      <c r="AB54" s="55"/>
      <c r="AC54" s="55"/>
      <c r="AD54" s="55"/>
      <c r="AE54" s="57"/>
      <c r="AF54" s="61"/>
      <c r="AG54" s="61"/>
      <c r="AH54" s="62"/>
      <c r="AI54" s="63"/>
      <c r="AJ54" s="63"/>
      <c r="AK54" s="59"/>
      <c r="AL54" s="53"/>
      <c r="AM54" s="53"/>
      <c r="AN54" s="53"/>
      <c r="AO54" s="53"/>
      <c r="AP54" s="47"/>
      <c r="AQ54" s="47"/>
      <c r="AR54" s="47"/>
      <c r="AS54" s="47"/>
      <c r="AT54" s="47"/>
      <c r="AU54" s="47"/>
      <c r="AV54" s="47"/>
      <c r="AW54" s="47"/>
      <c r="AX54" s="47"/>
      <c r="AY54" s="47"/>
      <c r="AZ54" s="47"/>
    </row>
    <row r="55" spans="1:52" ht="13.2" x14ac:dyDescent="0.25">
      <c r="A55" s="47"/>
      <c r="B55" s="53"/>
      <c r="C55" s="54"/>
      <c r="D55" s="55"/>
      <c r="E55" s="56"/>
      <c r="F55" s="55"/>
      <c r="G55" s="64"/>
      <c r="H55" s="57"/>
      <c r="I55" s="63"/>
      <c r="J55" s="59"/>
      <c r="K55" s="53"/>
      <c r="L55" s="53"/>
      <c r="M55" s="53"/>
      <c r="N55" s="53"/>
      <c r="O55" s="53"/>
      <c r="P55" s="53"/>
      <c r="Q55" s="53"/>
      <c r="R55" s="53"/>
      <c r="S55" s="53"/>
      <c r="T55" s="53"/>
      <c r="U55" s="53"/>
      <c r="V55" s="55"/>
      <c r="W55" s="55"/>
      <c r="X55" s="55"/>
      <c r="Y55" s="55"/>
      <c r="Z55" s="55"/>
      <c r="AA55" s="55"/>
      <c r="AB55" s="55"/>
      <c r="AC55" s="55"/>
      <c r="AD55" s="55"/>
      <c r="AE55" s="57"/>
      <c r="AF55" s="61"/>
      <c r="AG55" s="61"/>
      <c r="AH55" s="62"/>
      <c r="AI55" s="63"/>
      <c r="AJ55" s="63"/>
      <c r="AK55" s="59"/>
      <c r="AL55" s="53"/>
      <c r="AM55" s="53"/>
      <c r="AN55" s="53"/>
      <c r="AO55" s="53"/>
      <c r="AP55" s="47"/>
      <c r="AQ55" s="47"/>
      <c r="AR55" s="47"/>
      <c r="AS55" s="47"/>
      <c r="AT55" s="47"/>
      <c r="AU55" s="47"/>
      <c r="AV55" s="47"/>
      <c r="AW55" s="47"/>
      <c r="AX55" s="47"/>
      <c r="AY55" s="47"/>
      <c r="AZ55" s="47"/>
    </row>
    <row r="56" spans="1:52" ht="13.2" x14ac:dyDescent="0.25">
      <c r="A56" s="47"/>
      <c r="B56" s="53"/>
      <c r="C56" s="54"/>
      <c r="D56" s="55"/>
      <c r="E56" s="56"/>
      <c r="F56" s="55"/>
      <c r="G56" s="64"/>
      <c r="H56" s="57"/>
      <c r="I56" s="63"/>
      <c r="J56" s="59"/>
      <c r="K56" s="53"/>
      <c r="L56" s="53"/>
      <c r="M56" s="53"/>
      <c r="N56" s="53"/>
      <c r="O56" s="53"/>
      <c r="P56" s="53"/>
      <c r="Q56" s="53"/>
      <c r="R56" s="53"/>
      <c r="S56" s="53"/>
      <c r="T56" s="53"/>
      <c r="U56" s="53"/>
      <c r="V56" s="55"/>
      <c r="W56" s="55"/>
      <c r="X56" s="55"/>
      <c r="Y56" s="55"/>
      <c r="Z56" s="55"/>
      <c r="AA56" s="55"/>
      <c r="AB56" s="55"/>
      <c r="AC56" s="55"/>
      <c r="AD56" s="55"/>
      <c r="AE56" s="57"/>
      <c r="AF56" s="61"/>
      <c r="AG56" s="61"/>
      <c r="AH56" s="62"/>
      <c r="AI56" s="63"/>
      <c r="AJ56" s="63"/>
      <c r="AK56" s="59"/>
      <c r="AL56" s="53"/>
      <c r="AM56" s="53"/>
      <c r="AN56" s="53"/>
      <c r="AO56" s="53"/>
      <c r="AP56" s="47"/>
      <c r="AQ56" s="47"/>
      <c r="AR56" s="47"/>
      <c r="AS56" s="47"/>
      <c r="AT56" s="47"/>
      <c r="AU56" s="47"/>
      <c r="AV56" s="47"/>
      <c r="AW56" s="47"/>
      <c r="AX56" s="47"/>
      <c r="AY56" s="47"/>
      <c r="AZ56" s="47"/>
    </row>
    <row r="57" spans="1:52" ht="13.2" x14ac:dyDescent="0.25">
      <c r="A57" s="47"/>
      <c r="B57" s="53"/>
      <c r="C57" s="54"/>
      <c r="D57" s="55"/>
      <c r="E57" s="56"/>
      <c r="F57" s="55"/>
      <c r="G57" s="64"/>
      <c r="H57" s="57"/>
      <c r="I57" s="63"/>
      <c r="J57" s="59"/>
      <c r="K57" s="53"/>
      <c r="L57" s="53"/>
      <c r="M57" s="53"/>
      <c r="N57" s="53"/>
      <c r="O57" s="53"/>
      <c r="P57" s="53"/>
      <c r="Q57" s="53"/>
      <c r="R57" s="53"/>
      <c r="S57" s="53"/>
      <c r="T57" s="53"/>
      <c r="U57" s="53"/>
      <c r="V57" s="55"/>
      <c r="W57" s="55"/>
      <c r="X57" s="55"/>
      <c r="Y57" s="55"/>
      <c r="Z57" s="55"/>
      <c r="AA57" s="55"/>
      <c r="AB57" s="55"/>
      <c r="AC57" s="55"/>
      <c r="AD57" s="55"/>
      <c r="AE57" s="57"/>
      <c r="AF57" s="61"/>
      <c r="AG57" s="61"/>
      <c r="AH57" s="62"/>
      <c r="AI57" s="63"/>
      <c r="AJ57" s="63"/>
      <c r="AK57" s="59"/>
      <c r="AL57" s="53"/>
      <c r="AM57" s="53"/>
      <c r="AN57" s="53"/>
      <c r="AO57" s="53"/>
      <c r="AP57" s="47"/>
      <c r="AQ57" s="47"/>
      <c r="AR57" s="47"/>
      <c r="AS57" s="47"/>
      <c r="AT57" s="47"/>
      <c r="AU57" s="47"/>
      <c r="AV57" s="47"/>
      <c r="AW57" s="47"/>
      <c r="AX57" s="47"/>
      <c r="AY57" s="47"/>
      <c r="AZ57" s="47"/>
    </row>
    <row r="58" spans="1:52" ht="13.2" x14ac:dyDescent="0.25">
      <c r="A58" s="47"/>
      <c r="B58" s="53"/>
      <c r="C58" s="54"/>
      <c r="D58" s="55"/>
      <c r="E58" s="56"/>
      <c r="F58" s="55"/>
      <c r="G58" s="64"/>
      <c r="H58" s="57"/>
      <c r="I58" s="63"/>
      <c r="J58" s="59"/>
      <c r="K58" s="53"/>
      <c r="L58" s="53"/>
      <c r="M58" s="53"/>
      <c r="N58" s="53"/>
      <c r="O58" s="53"/>
      <c r="P58" s="53"/>
      <c r="Q58" s="53"/>
      <c r="R58" s="53"/>
      <c r="S58" s="53"/>
      <c r="T58" s="53"/>
      <c r="U58" s="53"/>
      <c r="V58" s="55"/>
      <c r="W58" s="55"/>
      <c r="X58" s="55"/>
      <c r="Y58" s="55"/>
      <c r="Z58" s="55"/>
      <c r="AA58" s="55"/>
      <c r="AB58" s="55"/>
      <c r="AC58" s="55"/>
      <c r="AD58" s="55"/>
      <c r="AE58" s="57"/>
      <c r="AF58" s="61"/>
      <c r="AG58" s="61"/>
      <c r="AH58" s="62"/>
      <c r="AI58" s="63"/>
      <c r="AJ58" s="63"/>
      <c r="AK58" s="59"/>
      <c r="AL58" s="53"/>
      <c r="AM58" s="53"/>
      <c r="AN58" s="53"/>
      <c r="AO58" s="53"/>
      <c r="AP58" s="47"/>
      <c r="AQ58" s="47"/>
      <c r="AR58" s="47"/>
      <c r="AS58" s="47"/>
      <c r="AT58" s="47"/>
      <c r="AU58" s="47"/>
      <c r="AV58" s="47"/>
      <c r="AW58" s="47"/>
      <c r="AX58" s="47"/>
      <c r="AY58" s="47"/>
      <c r="AZ58" s="47"/>
    </row>
    <row r="59" spans="1:52" ht="13.2" x14ac:dyDescent="0.25">
      <c r="A59" s="47"/>
      <c r="B59" s="53"/>
      <c r="C59" s="54"/>
      <c r="D59" s="55"/>
      <c r="E59" s="56"/>
      <c r="F59" s="55"/>
      <c r="G59" s="64"/>
      <c r="H59" s="57"/>
      <c r="I59" s="63"/>
      <c r="J59" s="59"/>
      <c r="K59" s="53"/>
      <c r="L59" s="53"/>
      <c r="M59" s="53"/>
      <c r="N59" s="53"/>
      <c r="O59" s="53"/>
      <c r="P59" s="53"/>
      <c r="Q59" s="53"/>
      <c r="R59" s="53"/>
      <c r="S59" s="53"/>
      <c r="T59" s="53"/>
      <c r="U59" s="53"/>
      <c r="V59" s="55"/>
      <c r="W59" s="55"/>
      <c r="X59" s="55"/>
      <c r="Y59" s="55"/>
      <c r="Z59" s="55"/>
      <c r="AA59" s="55"/>
      <c r="AB59" s="55"/>
      <c r="AC59" s="55"/>
      <c r="AD59" s="55"/>
      <c r="AE59" s="57"/>
      <c r="AF59" s="61"/>
      <c r="AG59" s="61"/>
      <c r="AH59" s="62"/>
      <c r="AI59" s="63"/>
      <c r="AJ59" s="63"/>
      <c r="AK59" s="59"/>
      <c r="AL59" s="53"/>
      <c r="AM59" s="53"/>
      <c r="AN59" s="53"/>
      <c r="AO59" s="53"/>
      <c r="AP59" s="47"/>
      <c r="AQ59" s="47"/>
      <c r="AR59" s="47"/>
      <c r="AS59" s="47"/>
      <c r="AT59" s="47"/>
      <c r="AU59" s="47"/>
      <c r="AV59" s="47"/>
      <c r="AW59" s="47"/>
      <c r="AX59" s="47"/>
      <c r="AY59" s="47"/>
      <c r="AZ59" s="47"/>
    </row>
    <row r="60" spans="1:52" ht="13.2" x14ac:dyDescent="0.25">
      <c r="A60" s="47"/>
      <c r="B60" s="53"/>
      <c r="C60" s="54"/>
      <c r="D60" s="55"/>
      <c r="E60" s="56"/>
      <c r="F60" s="55"/>
      <c r="G60" s="64"/>
      <c r="H60" s="57"/>
      <c r="I60" s="63"/>
      <c r="J60" s="59"/>
      <c r="K60" s="53"/>
      <c r="L60" s="53"/>
      <c r="M60" s="53"/>
      <c r="N60" s="53"/>
      <c r="O60" s="53"/>
      <c r="P60" s="53"/>
      <c r="Q60" s="53"/>
      <c r="R60" s="53"/>
      <c r="S60" s="53"/>
      <c r="T60" s="53"/>
      <c r="U60" s="53"/>
      <c r="V60" s="55"/>
      <c r="W60" s="55"/>
      <c r="X60" s="55"/>
      <c r="Y60" s="55"/>
      <c r="Z60" s="55"/>
      <c r="AA60" s="55"/>
      <c r="AB60" s="55"/>
      <c r="AC60" s="55"/>
      <c r="AD60" s="55"/>
      <c r="AE60" s="57"/>
      <c r="AF60" s="61"/>
      <c r="AG60" s="61"/>
      <c r="AH60" s="62"/>
      <c r="AI60" s="63"/>
      <c r="AJ60" s="63"/>
      <c r="AK60" s="59"/>
      <c r="AL60" s="53"/>
      <c r="AM60" s="53"/>
      <c r="AN60" s="53"/>
      <c r="AO60" s="53"/>
      <c r="AP60" s="47"/>
      <c r="AQ60" s="47"/>
      <c r="AR60" s="47"/>
      <c r="AS60" s="47"/>
      <c r="AT60" s="47"/>
      <c r="AU60" s="47"/>
      <c r="AV60" s="47"/>
      <c r="AW60" s="47"/>
      <c r="AX60" s="47"/>
      <c r="AY60" s="47"/>
      <c r="AZ60" s="47"/>
    </row>
    <row r="61" spans="1:52" ht="13.2" x14ac:dyDescent="0.25">
      <c r="A61" s="47"/>
      <c r="B61" s="53"/>
      <c r="C61" s="54"/>
      <c r="D61" s="55"/>
      <c r="E61" s="56"/>
      <c r="F61" s="55"/>
      <c r="G61" s="64"/>
      <c r="H61" s="57"/>
      <c r="I61" s="63"/>
      <c r="J61" s="59"/>
      <c r="K61" s="53"/>
      <c r="L61" s="53"/>
      <c r="M61" s="53"/>
      <c r="N61" s="53"/>
      <c r="O61" s="53"/>
      <c r="P61" s="53"/>
      <c r="Q61" s="53"/>
      <c r="R61" s="53"/>
      <c r="S61" s="53"/>
      <c r="T61" s="53"/>
      <c r="U61" s="53"/>
      <c r="V61" s="55"/>
      <c r="W61" s="55"/>
      <c r="X61" s="55"/>
      <c r="Y61" s="55"/>
      <c r="Z61" s="55"/>
      <c r="AA61" s="55"/>
      <c r="AB61" s="55"/>
      <c r="AC61" s="55"/>
      <c r="AD61" s="55"/>
      <c r="AE61" s="57"/>
      <c r="AF61" s="61"/>
      <c r="AG61" s="61"/>
      <c r="AH61" s="62"/>
      <c r="AI61" s="63"/>
      <c r="AJ61" s="63"/>
      <c r="AK61" s="59"/>
      <c r="AL61" s="53"/>
      <c r="AM61" s="53"/>
      <c r="AN61" s="53"/>
      <c r="AO61" s="53"/>
      <c r="AP61" s="47"/>
      <c r="AQ61" s="47"/>
      <c r="AR61" s="47"/>
      <c r="AS61" s="47"/>
      <c r="AT61" s="47"/>
      <c r="AU61" s="47"/>
      <c r="AV61" s="47"/>
      <c r="AW61" s="47"/>
      <c r="AX61" s="47"/>
      <c r="AY61" s="47"/>
      <c r="AZ61" s="47"/>
    </row>
    <row r="62" spans="1:52" ht="13.2" x14ac:dyDescent="0.25">
      <c r="A62" s="47"/>
      <c r="B62" s="53"/>
      <c r="C62" s="54"/>
      <c r="D62" s="55"/>
      <c r="E62" s="56"/>
      <c r="F62" s="55"/>
      <c r="G62" s="64"/>
      <c r="H62" s="57"/>
      <c r="I62" s="63"/>
      <c r="J62" s="59"/>
      <c r="K62" s="53"/>
      <c r="L62" s="53"/>
      <c r="M62" s="53"/>
      <c r="N62" s="53"/>
      <c r="O62" s="53"/>
      <c r="P62" s="53"/>
      <c r="Q62" s="53"/>
      <c r="R62" s="53"/>
      <c r="S62" s="53"/>
      <c r="T62" s="53"/>
      <c r="U62" s="53"/>
      <c r="V62" s="55"/>
      <c r="W62" s="55"/>
      <c r="X62" s="55"/>
      <c r="Y62" s="55"/>
      <c r="Z62" s="55"/>
      <c r="AA62" s="55"/>
      <c r="AB62" s="55"/>
      <c r="AC62" s="55"/>
      <c r="AD62" s="55"/>
      <c r="AE62" s="57"/>
      <c r="AF62" s="61"/>
      <c r="AG62" s="61"/>
      <c r="AH62" s="62"/>
      <c r="AI62" s="63"/>
      <c r="AJ62" s="63"/>
      <c r="AK62" s="59"/>
      <c r="AL62" s="53"/>
      <c r="AM62" s="53"/>
      <c r="AN62" s="53"/>
      <c r="AO62" s="53"/>
      <c r="AP62" s="47"/>
      <c r="AQ62" s="47"/>
      <c r="AR62" s="47"/>
      <c r="AS62" s="47"/>
      <c r="AT62" s="47"/>
      <c r="AU62" s="47"/>
      <c r="AV62" s="47"/>
      <c r="AW62" s="47"/>
      <c r="AX62" s="47"/>
      <c r="AY62" s="47"/>
      <c r="AZ62" s="47"/>
    </row>
    <row r="63" spans="1:52" ht="13.2" x14ac:dyDescent="0.25">
      <c r="A63" s="47"/>
      <c r="B63" s="53"/>
      <c r="C63" s="54"/>
      <c r="D63" s="55"/>
      <c r="E63" s="56"/>
      <c r="F63" s="55"/>
      <c r="G63" s="64"/>
      <c r="H63" s="57"/>
      <c r="I63" s="63"/>
      <c r="J63" s="59"/>
      <c r="K63" s="53"/>
      <c r="L63" s="53"/>
      <c r="M63" s="53"/>
      <c r="N63" s="53"/>
      <c r="O63" s="53"/>
      <c r="P63" s="53"/>
      <c r="Q63" s="53"/>
      <c r="R63" s="53"/>
      <c r="S63" s="53"/>
      <c r="T63" s="53"/>
      <c r="U63" s="53"/>
      <c r="V63" s="55"/>
      <c r="W63" s="55"/>
      <c r="X63" s="55"/>
      <c r="Y63" s="55"/>
      <c r="Z63" s="55"/>
      <c r="AA63" s="55"/>
      <c r="AB63" s="55"/>
      <c r="AC63" s="55"/>
      <c r="AD63" s="55"/>
      <c r="AE63" s="57"/>
      <c r="AF63" s="61"/>
      <c r="AG63" s="61"/>
      <c r="AH63" s="62"/>
      <c r="AI63" s="63"/>
      <c r="AJ63" s="63"/>
      <c r="AK63" s="59"/>
      <c r="AL63" s="53"/>
      <c r="AM63" s="53"/>
      <c r="AN63" s="53"/>
      <c r="AO63" s="53"/>
      <c r="AP63" s="47"/>
      <c r="AQ63" s="47"/>
      <c r="AR63" s="47"/>
      <c r="AS63" s="47"/>
      <c r="AT63" s="47"/>
      <c r="AU63" s="47"/>
      <c r="AV63" s="47"/>
      <c r="AW63" s="47"/>
      <c r="AX63" s="47"/>
      <c r="AY63" s="47"/>
      <c r="AZ63" s="47"/>
    </row>
    <row r="64" spans="1:52" ht="13.2" x14ac:dyDescent="0.25">
      <c r="A64" s="47"/>
      <c r="B64" s="53"/>
      <c r="C64" s="54"/>
      <c r="D64" s="55"/>
      <c r="E64" s="56"/>
      <c r="F64" s="55"/>
      <c r="G64" s="64"/>
      <c r="H64" s="57"/>
      <c r="I64" s="63"/>
      <c r="J64" s="59"/>
      <c r="K64" s="53"/>
      <c r="L64" s="53"/>
      <c r="M64" s="53"/>
      <c r="N64" s="53"/>
      <c r="O64" s="53"/>
      <c r="P64" s="53"/>
      <c r="Q64" s="53"/>
      <c r="R64" s="53"/>
      <c r="S64" s="53"/>
      <c r="T64" s="53"/>
      <c r="U64" s="53"/>
      <c r="V64" s="55"/>
      <c r="W64" s="55"/>
      <c r="X64" s="55"/>
      <c r="Y64" s="55"/>
      <c r="Z64" s="55"/>
      <c r="AA64" s="55"/>
      <c r="AB64" s="55"/>
      <c r="AC64" s="55"/>
      <c r="AD64" s="55"/>
      <c r="AE64" s="57"/>
      <c r="AF64" s="61"/>
      <c r="AG64" s="61"/>
      <c r="AH64" s="62"/>
      <c r="AI64" s="63"/>
      <c r="AJ64" s="63"/>
      <c r="AK64" s="59"/>
      <c r="AL64" s="53"/>
      <c r="AM64" s="53"/>
      <c r="AN64" s="53"/>
      <c r="AO64" s="53"/>
      <c r="AP64" s="47"/>
      <c r="AQ64" s="47"/>
      <c r="AR64" s="47"/>
      <c r="AS64" s="47"/>
      <c r="AT64" s="47"/>
      <c r="AU64" s="47"/>
      <c r="AV64" s="47"/>
      <c r="AW64" s="47"/>
      <c r="AX64" s="47"/>
      <c r="AY64" s="47"/>
      <c r="AZ64" s="47"/>
    </row>
    <row r="65" spans="1:52" ht="13.2" x14ac:dyDescent="0.25">
      <c r="A65" s="47"/>
      <c r="B65" s="53"/>
      <c r="C65" s="54"/>
      <c r="D65" s="55"/>
      <c r="E65" s="56"/>
      <c r="F65" s="55"/>
      <c r="G65" s="64"/>
      <c r="H65" s="57"/>
      <c r="I65" s="63"/>
      <c r="J65" s="59"/>
      <c r="K65" s="53"/>
      <c r="L65" s="53"/>
      <c r="M65" s="53"/>
      <c r="N65" s="53"/>
      <c r="O65" s="53"/>
      <c r="P65" s="53"/>
      <c r="Q65" s="53"/>
      <c r="R65" s="53"/>
      <c r="S65" s="53"/>
      <c r="T65" s="53"/>
      <c r="U65" s="53"/>
      <c r="V65" s="55"/>
      <c r="W65" s="55"/>
      <c r="X65" s="55"/>
      <c r="Y65" s="55"/>
      <c r="Z65" s="55"/>
      <c r="AA65" s="55"/>
      <c r="AB65" s="55"/>
      <c r="AC65" s="55"/>
      <c r="AD65" s="55"/>
      <c r="AE65" s="57"/>
      <c r="AF65" s="61"/>
      <c r="AG65" s="61"/>
      <c r="AH65" s="62"/>
      <c r="AI65" s="63"/>
      <c r="AJ65" s="63"/>
      <c r="AK65" s="59"/>
      <c r="AL65" s="53"/>
      <c r="AM65" s="53"/>
      <c r="AN65" s="53"/>
      <c r="AO65" s="53"/>
      <c r="AP65" s="47"/>
      <c r="AQ65" s="47"/>
      <c r="AR65" s="47"/>
      <c r="AS65" s="47"/>
      <c r="AT65" s="47"/>
      <c r="AU65" s="47"/>
      <c r="AV65" s="47"/>
      <c r="AW65" s="47"/>
      <c r="AX65" s="47"/>
      <c r="AY65" s="47"/>
      <c r="AZ65" s="47"/>
    </row>
    <row r="66" spans="1:52" ht="13.2" x14ac:dyDescent="0.25">
      <c r="A66" s="47"/>
      <c r="B66" s="53"/>
      <c r="C66" s="54"/>
      <c r="D66" s="55"/>
      <c r="E66" s="56"/>
      <c r="F66" s="55"/>
      <c r="G66" s="64"/>
      <c r="H66" s="57"/>
      <c r="I66" s="63"/>
      <c r="J66" s="59"/>
      <c r="K66" s="53"/>
      <c r="L66" s="53"/>
      <c r="M66" s="53"/>
      <c r="N66" s="53"/>
      <c r="O66" s="53"/>
      <c r="P66" s="53"/>
      <c r="Q66" s="53"/>
      <c r="R66" s="53"/>
      <c r="S66" s="53"/>
      <c r="T66" s="53"/>
      <c r="U66" s="53"/>
      <c r="V66" s="55"/>
      <c r="W66" s="55"/>
      <c r="X66" s="55"/>
      <c r="Y66" s="55"/>
      <c r="Z66" s="55"/>
      <c r="AA66" s="55"/>
      <c r="AB66" s="55"/>
      <c r="AC66" s="55"/>
      <c r="AD66" s="55"/>
      <c r="AE66" s="57"/>
      <c r="AF66" s="61"/>
      <c r="AG66" s="61"/>
      <c r="AH66" s="62"/>
      <c r="AI66" s="63"/>
      <c r="AJ66" s="63"/>
      <c r="AK66" s="59"/>
      <c r="AL66" s="53"/>
      <c r="AM66" s="53"/>
      <c r="AN66" s="53"/>
      <c r="AO66" s="53"/>
      <c r="AP66" s="47"/>
      <c r="AQ66" s="47"/>
      <c r="AR66" s="47"/>
      <c r="AS66" s="47"/>
      <c r="AT66" s="47"/>
      <c r="AU66" s="47"/>
      <c r="AV66" s="47"/>
      <c r="AW66" s="47"/>
      <c r="AX66" s="47"/>
      <c r="AY66" s="47"/>
      <c r="AZ66" s="47"/>
    </row>
    <row r="67" spans="1:52" ht="13.2" x14ac:dyDescent="0.25">
      <c r="A67" s="47"/>
      <c r="B67" s="53"/>
      <c r="C67" s="54"/>
      <c r="D67" s="55"/>
      <c r="E67" s="56"/>
      <c r="F67" s="55"/>
      <c r="G67" s="64"/>
      <c r="H67" s="57"/>
      <c r="I67" s="63"/>
      <c r="J67" s="59"/>
      <c r="K67" s="53"/>
      <c r="L67" s="53"/>
      <c r="M67" s="53"/>
      <c r="N67" s="53"/>
      <c r="O67" s="53"/>
      <c r="P67" s="53"/>
      <c r="Q67" s="53"/>
      <c r="R67" s="53"/>
      <c r="S67" s="53"/>
      <c r="T67" s="53"/>
      <c r="U67" s="53"/>
      <c r="V67" s="55"/>
      <c r="W67" s="55"/>
      <c r="X67" s="55"/>
      <c r="Y67" s="55"/>
      <c r="Z67" s="55"/>
      <c r="AA67" s="55"/>
      <c r="AB67" s="55"/>
      <c r="AC67" s="55"/>
      <c r="AD67" s="55"/>
      <c r="AE67" s="57"/>
      <c r="AF67" s="61"/>
      <c r="AG67" s="61"/>
      <c r="AH67" s="62"/>
      <c r="AI67" s="63"/>
      <c r="AJ67" s="63"/>
      <c r="AK67" s="59"/>
      <c r="AL67" s="53"/>
      <c r="AM67" s="53"/>
      <c r="AN67" s="53"/>
      <c r="AO67" s="53"/>
      <c r="AP67" s="47"/>
      <c r="AQ67" s="47"/>
      <c r="AR67" s="47"/>
      <c r="AS67" s="47"/>
      <c r="AT67" s="47"/>
      <c r="AU67" s="47"/>
      <c r="AV67" s="47"/>
      <c r="AW67" s="47"/>
      <c r="AX67" s="47"/>
      <c r="AY67" s="47"/>
      <c r="AZ67" s="47"/>
    </row>
    <row r="68" spans="1:52" ht="13.2" x14ac:dyDescent="0.25">
      <c r="A68" s="47"/>
      <c r="B68" s="53"/>
      <c r="C68" s="54"/>
      <c r="D68" s="55"/>
      <c r="E68" s="56"/>
      <c r="F68" s="55"/>
      <c r="G68" s="64"/>
      <c r="H68" s="57"/>
      <c r="I68" s="63"/>
      <c r="J68" s="59"/>
      <c r="K68" s="53"/>
      <c r="L68" s="53"/>
      <c r="M68" s="53"/>
      <c r="N68" s="53"/>
      <c r="O68" s="53"/>
      <c r="P68" s="53"/>
      <c r="Q68" s="53"/>
      <c r="R68" s="53"/>
      <c r="S68" s="53"/>
      <c r="T68" s="53"/>
      <c r="U68" s="53"/>
      <c r="V68" s="55"/>
      <c r="W68" s="55"/>
      <c r="X68" s="55"/>
      <c r="Y68" s="55"/>
      <c r="Z68" s="55"/>
      <c r="AA68" s="55"/>
      <c r="AB68" s="55"/>
      <c r="AC68" s="55"/>
      <c r="AD68" s="55"/>
      <c r="AE68" s="57"/>
      <c r="AF68" s="61"/>
      <c r="AG68" s="61"/>
      <c r="AH68" s="62"/>
      <c r="AI68" s="63"/>
      <c r="AJ68" s="63"/>
      <c r="AK68" s="59"/>
      <c r="AL68" s="53"/>
      <c r="AM68" s="53"/>
      <c r="AN68" s="53"/>
      <c r="AO68" s="53"/>
      <c r="AP68" s="47"/>
      <c r="AQ68" s="47"/>
      <c r="AR68" s="47"/>
      <c r="AS68" s="47"/>
      <c r="AT68" s="47"/>
      <c r="AU68" s="47"/>
      <c r="AV68" s="47"/>
      <c r="AW68" s="47"/>
      <c r="AX68" s="47"/>
      <c r="AY68" s="47"/>
      <c r="AZ68" s="47"/>
    </row>
    <row r="69" spans="1:52" ht="13.2" x14ac:dyDescent="0.25">
      <c r="A69" s="47"/>
      <c r="B69" s="53"/>
      <c r="C69" s="54"/>
      <c r="D69" s="55"/>
      <c r="E69" s="56"/>
      <c r="F69" s="55"/>
      <c r="G69" s="64"/>
      <c r="H69" s="57"/>
      <c r="I69" s="63"/>
      <c r="J69" s="59"/>
      <c r="K69" s="53"/>
      <c r="L69" s="53"/>
      <c r="M69" s="53"/>
      <c r="N69" s="53"/>
      <c r="O69" s="53"/>
      <c r="P69" s="53"/>
      <c r="Q69" s="53"/>
      <c r="R69" s="53"/>
      <c r="S69" s="53"/>
      <c r="T69" s="53"/>
      <c r="U69" s="53"/>
      <c r="V69" s="55"/>
      <c r="W69" s="55"/>
      <c r="X69" s="55"/>
      <c r="Y69" s="55"/>
      <c r="Z69" s="55"/>
      <c r="AA69" s="55"/>
      <c r="AB69" s="55"/>
      <c r="AC69" s="55"/>
      <c r="AD69" s="55"/>
      <c r="AE69" s="57"/>
      <c r="AF69" s="61"/>
      <c r="AG69" s="61"/>
      <c r="AH69" s="62"/>
      <c r="AI69" s="63"/>
      <c r="AJ69" s="63"/>
      <c r="AK69" s="59"/>
      <c r="AL69" s="53"/>
      <c r="AM69" s="53"/>
      <c r="AN69" s="53"/>
      <c r="AO69" s="53"/>
      <c r="AP69" s="47"/>
      <c r="AQ69" s="47"/>
      <c r="AR69" s="47"/>
      <c r="AS69" s="47"/>
      <c r="AT69" s="47"/>
      <c r="AU69" s="47"/>
      <c r="AV69" s="47"/>
      <c r="AW69" s="47"/>
      <c r="AX69" s="47"/>
      <c r="AY69" s="47"/>
      <c r="AZ69" s="47"/>
    </row>
    <row r="70" spans="1:52" ht="13.2" x14ac:dyDescent="0.25">
      <c r="A70" s="47"/>
      <c r="B70" s="53"/>
      <c r="C70" s="54"/>
      <c r="D70" s="55"/>
      <c r="E70" s="56"/>
      <c r="F70" s="55"/>
      <c r="G70" s="64"/>
      <c r="H70" s="57"/>
      <c r="I70" s="63"/>
      <c r="J70" s="59"/>
      <c r="K70" s="53"/>
      <c r="L70" s="53"/>
      <c r="M70" s="53"/>
      <c r="N70" s="53"/>
      <c r="O70" s="53"/>
      <c r="P70" s="53"/>
      <c r="Q70" s="53"/>
      <c r="R70" s="53"/>
      <c r="S70" s="53"/>
      <c r="T70" s="53"/>
      <c r="U70" s="53"/>
      <c r="V70" s="55"/>
      <c r="W70" s="55"/>
      <c r="X70" s="55"/>
      <c r="Y70" s="55"/>
      <c r="Z70" s="55"/>
      <c r="AA70" s="55"/>
      <c r="AB70" s="55"/>
      <c r="AC70" s="55"/>
      <c r="AD70" s="55"/>
      <c r="AE70" s="57"/>
      <c r="AF70" s="61"/>
      <c r="AG70" s="61"/>
      <c r="AH70" s="62"/>
      <c r="AI70" s="63"/>
      <c r="AJ70" s="63"/>
      <c r="AK70" s="59"/>
      <c r="AL70" s="53"/>
      <c r="AM70" s="53"/>
      <c r="AN70" s="53"/>
      <c r="AO70" s="53"/>
      <c r="AP70" s="47"/>
      <c r="AQ70" s="47"/>
      <c r="AR70" s="47"/>
      <c r="AS70" s="47"/>
      <c r="AT70" s="47"/>
      <c r="AU70" s="47"/>
      <c r="AV70" s="47"/>
      <c r="AW70" s="47"/>
      <c r="AX70" s="47"/>
      <c r="AY70" s="47"/>
      <c r="AZ70" s="47"/>
    </row>
    <row r="71" spans="1:52" ht="13.2" x14ac:dyDescent="0.25">
      <c r="A71" s="47"/>
      <c r="B71" s="53"/>
      <c r="C71" s="54"/>
      <c r="D71" s="55"/>
      <c r="E71" s="56"/>
      <c r="F71" s="55"/>
      <c r="G71" s="64"/>
      <c r="H71" s="57"/>
      <c r="I71" s="63"/>
      <c r="J71" s="59"/>
      <c r="K71" s="53"/>
      <c r="L71" s="53"/>
      <c r="M71" s="53"/>
      <c r="N71" s="53"/>
      <c r="O71" s="53"/>
      <c r="P71" s="53"/>
      <c r="Q71" s="53"/>
      <c r="R71" s="53"/>
      <c r="S71" s="53"/>
      <c r="T71" s="53"/>
      <c r="U71" s="53"/>
      <c r="V71" s="55"/>
      <c r="W71" s="55"/>
      <c r="X71" s="55"/>
      <c r="Y71" s="55"/>
      <c r="Z71" s="55"/>
      <c r="AA71" s="55"/>
      <c r="AB71" s="55"/>
      <c r="AC71" s="55"/>
      <c r="AD71" s="55"/>
      <c r="AE71" s="57"/>
      <c r="AF71" s="61"/>
      <c r="AG71" s="61"/>
      <c r="AH71" s="62"/>
      <c r="AI71" s="63"/>
      <c r="AJ71" s="63"/>
      <c r="AK71" s="59"/>
      <c r="AL71" s="53"/>
      <c r="AM71" s="53"/>
      <c r="AN71" s="53"/>
      <c r="AO71" s="53"/>
      <c r="AP71" s="47"/>
      <c r="AQ71" s="47"/>
      <c r="AR71" s="47"/>
      <c r="AS71" s="47"/>
      <c r="AT71" s="47"/>
      <c r="AU71" s="47"/>
      <c r="AV71" s="47"/>
      <c r="AW71" s="47"/>
      <c r="AX71" s="47"/>
      <c r="AY71" s="47"/>
      <c r="AZ71" s="47"/>
    </row>
    <row r="72" spans="1:52" ht="13.2" x14ac:dyDescent="0.25">
      <c r="A72" s="47"/>
      <c r="B72" s="53"/>
      <c r="C72" s="54"/>
      <c r="D72" s="55"/>
      <c r="E72" s="56"/>
      <c r="F72" s="55"/>
      <c r="G72" s="64"/>
      <c r="H72" s="57"/>
      <c r="I72" s="63"/>
      <c r="J72" s="59"/>
      <c r="K72" s="53"/>
      <c r="L72" s="53"/>
      <c r="M72" s="53"/>
      <c r="N72" s="53"/>
      <c r="O72" s="53"/>
      <c r="P72" s="53"/>
      <c r="Q72" s="53"/>
      <c r="R72" s="53"/>
      <c r="S72" s="53"/>
      <c r="T72" s="53"/>
      <c r="U72" s="53"/>
      <c r="V72" s="55"/>
      <c r="W72" s="55"/>
      <c r="X72" s="55"/>
      <c r="Y72" s="55"/>
      <c r="Z72" s="55"/>
      <c r="AA72" s="55"/>
      <c r="AB72" s="55"/>
      <c r="AC72" s="55"/>
      <c r="AD72" s="55"/>
      <c r="AE72" s="57"/>
      <c r="AF72" s="61"/>
      <c r="AG72" s="61"/>
      <c r="AH72" s="62"/>
      <c r="AI72" s="63"/>
      <c r="AJ72" s="63"/>
      <c r="AK72" s="59"/>
      <c r="AL72" s="53"/>
      <c r="AM72" s="53"/>
      <c r="AN72" s="53"/>
      <c r="AO72" s="53"/>
      <c r="AP72" s="47"/>
      <c r="AQ72" s="47"/>
      <c r="AR72" s="47"/>
      <c r="AS72" s="47"/>
      <c r="AT72" s="47"/>
      <c r="AU72" s="47"/>
      <c r="AV72" s="47"/>
      <c r="AW72" s="47"/>
      <c r="AX72" s="47"/>
      <c r="AY72" s="47"/>
      <c r="AZ72" s="47"/>
    </row>
    <row r="73" spans="1:52" ht="13.2" x14ac:dyDescent="0.25">
      <c r="A73" s="47"/>
      <c r="B73" s="53"/>
      <c r="C73" s="54"/>
      <c r="D73" s="55"/>
      <c r="E73" s="56"/>
      <c r="F73" s="55"/>
      <c r="G73" s="64"/>
      <c r="H73" s="57"/>
      <c r="I73" s="63"/>
      <c r="J73" s="59"/>
      <c r="K73" s="53"/>
      <c r="L73" s="53"/>
      <c r="M73" s="53"/>
      <c r="N73" s="53"/>
      <c r="O73" s="53"/>
      <c r="P73" s="53"/>
      <c r="Q73" s="53"/>
      <c r="R73" s="53"/>
      <c r="S73" s="53"/>
      <c r="T73" s="53"/>
      <c r="U73" s="53"/>
      <c r="V73" s="55"/>
      <c r="W73" s="55"/>
      <c r="X73" s="55"/>
      <c r="Y73" s="55"/>
      <c r="Z73" s="55"/>
      <c r="AA73" s="55"/>
      <c r="AB73" s="55"/>
      <c r="AC73" s="55"/>
      <c r="AD73" s="55"/>
      <c r="AE73" s="57"/>
      <c r="AF73" s="61"/>
      <c r="AG73" s="61"/>
      <c r="AH73" s="62"/>
      <c r="AI73" s="63"/>
      <c r="AJ73" s="63"/>
      <c r="AK73" s="59"/>
      <c r="AL73" s="53"/>
      <c r="AM73" s="53"/>
      <c r="AN73" s="53"/>
      <c r="AO73" s="53"/>
      <c r="AP73" s="47"/>
      <c r="AQ73" s="47"/>
      <c r="AR73" s="47"/>
      <c r="AS73" s="47"/>
      <c r="AT73" s="47"/>
      <c r="AU73" s="47"/>
      <c r="AV73" s="47"/>
      <c r="AW73" s="47"/>
      <c r="AX73" s="47"/>
      <c r="AY73" s="47"/>
      <c r="AZ73" s="47"/>
    </row>
    <row r="74" spans="1:52" ht="13.2" x14ac:dyDescent="0.25">
      <c r="A74" s="47"/>
      <c r="B74" s="53"/>
      <c r="C74" s="54"/>
      <c r="D74" s="55"/>
      <c r="E74" s="56"/>
      <c r="F74" s="55"/>
      <c r="G74" s="64"/>
      <c r="H74" s="57"/>
      <c r="I74" s="63"/>
      <c r="J74" s="59"/>
      <c r="K74" s="53"/>
      <c r="L74" s="53"/>
      <c r="M74" s="53"/>
      <c r="N74" s="53"/>
      <c r="O74" s="53"/>
      <c r="P74" s="53"/>
      <c r="Q74" s="53"/>
      <c r="R74" s="53"/>
      <c r="S74" s="53"/>
      <c r="T74" s="53"/>
      <c r="U74" s="53"/>
      <c r="V74" s="55"/>
      <c r="W74" s="55"/>
      <c r="X74" s="55"/>
      <c r="Y74" s="55"/>
      <c r="Z74" s="55"/>
      <c r="AA74" s="55"/>
      <c r="AB74" s="55"/>
      <c r="AC74" s="55"/>
      <c r="AD74" s="55"/>
      <c r="AE74" s="57"/>
      <c r="AF74" s="61"/>
      <c r="AG74" s="61"/>
      <c r="AH74" s="62"/>
      <c r="AI74" s="63"/>
      <c r="AJ74" s="63"/>
      <c r="AK74" s="59"/>
      <c r="AL74" s="53"/>
      <c r="AM74" s="53"/>
      <c r="AN74" s="53"/>
      <c r="AO74" s="53"/>
      <c r="AP74" s="47"/>
      <c r="AQ74" s="47"/>
      <c r="AR74" s="47"/>
      <c r="AS74" s="47"/>
      <c r="AT74" s="47"/>
      <c r="AU74" s="47"/>
      <c r="AV74" s="47"/>
      <c r="AW74" s="47"/>
      <c r="AX74" s="47"/>
      <c r="AY74" s="47"/>
      <c r="AZ74" s="47"/>
    </row>
    <row r="75" spans="1:52" ht="13.2" x14ac:dyDescent="0.25">
      <c r="A75" s="47"/>
      <c r="B75" s="53"/>
      <c r="C75" s="54"/>
      <c r="D75" s="55"/>
      <c r="E75" s="56"/>
      <c r="F75" s="55"/>
      <c r="G75" s="64"/>
      <c r="H75" s="57"/>
      <c r="I75" s="63"/>
      <c r="J75" s="59"/>
      <c r="K75" s="53"/>
      <c r="L75" s="53"/>
      <c r="M75" s="53"/>
      <c r="N75" s="53"/>
      <c r="O75" s="53"/>
      <c r="P75" s="53"/>
      <c r="Q75" s="53"/>
      <c r="R75" s="53"/>
      <c r="S75" s="53"/>
      <c r="T75" s="53"/>
      <c r="U75" s="53"/>
      <c r="V75" s="55"/>
      <c r="W75" s="55"/>
      <c r="X75" s="55"/>
      <c r="Y75" s="55"/>
      <c r="Z75" s="55"/>
      <c r="AA75" s="55"/>
      <c r="AB75" s="55"/>
      <c r="AC75" s="55"/>
      <c r="AD75" s="55"/>
      <c r="AE75" s="57"/>
      <c r="AF75" s="61"/>
      <c r="AG75" s="61"/>
      <c r="AH75" s="62"/>
      <c r="AI75" s="63"/>
      <c r="AJ75" s="63"/>
      <c r="AK75" s="59"/>
      <c r="AL75" s="53"/>
      <c r="AM75" s="53"/>
      <c r="AN75" s="53"/>
      <c r="AO75" s="53"/>
      <c r="AP75" s="47"/>
      <c r="AQ75" s="47"/>
      <c r="AR75" s="47"/>
      <c r="AS75" s="47"/>
      <c r="AT75" s="47"/>
      <c r="AU75" s="47"/>
      <c r="AV75" s="47"/>
      <c r="AW75" s="47"/>
      <c r="AX75" s="47"/>
      <c r="AY75" s="47"/>
      <c r="AZ75" s="47"/>
    </row>
    <row r="76" spans="1:52" ht="13.2" x14ac:dyDescent="0.25">
      <c r="A76" s="47"/>
      <c r="B76" s="53"/>
      <c r="C76" s="54"/>
      <c r="D76" s="55"/>
      <c r="E76" s="56"/>
      <c r="F76" s="55"/>
      <c r="G76" s="64"/>
      <c r="H76" s="57"/>
      <c r="I76" s="63"/>
      <c r="J76" s="59"/>
      <c r="K76" s="53"/>
      <c r="L76" s="53"/>
      <c r="M76" s="53"/>
      <c r="N76" s="53"/>
      <c r="O76" s="53"/>
      <c r="P76" s="53"/>
      <c r="Q76" s="53"/>
      <c r="R76" s="53"/>
      <c r="S76" s="53"/>
      <c r="T76" s="53"/>
      <c r="U76" s="53"/>
      <c r="V76" s="55"/>
      <c r="W76" s="55"/>
      <c r="X76" s="55"/>
      <c r="Y76" s="55"/>
      <c r="Z76" s="55"/>
      <c r="AA76" s="55"/>
      <c r="AB76" s="55"/>
      <c r="AC76" s="55"/>
      <c r="AD76" s="55"/>
      <c r="AE76" s="57"/>
      <c r="AF76" s="61"/>
      <c r="AG76" s="61"/>
      <c r="AH76" s="62"/>
      <c r="AI76" s="63"/>
      <c r="AJ76" s="63"/>
      <c r="AK76" s="59"/>
      <c r="AL76" s="53"/>
      <c r="AM76" s="53"/>
      <c r="AN76" s="53"/>
      <c r="AO76" s="53"/>
      <c r="AP76" s="47"/>
      <c r="AQ76" s="47"/>
      <c r="AR76" s="47"/>
      <c r="AS76" s="47"/>
      <c r="AT76" s="47"/>
      <c r="AU76" s="47"/>
      <c r="AV76" s="47"/>
      <c r="AW76" s="47"/>
      <c r="AX76" s="47"/>
      <c r="AY76" s="47"/>
      <c r="AZ76" s="47"/>
    </row>
    <row r="77" spans="1:52" ht="13.2" x14ac:dyDescent="0.25">
      <c r="A77" s="47"/>
      <c r="B77" s="53"/>
      <c r="C77" s="54"/>
      <c r="D77" s="55"/>
      <c r="E77" s="56"/>
      <c r="F77" s="55"/>
      <c r="G77" s="64"/>
      <c r="H77" s="57"/>
      <c r="I77" s="63"/>
      <c r="J77" s="59"/>
      <c r="K77" s="53"/>
      <c r="L77" s="53"/>
      <c r="M77" s="53"/>
      <c r="N77" s="53"/>
      <c r="O77" s="53"/>
      <c r="P77" s="53"/>
      <c r="Q77" s="53"/>
      <c r="R77" s="53"/>
      <c r="S77" s="53"/>
      <c r="T77" s="53"/>
      <c r="U77" s="53"/>
      <c r="V77" s="55"/>
      <c r="W77" s="55"/>
      <c r="X77" s="55"/>
      <c r="Y77" s="55"/>
      <c r="Z77" s="55"/>
      <c r="AA77" s="55"/>
      <c r="AB77" s="55"/>
      <c r="AC77" s="55"/>
      <c r="AD77" s="55"/>
      <c r="AE77" s="57"/>
      <c r="AF77" s="61"/>
      <c r="AG77" s="61"/>
      <c r="AH77" s="62"/>
      <c r="AI77" s="63"/>
      <c r="AJ77" s="63"/>
      <c r="AK77" s="59"/>
      <c r="AL77" s="53"/>
      <c r="AM77" s="53"/>
      <c r="AN77" s="53"/>
      <c r="AO77" s="53"/>
      <c r="AP77" s="47"/>
      <c r="AQ77" s="47"/>
      <c r="AR77" s="47"/>
      <c r="AS77" s="47"/>
      <c r="AT77" s="47"/>
      <c r="AU77" s="47"/>
      <c r="AV77" s="47"/>
      <c r="AW77" s="47"/>
      <c r="AX77" s="47"/>
      <c r="AY77" s="47"/>
      <c r="AZ77" s="47"/>
    </row>
    <row r="78" spans="1:52" ht="13.2" x14ac:dyDescent="0.25">
      <c r="A78" s="47"/>
      <c r="B78" s="53"/>
      <c r="C78" s="54"/>
      <c r="D78" s="55"/>
      <c r="E78" s="56"/>
      <c r="F78" s="55"/>
      <c r="G78" s="64"/>
      <c r="H78" s="57"/>
      <c r="I78" s="63"/>
      <c r="J78" s="59"/>
      <c r="K78" s="53"/>
      <c r="L78" s="53"/>
      <c r="M78" s="53"/>
      <c r="N78" s="53"/>
      <c r="O78" s="53"/>
      <c r="P78" s="53"/>
      <c r="Q78" s="53"/>
      <c r="R78" s="53"/>
      <c r="S78" s="53"/>
      <c r="T78" s="53"/>
      <c r="U78" s="53"/>
      <c r="V78" s="55"/>
      <c r="W78" s="55"/>
      <c r="X78" s="55"/>
      <c r="Y78" s="55"/>
      <c r="Z78" s="55"/>
      <c r="AA78" s="55"/>
      <c r="AB78" s="55"/>
      <c r="AC78" s="55"/>
      <c r="AD78" s="55"/>
      <c r="AE78" s="57"/>
      <c r="AF78" s="61"/>
      <c r="AG78" s="61"/>
      <c r="AH78" s="62"/>
      <c r="AI78" s="63"/>
      <c r="AJ78" s="63"/>
      <c r="AK78" s="59"/>
      <c r="AL78" s="53"/>
      <c r="AM78" s="53"/>
      <c r="AN78" s="53"/>
      <c r="AO78" s="53"/>
      <c r="AP78" s="47"/>
      <c r="AQ78" s="47"/>
      <c r="AR78" s="47"/>
      <c r="AS78" s="47"/>
      <c r="AT78" s="47"/>
      <c r="AU78" s="47"/>
      <c r="AV78" s="47"/>
      <c r="AW78" s="47"/>
      <c r="AX78" s="47"/>
      <c r="AY78" s="47"/>
      <c r="AZ78" s="47"/>
    </row>
    <row r="79" spans="1:52" ht="13.2" x14ac:dyDescent="0.25">
      <c r="A79" s="47"/>
      <c r="B79" s="53"/>
      <c r="C79" s="54"/>
      <c r="D79" s="55"/>
      <c r="E79" s="56"/>
      <c r="F79" s="55"/>
      <c r="G79" s="64"/>
      <c r="H79" s="57"/>
      <c r="I79" s="63"/>
      <c r="J79" s="59"/>
      <c r="K79" s="53"/>
      <c r="L79" s="53"/>
      <c r="M79" s="53"/>
      <c r="N79" s="53"/>
      <c r="O79" s="53"/>
      <c r="P79" s="53"/>
      <c r="Q79" s="53"/>
      <c r="R79" s="53"/>
      <c r="S79" s="53"/>
      <c r="T79" s="53"/>
      <c r="U79" s="53"/>
      <c r="V79" s="55"/>
      <c r="W79" s="55"/>
      <c r="X79" s="55"/>
      <c r="Y79" s="55"/>
      <c r="Z79" s="55"/>
      <c r="AA79" s="55"/>
      <c r="AB79" s="55"/>
      <c r="AC79" s="55"/>
      <c r="AD79" s="55"/>
      <c r="AE79" s="57"/>
      <c r="AF79" s="61"/>
      <c r="AG79" s="61"/>
      <c r="AH79" s="62"/>
      <c r="AI79" s="63"/>
      <c r="AJ79" s="63"/>
      <c r="AK79" s="59"/>
      <c r="AL79" s="53"/>
      <c r="AM79" s="53"/>
      <c r="AN79" s="53"/>
      <c r="AO79" s="53"/>
      <c r="AP79" s="47"/>
      <c r="AQ79" s="47"/>
      <c r="AR79" s="47"/>
      <c r="AS79" s="47"/>
      <c r="AT79" s="47"/>
      <c r="AU79" s="47"/>
      <c r="AV79" s="47"/>
      <c r="AW79" s="47"/>
      <c r="AX79" s="47"/>
      <c r="AY79" s="47"/>
      <c r="AZ79" s="47"/>
    </row>
    <row r="80" spans="1:52" ht="13.2" x14ac:dyDescent="0.25">
      <c r="A80" s="47"/>
      <c r="B80" s="53"/>
      <c r="C80" s="54"/>
      <c r="D80" s="55"/>
      <c r="E80" s="56"/>
      <c r="F80" s="55"/>
      <c r="G80" s="64"/>
      <c r="H80" s="57"/>
      <c r="I80" s="63"/>
      <c r="J80" s="59"/>
      <c r="K80" s="53"/>
      <c r="L80" s="53"/>
      <c r="M80" s="53"/>
      <c r="N80" s="53"/>
      <c r="O80" s="53"/>
      <c r="P80" s="53"/>
      <c r="Q80" s="53"/>
      <c r="R80" s="53"/>
      <c r="S80" s="53"/>
      <c r="T80" s="53"/>
      <c r="U80" s="53"/>
      <c r="V80" s="55"/>
      <c r="W80" s="55"/>
      <c r="X80" s="55"/>
      <c r="Y80" s="55"/>
      <c r="Z80" s="55"/>
      <c r="AA80" s="55"/>
      <c r="AB80" s="55"/>
      <c r="AC80" s="55"/>
      <c r="AD80" s="55"/>
      <c r="AE80" s="57"/>
      <c r="AF80" s="61"/>
      <c r="AG80" s="61"/>
      <c r="AH80" s="62"/>
      <c r="AI80" s="63"/>
      <c r="AJ80" s="63"/>
      <c r="AK80" s="59"/>
      <c r="AL80" s="53"/>
      <c r="AM80" s="53"/>
      <c r="AN80" s="53"/>
      <c r="AO80" s="53"/>
      <c r="AP80" s="47"/>
      <c r="AQ80" s="47"/>
      <c r="AR80" s="47"/>
      <c r="AS80" s="47"/>
      <c r="AT80" s="47"/>
      <c r="AU80" s="47"/>
      <c r="AV80" s="47"/>
      <c r="AW80" s="47"/>
      <c r="AX80" s="47"/>
      <c r="AY80" s="47"/>
      <c r="AZ80" s="47"/>
    </row>
    <row r="81" spans="1:52" ht="13.2" x14ac:dyDescent="0.25">
      <c r="A81" s="47"/>
      <c r="B81" s="53"/>
      <c r="C81" s="54"/>
      <c r="D81" s="55"/>
      <c r="E81" s="56"/>
      <c r="F81" s="55"/>
      <c r="G81" s="64"/>
      <c r="H81" s="57"/>
      <c r="I81" s="63"/>
      <c r="J81" s="59"/>
      <c r="K81" s="53"/>
      <c r="L81" s="53"/>
      <c r="M81" s="53"/>
      <c r="N81" s="53"/>
      <c r="O81" s="53"/>
      <c r="P81" s="53"/>
      <c r="Q81" s="53"/>
      <c r="R81" s="53"/>
      <c r="S81" s="53"/>
      <c r="T81" s="53"/>
      <c r="U81" s="53"/>
      <c r="V81" s="55"/>
      <c r="W81" s="55"/>
      <c r="X81" s="55"/>
      <c r="Y81" s="55"/>
      <c r="Z81" s="55"/>
      <c r="AA81" s="55"/>
      <c r="AB81" s="55"/>
      <c r="AC81" s="55"/>
      <c r="AD81" s="55"/>
      <c r="AE81" s="57"/>
      <c r="AF81" s="61"/>
      <c r="AG81" s="61"/>
      <c r="AH81" s="62"/>
      <c r="AI81" s="63"/>
      <c r="AJ81" s="63"/>
      <c r="AK81" s="59"/>
      <c r="AL81" s="53"/>
      <c r="AM81" s="53"/>
      <c r="AN81" s="53"/>
      <c r="AO81" s="53"/>
      <c r="AP81" s="47"/>
      <c r="AQ81" s="47"/>
      <c r="AR81" s="47"/>
      <c r="AS81" s="47"/>
      <c r="AT81" s="47"/>
      <c r="AU81" s="47"/>
      <c r="AV81" s="47"/>
      <c r="AW81" s="47"/>
      <c r="AX81" s="47"/>
      <c r="AY81" s="47"/>
      <c r="AZ81" s="47"/>
    </row>
    <row r="82" spans="1:52" ht="13.2" x14ac:dyDescent="0.25">
      <c r="A82" s="47"/>
      <c r="B82" s="53"/>
      <c r="C82" s="54"/>
      <c r="D82" s="55"/>
      <c r="E82" s="56"/>
      <c r="F82" s="55"/>
      <c r="G82" s="64"/>
      <c r="H82" s="57"/>
      <c r="I82" s="63"/>
      <c r="J82" s="59"/>
      <c r="K82" s="53"/>
      <c r="L82" s="53"/>
      <c r="M82" s="53"/>
      <c r="N82" s="53"/>
      <c r="O82" s="53"/>
      <c r="P82" s="53"/>
      <c r="Q82" s="53"/>
      <c r="R82" s="53"/>
      <c r="S82" s="53"/>
      <c r="T82" s="53"/>
      <c r="U82" s="53"/>
      <c r="V82" s="55"/>
      <c r="W82" s="55"/>
      <c r="X82" s="55"/>
      <c r="Y82" s="55"/>
      <c r="Z82" s="55"/>
      <c r="AA82" s="55"/>
      <c r="AB82" s="55"/>
      <c r="AC82" s="55"/>
      <c r="AD82" s="55"/>
      <c r="AE82" s="57"/>
      <c r="AF82" s="61"/>
      <c r="AG82" s="61"/>
      <c r="AH82" s="62"/>
      <c r="AI82" s="63"/>
      <c r="AJ82" s="63"/>
      <c r="AK82" s="59"/>
      <c r="AL82" s="53"/>
      <c r="AM82" s="53"/>
      <c r="AN82" s="53"/>
      <c r="AO82" s="53"/>
      <c r="AP82" s="47"/>
      <c r="AQ82" s="47"/>
      <c r="AR82" s="47"/>
      <c r="AS82" s="47"/>
      <c r="AT82" s="47"/>
      <c r="AU82" s="47"/>
      <c r="AV82" s="47"/>
      <c r="AW82" s="47"/>
      <c r="AX82" s="47"/>
      <c r="AY82" s="47"/>
      <c r="AZ82" s="47"/>
    </row>
    <row r="83" spans="1:52" ht="13.2" x14ac:dyDescent="0.25">
      <c r="A83" s="47"/>
      <c r="B83" s="53"/>
      <c r="C83" s="54"/>
      <c r="D83" s="55"/>
      <c r="E83" s="56"/>
      <c r="F83" s="55"/>
      <c r="G83" s="64"/>
      <c r="H83" s="57"/>
      <c r="I83" s="63"/>
      <c r="J83" s="59"/>
      <c r="K83" s="53"/>
      <c r="L83" s="53"/>
      <c r="M83" s="53"/>
      <c r="N83" s="53"/>
      <c r="O83" s="53"/>
      <c r="P83" s="53"/>
      <c r="Q83" s="53"/>
      <c r="R83" s="53"/>
      <c r="S83" s="53"/>
      <c r="T83" s="53"/>
      <c r="U83" s="53"/>
      <c r="V83" s="55"/>
      <c r="W83" s="55"/>
      <c r="X83" s="55"/>
      <c r="Y83" s="55"/>
      <c r="Z83" s="55"/>
      <c r="AA83" s="55"/>
      <c r="AB83" s="55"/>
      <c r="AC83" s="55"/>
      <c r="AD83" s="55"/>
      <c r="AE83" s="57"/>
      <c r="AF83" s="61"/>
      <c r="AG83" s="61"/>
      <c r="AH83" s="62"/>
      <c r="AI83" s="63"/>
      <c r="AJ83" s="63"/>
      <c r="AK83" s="59"/>
      <c r="AL83" s="53"/>
      <c r="AM83" s="53"/>
      <c r="AN83" s="53"/>
      <c r="AO83" s="53"/>
      <c r="AP83" s="47"/>
      <c r="AQ83" s="47"/>
      <c r="AR83" s="47"/>
      <c r="AS83" s="47"/>
      <c r="AT83" s="47"/>
      <c r="AU83" s="47"/>
      <c r="AV83" s="47"/>
      <c r="AW83" s="47"/>
      <c r="AX83" s="47"/>
      <c r="AY83" s="47"/>
      <c r="AZ83" s="47"/>
    </row>
    <row r="84" spans="1:52" ht="13.2" x14ac:dyDescent="0.25">
      <c r="A84" s="47"/>
      <c r="B84" s="53"/>
      <c r="C84" s="54"/>
      <c r="D84" s="55"/>
      <c r="E84" s="56"/>
      <c r="F84" s="55"/>
      <c r="G84" s="64"/>
      <c r="H84" s="57"/>
      <c r="I84" s="63"/>
      <c r="J84" s="59"/>
      <c r="K84" s="53"/>
      <c r="L84" s="53"/>
      <c r="M84" s="53"/>
      <c r="N84" s="53"/>
      <c r="O84" s="53"/>
      <c r="P84" s="53"/>
      <c r="Q84" s="53"/>
      <c r="R84" s="53"/>
      <c r="S84" s="53"/>
      <c r="T84" s="53"/>
      <c r="U84" s="53"/>
      <c r="V84" s="55"/>
      <c r="W84" s="55"/>
      <c r="X84" s="55"/>
      <c r="Y84" s="55"/>
      <c r="Z84" s="55"/>
      <c r="AA84" s="55"/>
      <c r="AB84" s="55"/>
      <c r="AC84" s="55"/>
      <c r="AD84" s="55"/>
      <c r="AE84" s="57"/>
      <c r="AF84" s="61"/>
      <c r="AG84" s="61"/>
      <c r="AH84" s="62"/>
      <c r="AI84" s="63"/>
      <c r="AJ84" s="63"/>
      <c r="AK84" s="59"/>
      <c r="AL84" s="53"/>
      <c r="AM84" s="53"/>
      <c r="AN84" s="53"/>
      <c r="AO84" s="53"/>
      <c r="AP84" s="47"/>
      <c r="AQ84" s="47"/>
      <c r="AR84" s="47"/>
      <c r="AS84" s="47"/>
      <c r="AT84" s="47"/>
      <c r="AU84" s="47"/>
      <c r="AV84" s="47"/>
      <c r="AW84" s="47"/>
      <c r="AX84" s="47"/>
      <c r="AY84" s="47"/>
      <c r="AZ84" s="47"/>
    </row>
    <row r="85" spans="1:52" ht="13.2" x14ac:dyDescent="0.25">
      <c r="A85" s="47"/>
      <c r="B85" s="53"/>
      <c r="C85" s="54"/>
      <c r="D85" s="55"/>
      <c r="E85" s="56"/>
      <c r="F85" s="55"/>
      <c r="G85" s="64"/>
      <c r="H85" s="57"/>
      <c r="I85" s="63"/>
      <c r="J85" s="59"/>
      <c r="K85" s="53"/>
      <c r="L85" s="53"/>
      <c r="M85" s="53"/>
      <c r="N85" s="53"/>
      <c r="O85" s="53"/>
      <c r="P85" s="53"/>
      <c r="Q85" s="53"/>
      <c r="R85" s="53"/>
      <c r="S85" s="53"/>
      <c r="T85" s="53"/>
      <c r="U85" s="53"/>
      <c r="V85" s="55"/>
      <c r="W85" s="55"/>
      <c r="X85" s="55"/>
      <c r="Y85" s="55"/>
      <c r="Z85" s="55"/>
      <c r="AA85" s="55"/>
      <c r="AB85" s="55"/>
      <c r="AC85" s="55"/>
      <c r="AD85" s="55"/>
      <c r="AE85" s="57"/>
      <c r="AF85" s="61"/>
      <c r="AG85" s="61"/>
      <c r="AH85" s="62"/>
      <c r="AI85" s="63"/>
      <c r="AJ85" s="63"/>
      <c r="AK85" s="59"/>
      <c r="AL85" s="53"/>
      <c r="AM85" s="53"/>
      <c r="AN85" s="53"/>
      <c r="AO85" s="53"/>
      <c r="AP85" s="47"/>
      <c r="AQ85" s="47"/>
      <c r="AR85" s="47"/>
      <c r="AS85" s="47"/>
      <c r="AT85" s="47"/>
      <c r="AU85" s="47"/>
      <c r="AV85" s="47"/>
      <c r="AW85" s="47"/>
      <c r="AX85" s="47"/>
      <c r="AY85" s="47"/>
      <c r="AZ85" s="47"/>
    </row>
    <row r="86" spans="1:52" ht="13.2" x14ac:dyDescent="0.25">
      <c r="A86" s="47"/>
      <c r="B86" s="53"/>
      <c r="C86" s="54"/>
      <c r="D86" s="55"/>
      <c r="E86" s="56"/>
      <c r="F86" s="55"/>
      <c r="G86" s="64"/>
      <c r="H86" s="57"/>
      <c r="I86" s="63"/>
      <c r="J86" s="59"/>
      <c r="K86" s="53"/>
      <c r="L86" s="53"/>
      <c r="M86" s="53"/>
      <c r="N86" s="53"/>
      <c r="O86" s="53"/>
      <c r="P86" s="53"/>
      <c r="Q86" s="53"/>
      <c r="R86" s="53"/>
      <c r="S86" s="53"/>
      <c r="T86" s="53"/>
      <c r="U86" s="53"/>
      <c r="V86" s="55"/>
      <c r="W86" s="55"/>
      <c r="X86" s="55"/>
      <c r="Y86" s="55"/>
      <c r="Z86" s="55"/>
      <c r="AA86" s="55"/>
      <c r="AB86" s="55"/>
      <c r="AC86" s="55"/>
      <c r="AD86" s="55"/>
      <c r="AE86" s="57"/>
      <c r="AF86" s="61"/>
      <c r="AG86" s="61"/>
      <c r="AH86" s="62"/>
      <c r="AI86" s="63"/>
      <c r="AJ86" s="63"/>
      <c r="AK86" s="59"/>
      <c r="AL86" s="53"/>
      <c r="AM86" s="53"/>
      <c r="AN86" s="53"/>
      <c r="AO86" s="53"/>
      <c r="AP86" s="47"/>
      <c r="AQ86" s="47"/>
      <c r="AR86" s="47"/>
      <c r="AS86" s="47"/>
      <c r="AT86" s="47"/>
      <c r="AU86" s="47"/>
      <c r="AV86" s="47"/>
      <c r="AW86" s="47"/>
      <c r="AX86" s="47"/>
      <c r="AY86" s="47"/>
      <c r="AZ86" s="47"/>
    </row>
    <row r="87" spans="1:52" ht="13.2" x14ac:dyDescent="0.25">
      <c r="A87" s="47"/>
      <c r="B87" s="53"/>
      <c r="C87" s="54"/>
      <c r="D87" s="55"/>
      <c r="E87" s="56"/>
      <c r="F87" s="55"/>
      <c r="G87" s="64"/>
      <c r="H87" s="57"/>
      <c r="I87" s="63"/>
      <c r="J87" s="59"/>
      <c r="K87" s="53"/>
      <c r="L87" s="53"/>
      <c r="M87" s="53"/>
      <c r="N87" s="53"/>
      <c r="O87" s="53"/>
      <c r="P87" s="53"/>
      <c r="Q87" s="53"/>
      <c r="R87" s="53"/>
      <c r="S87" s="53"/>
      <c r="T87" s="53"/>
      <c r="U87" s="53"/>
      <c r="V87" s="55"/>
      <c r="W87" s="55"/>
      <c r="X87" s="55"/>
      <c r="Y87" s="55"/>
      <c r="Z87" s="55"/>
      <c r="AA87" s="55"/>
      <c r="AB87" s="55"/>
      <c r="AC87" s="55"/>
      <c r="AD87" s="55"/>
      <c r="AE87" s="57"/>
      <c r="AF87" s="61"/>
      <c r="AG87" s="61"/>
      <c r="AH87" s="62"/>
      <c r="AI87" s="63"/>
      <c r="AJ87" s="63"/>
      <c r="AK87" s="59"/>
      <c r="AL87" s="53"/>
      <c r="AM87" s="53"/>
      <c r="AN87" s="53"/>
      <c r="AO87" s="53"/>
      <c r="AP87" s="47"/>
      <c r="AQ87" s="47"/>
      <c r="AR87" s="47"/>
      <c r="AS87" s="47"/>
      <c r="AT87" s="47"/>
      <c r="AU87" s="47"/>
      <c r="AV87" s="47"/>
      <c r="AW87" s="47"/>
      <c r="AX87" s="47"/>
      <c r="AY87" s="47"/>
      <c r="AZ87" s="47"/>
    </row>
    <row r="88" spans="1:52" ht="13.2" x14ac:dyDescent="0.25">
      <c r="A88" s="47"/>
      <c r="B88" s="53"/>
      <c r="C88" s="54"/>
      <c r="D88" s="55"/>
      <c r="E88" s="56"/>
      <c r="F88" s="55"/>
      <c r="G88" s="64"/>
      <c r="H88" s="57"/>
      <c r="I88" s="63"/>
      <c r="J88" s="59"/>
      <c r="K88" s="53"/>
      <c r="L88" s="53"/>
      <c r="M88" s="53"/>
      <c r="N88" s="53"/>
      <c r="O88" s="53"/>
      <c r="P88" s="53"/>
      <c r="Q88" s="53"/>
      <c r="R88" s="53"/>
      <c r="S88" s="53"/>
      <c r="T88" s="53"/>
      <c r="U88" s="53"/>
      <c r="V88" s="55"/>
      <c r="W88" s="55"/>
      <c r="X88" s="55"/>
      <c r="Y88" s="55"/>
      <c r="Z88" s="55"/>
      <c r="AA88" s="55"/>
      <c r="AB88" s="55"/>
      <c r="AC88" s="55"/>
      <c r="AD88" s="55"/>
      <c r="AE88" s="57"/>
      <c r="AF88" s="61"/>
      <c r="AG88" s="61"/>
      <c r="AH88" s="62"/>
      <c r="AI88" s="63"/>
      <c r="AJ88" s="63"/>
      <c r="AK88" s="59"/>
      <c r="AL88" s="53"/>
      <c r="AM88" s="53"/>
      <c r="AN88" s="53"/>
      <c r="AO88" s="53"/>
      <c r="AP88" s="47"/>
      <c r="AQ88" s="47"/>
      <c r="AR88" s="47"/>
      <c r="AS88" s="47"/>
      <c r="AT88" s="47"/>
      <c r="AU88" s="47"/>
      <c r="AV88" s="47"/>
      <c r="AW88" s="47"/>
      <c r="AX88" s="47"/>
      <c r="AY88" s="47"/>
      <c r="AZ88" s="47"/>
    </row>
    <row r="89" spans="1:52" ht="13.2" x14ac:dyDescent="0.25">
      <c r="A89" s="47"/>
      <c r="B89" s="53"/>
      <c r="C89" s="54"/>
      <c r="D89" s="55"/>
      <c r="E89" s="56"/>
      <c r="F89" s="55"/>
      <c r="G89" s="64"/>
      <c r="H89" s="57"/>
      <c r="I89" s="63"/>
      <c r="J89" s="59"/>
      <c r="K89" s="53"/>
      <c r="L89" s="53"/>
      <c r="M89" s="53"/>
      <c r="N89" s="53"/>
      <c r="O89" s="53"/>
      <c r="P89" s="53"/>
      <c r="Q89" s="53"/>
      <c r="R89" s="53"/>
      <c r="S89" s="53"/>
      <c r="T89" s="53"/>
      <c r="U89" s="53"/>
      <c r="V89" s="55"/>
      <c r="W89" s="55"/>
      <c r="X89" s="55"/>
      <c r="Y89" s="55"/>
      <c r="Z89" s="55"/>
      <c r="AA89" s="55"/>
      <c r="AB89" s="55"/>
      <c r="AC89" s="55"/>
      <c r="AD89" s="55"/>
      <c r="AE89" s="57"/>
      <c r="AF89" s="61"/>
      <c r="AG89" s="61"/>
      <c r="AH89" s="62"/>
      <c r="AI89" s="63"/>
      <c r="AJ89" s="63"/>
      <c r="AK89" s="59"/>
      <c r="AL89" s="53"/>
      <c r="AM89" s="53"/>
      <c r="AN89" s="53"/>
      <c r="AO89" s="53"/>
      <c r="AP89" s="47"/>
      <c r="AQ89" s="47"/>
      <c r="AR89" s="47"/>
      <c r="AS89" s="47"/>
      <c r="AT89" s="47"/>
      <c r="AU89" s="47"/>
      <c r="AV89" s="47"/>
      <c r="AW89" s="47"/>
      <c r="AX89" s="47"/>
      <c r="AY89" s="47"/>
      <c r="AZ89" s="47"/>
    </row>
    <row r="90" spans="1:52" ht="13.2" x14ac:dyDescent="0.25">
      <c r="A90" s="47"/>
      <c r="B90" s="53"/>
      <c r="C90" s="54"/>
      <c r="D90" s="55"/>
      <c r="E90" s="56"/>
      <c r="F90" s="55"/>
      <c r="G90" s="64"/>
      <c r="H90" s="57"/>
      <c r="I90" s="63"/>
      <c r="J90" s="59"/>
      <c r="K90" s="53"/>
      <c r="L90" s="53"/>
      <c r="M90" s="53"/>
      <c r="N90" s="53"/>
      <c r="O90" s="53"/>
      <c r="P90" s="53"/>
      <c r="Q90" s="53"/>
      <c r="R90" s="53"/>
      <c r="S90" s="53"/>
      <c r="T90" s="53"/>
      <c r="U90" s="53"/>
      <c r="V90" s="55"/>
      <c r="W90" s="55"/>
      <c r="X90" s="55"/>
      <c r="Y90" s="55"/>
      <c r="Z90" s="55"/>
      <c r="AA90" s="55"/>
      <c r="AB90" s="55"/>
      <c r="AC90" s="55"/>
      <c r="AD90" s="55"/>
      <c r="AE90" s="57"/>
      <c r="AF90" s="61"/>
      <c r="AG90" s="61"/>
      <c r="AH90" s="62"/>
      <c r="AI90" s="63"/>
      <c r="AJ90" s="63"/>
      <c r="AK90" s="59"/>
      <c r="AL90" s="53"/>
      <c r="AM90" s="53"/>
      <c r="AN90" s="53"/>
      <c r="AO90" s="53"/>
      <c r="AP90" s="47"/>
      <c r="AQ90" s="47"/>
      <c r="AR90" s="47"/>
      <c r="AS90" s="47"/>
      <c r="AT90" s="47"/>
      <c r="AU90" s="47"/>
      <c r="AV90" s="47"/>
      <c r="AW90" s="47"/>
      <c r="AX90" s="47"/>
      <c r="AY90" s="47"/>
      <c r="AZ90" s="47"/>
    </row>
    <row r="91" spans="1:52" ht="13.2" x14ac:dyDescent="0.25">
      <c r="A91" s="47"/>
      <c r="B91" s="53"/>
      <c r="C91" s="54"/>
      <c r="D91" s="55"/>
      <c r="E91" s="56"/>
      <c r="F91" s="55"/>
      <c r="G91" s="64"/>
      <c r="H91" s="57"/>
      <c r="I91" s="63"/>
      <c r="J91" s="59"/>
      <c r="K91" s="53"/>
      <c r="L91" s="53"/>
      <c r="M91" s="53"/>
      <c r="N91" s="53"/>
      <c r="O91" s="53"/>
      <c r="P91" s="53"/>
      <c r="Q91" s="53"/>
      <c r="R91" s="53"/>
      <c r="S91" s="53"/>
      <c r="T91" s="53"/>
      <c r="U91" s="53"/>
      <c r="V91" s="55"/>
      <c r="W91" s="55"/>
      <c r="X91" s="55"/>
      <c r="Y91" s="55"/>
      <c r="Z91" s="55"/>
      <c r="AA91" s="55"/>
      <c r="AB91" s="55"/>
      <c r="AC91" s="55"/>
      <c r="AD91" s="55"/>
      <c r="AE91" s="57"/>
      <c r="AF91" s="61"/>
      <c r="AG91" s="61"/>
      <c r="AH91" s="62"/>
      <c r="AI91" s="63"/>
      <c r="AJ91" s="63"/>
      <c r="AK91" s="59"/>
      <c r="AL91" s="53"/>
      <c r="AM91" s="53"/>
      <c r="AN91" s="53"/>
      <c r="AO91" s="53"/>
      <c r="AP91" s="47"/>
      <c r="AQ91" s="47"/>
      <c r="AR91" s="47"/>
      <c r="AS91" s="47"/>
      <c r="AT91" s="47"/>
      <c r="AU91" s="47"/>
      <c r="AV91" s="47"/>
      <c r="AW91" s="47"/>
      <c r="AX91" s="47"/>
      <c r="AY91" s="47"/>
      <c r="AZ91" s="47"/>
    </row>
    <row r="92" spans="1:52" ht="13.2" x14ac:dyDescent="0.25">
      <c r="A92" s="47"/>
      <c r="B92" s="53"/>
      <c r="C92" s="54"/>
      <c r="D92" s="55"/>
      <c r="E92" s="56"/>
      <c r="F92" s="55"/>
      <c r="G92" s="64"/>
      <c r="H92" s="57"/>
      <c r="I92" s="63"/>
      <c r="J92" s="59"/>
      <c r="K92" s="53"/>
      <c r="L92" s="53"/>
      <c r="M92" s="53"/>
      <c r="N92" s="53"/>
      <c r="O92" s="53"/>
      <c r="P92" s="53"/>
      <c r="Q92" s="53"/>
      <c r="R92" s="53"/>
      <c r="S92" s="53"/>
      <c r="T92" s="53"/>
      <c r="U92" s="53"/>
      <c r="V92" s="55"/>
      <c r="W92" s="55"/>
      <c r="X92" s="55"/>
      <c r="Y92" s="55"/>
      <c r="Z92" s="55"/>
      <c r="AA92" s="55"/>
      <c r="AB92" s="55"/>
      <c r="AC92" s="55"/>
      <c r="AD92" s="55"/>
      <c r="AE92" s="57"/>
      <c r="AF92" s="61"/>
      <c r="AG92" s="61"/>
      <c r="AH92" s="62"/>
      <c r="AI92" s="63"/>
      <c r="AJ92" s="63"/>
      <c r="AK92" s="59"/>
      <c r="AL92" s="53"/>
      <c r="AM92" s="53"/>
      <c r="AN92" s="53"/>
      <c r="AO92" s="53"/>
      <c r="AP92" s="47"/>
      <c r="AQ92" s="47"/>
      <c r="AR92" s="47"/>
      <c r="AS92" s="47"/>
      <c r="AT92" s="47"/>
      <c r="AU92" s="47"/>
      <c r="AV92" s="47"/>
      <c r="AW92" s="47"/>
      <c r="AX92" s="47"/>
      <c r="AY92" s="47"/>
      <c r="AZ92" s="47"/>
    </row>
    <row r="93" spans="1:52" ht="13.2" x14ac:dyDescent="0.25">
      <c r="A93" s="47"/>
      <c r="B93" s="53"/>
      <c r="C93" s="54"/>
      <c r="D93" s="55"/>
      <c r="E93" s="56"/>
      <c r="F93" s="55"/>
      <c r="G93" s="64"/>
      <c r="H93" s="57"/>
      <c r="I93" s="63"/>
      <c r="J93" s="59"/>
      <c r="K93" s="53"/>
      <c r="L93" s="53"/>
      <c r="M93" s="53"/>
      <c r="N93" s="53"/>
      <c r="O93" s="53"/>
      <c r="P93" s="53"/>
      <c r="Q93" s="53"/>
      <c r="R93" s="53"/>
      <c r="S93" s="53"/>
      <c r="T93" s="53"/>
      <c r="U93" s="53"/>
      <c r="V93" s="55"/>
      <c r="W93" s="55"/>
      <c r="X93" s="55"/>
      <c r="Y93" s="55"/>
      <c r="Z93" s="55"/>
      <c r="AA93" s="55"/>
      <c r="AB93" s="55"/>
      <c r="AC93" s="55"/>
      <c r="AD93" s="55"/>
      <c r="AE93" s="57"/>
      <c r="AF93" s="61"/>
      <c r="AG93" s="61"/>
      <c r="AH93" s="62"/>
      <c r="AI93" s="63"/>
      <c r="AJ93" s="63"/>
      <c r="AK93" s="59"/>
      <c r="AL93" s="53"/>
      <c r="AM93" s="53"/>
      <c r="AN93" s="53"/>
      <c r="AO93" s="53"/>
      <c r="AP93" s="47"/>
      <c r="AQ93" s="47"/>
      <c r="AR93" s="47"/>
      <c r="AS93" s="47"/>
      <c r="AT93" s="47"/>
      <c r="AU93" s="47"/>
      <c r="AV93" s="47"/>
      <c r="AW93" s="47"/>
      <c r="AX93" s="47"/>
      <c r="AY93" s="47"/>
      <c r="AZ93" s="47"/>
    </row>
    <row r="94" spans="1:52" ht="13.2" x14ac:dyDescent="0.25">
      <c r="A94" s="47"/>
      <c r="B94" s="53"/>
      <c r="C94" s="54"/>
      <c r="D94" s="55"/>
      <c r="E94" s="56"/>
      <c r="F94" s="55"/>
      <c r="G94" s="64"/>
      <c r="H94" s="57"/>
      <c r="I94" s="63"/>
      <c r="J94" s="59"/>
      <c r="K94" s="53"/>
      <c r="L94" s="53"/>
      <c r="M94" s="53"/>
      <c r="N94" s="53"/>
      <c r="O94" s="53"/>
      <c r="P94" s="53"/>
      <c r="Q94" s="53"/>
      <c r="R94" s="53"/>
      <c r="S94" s="53"/>
      <c r="T94" s="53"/>
      <c r="U94" s="53"/>
      <c r="V94" s="55"/>
      <c r="W94" s="55"/>
      <c r="X94" s="55"/>
      <c r="Y94" s="55"/>
      <c r="Z94" s="55"/>
      <c r="AA94" s="55"/>
      <c r="AB94" s="55"/>
      <c r="AC94" s="55"/>
      <c r="AD94" s="55"/>
      <c r="AE94" s="57"/>
      <c r="AF94" s="61"/>
      <c r="AG94" s="61"/>
      <c r="AH94" s="62"/>
      <c r="AI94" s="63"/>
      <c r="AJ94" s="63"/>
      <c r="AK94" s="59"/>
      <c r="AL94" s="53"/>
      <c r="AM94" s="53"/>
      <c r="AN94" s="53"/>
      <c r="AO94" s="53"/>
      <c r="AP94" s="47"/>
      <c r="AQ94" s="47"/>
      <c r="AR94" s="47"/>
      <c r="AS94" s="47"/>
      <c r="AT94" s="47"/>
      <c r="AU94" s="47"/>
      <c r="AV94" s="47"/>
      <c r="AW94" s="47"/>
      <c r="AX94" s="47"/>
      <c r="AY94" s="47"/>
      <c r="AZ94" s="47"/>
    </row>
    <row r="95" spans="1:52" ht="13.2" x14ac:dyDescent="0.25">
      <c r="A95" s="47"/>
      <c r="B95" s="53"/>
      <c r="C95" s="54"/>
      <c r="D95" s="55"/>
      <c r="E95" s="56"/>
      <c r="F95" s="55"/>
      <c r="G95" s="64"/>
      <c r="H95" s="57"/>
      <c r="I95" s="63"/>
      <c r="J95" s="59"/>
      <c r="K95" s="53"/>
      <c r="L95" s="53"/>
      <c r="M95" s="53"/>
      <c r="N95" s="53"/>
      <c r="O95" s="53"/>
      <c r="P95" s="53"/>
      <c r="Q95" s="53"/>
      <c r="R95" s="53"/>
      <c r="S95" s="53"/>
      <c r="T95" s="53"/>
      <c r="U95" s="53"/>
      <c r="V95" s="55"/>
      <c r="W95" s="55"/>
      <c r="X95" s="55"/>
      <c r="Y95" s="55"/>
      <c r="Z95" s="55"/>
      <c r="AA95" s="55"/>
      <c r="AB95" s="55"/>
      <c r="AC95" s="55"/>
      <c r="AD95" s="55"/>
      <c r="AE95" s="57"/>
      <c r="AF95" s="61"/>
      <c r="AG95" s="61"/>
      <c r="AH95" s="62"/>
      <c r="AI95" s="63"/>
      <c r="AJ95" s="63"/>
      <c r="AK95" s="59"/>
      <c r="AL95" s="53"/>
      <c r="AM95" s="53"/>
      <c r="AN95" s="53"/>
      <c r="AO95" s="53"/>
      <c r="AP95" s="47"/>
      <c r="AQ95" s="47"/>
      <c r="AR95" s="47"/>
      <c r="AS95" s="47"/>
      <c r="AT95" s="47"/>
      <c r="AU95" s="47"/>
      <c r="AV95" s="47"/>
      <c r="AW95" s="47"/>
      <c r="AX95" s="47"/>
      <c r="AY95" s="47"/>
      <c r="AZ95" s="47"/>
    </row>
    <row r="96" spans="1:52" ht="13.2" x14ac:dyDescent="0.25">
      <c r="A96" s="47"/>
      <c r="B96" s="53"/>
      <c r="C96" s="54"/>
      <c r="D96" s="55"/>
      <c r="E96" s="56"/>
      <c r="F96" s="55"/>
      <c r="G96" s="64"/>
      <c r="H96" s="57"/>
      <c r="I96" s="63"/>
      <c r="J96" s="59"/>
      <c r="K96" s="53"/>
      <c r="L96" s="53"/>
      <c r="M96" s="53"/>
      <c r="N96" s="53"/>
      <c r="O96" s="53"/>
      <c r="P96" s="53"/>
      <c r="Q96" s="53"/>
      <c r="R96" s="53"/>
      <c r="S96" s="53"/>
      <c r="T96" s="53"/>
      <c r="U96" s="53"/>
      <c r="V96" s="55"/>
      <c r="W96" s="55"/>
      <c r="X96" s="55"/>
      <c r="Y96" s="55"/>
      <c r="Z96" s="55"/>
      <c r="AA96" s="55"/>
      <c r="AB96" s="55"/>
      <c r="AC96" s="55"/>
      <c r="AD96" s="55"/>
      <c r="AE96" s="57"/>
      <c r="AF96" s="61"/>
      <c r="AG96" s="61"/>
      <c r="AH96" s="62"/>
      <c r="AI96" s="63"/>
      <c r="AJ96" s="63"/>
      <c r="AK96" s="59"/>
      <c r="AL96" s="53"/>
      <c r="AM96" s="53"/>
      <c r="AN96" s="53"/>
      <c r="AO96" s="53"/>
      <c r="AP96" s="47"/>
      <c r="AQ96" s="47"/>
      <c r="AR96" s="47"/>
      <c r="AS96" s="47"/>
      <c r="AT96" s="47"/>
      <c r="AU96" s="47"/>
      <c r="AV96" s="47"/>
      <c r="AW96" s="47"/>
      <c r="AX96" s="47"/>
      <c r="AY96" s="47"/>
      <c r="AZ96" s="47"/>
    </row>
    <row r="97" spans="1:52" ht="13.2" x14ac:dyDescent="0.25">
      <c r="A97" s="47"/>
      <c r="B97" s="53"/>
      <c r="C97" s="54"/>
      <c r="D97" s="55"/>
      <c r="E97" s="56"/>
      <c r="F97" s="55"/>
      <c r="G97" s="64"/>
      <c r="H97" s="57"/>
      <c r="I97" s="63"/>
      <c r="J97" s="59"/>
      <c r="K97" s="53"/>
      <c r="L97" s="53"/>
      <c r="M97" s="53"/>
      <c r="N97" s="53"/>
      <c r="O97" s="53"/>
      <c r="P97" s="53"/>
      <c r="Q97" s="53"/>
      <c r="R97" s="53"/>
      <c r="S97" s="53"/>
      <c r="T97" s="53"/>
      <c r="U97" s="53"/>
      <c r="V97" s="55"/>
      <c r="W97" s="55"/>
      <c r="X97" s="55"/>
      <c r="Y97" s="55"/>
      <c r="Z97" s="55"/>
      <c r="AA97" s="55"/>
      <c r="AB97" s="55"/>
      <c r="AC97" s="55"/>
      <c r="AD97" s="55"/>
      <c r="AE97" s="57"/>
      <c r="AF97" s="61"/>
      <c r="AG97" s="61"/>
      <c r="AH97" s="62"/>
      <c r="AI97" s="63"/>
      <c r="AJ97" s="63"/>
      <c r="AK97" s="59"/>
      <c r="AL97" s="53"/>
      <c r="AM97" s="53"/>
      <c r="AN97" s="53"/>
      <c r="AO97" s="53"/>
      <c r="AP97" s="47"/>
      <c r="AQ97" s="47"/>
      <c r="AR97" s="47"/>
      <c r="AS97" s="47"/>
      <c r="AT97" s="47"/>
      <c r="AU97" s="47"/>
      <c r="AV97" s="47"/>
      <c r="AW97" s="47"/>
      <c r="AX97" s="47"/>
      <c r="AY97" s="47"/>
      <c r="AZ97" s="47"/>
    </row>
    <row r="98" spans="1:52" ht="13.2" x14ac:dyDescent="0.25">
      <c r="A98" s="47"/>
      <c r="B98" s="53"/>
      <c r="C98" s="54"/>
      <c r="D98" s="55"/>
      <c r="E98" s="56"/>
      <c r="F98" s="55"/>
      <c r="G98" s="64"/>
      <c r="H98" s="57"/>
      <c r="I98" s="63"/>
      <c r="J98" s="59"/>
      <c r="K98" s="53"/>
      <c r="L98" s="53"/>
      <c r="M98" s="53"/>
      <c r="N98" s="53"/>
      <c r="O98" s="53"/>
      <c r="P98" s="53"/>
      <c r="Q98" s="53"/>
      <c r="R98" s="53"/>
      <c r="S98" s="53"/>
      <c r="T98" s="53"/>
      <c r="U98" s="53"/>
      <c r="V98" s="55"/>
      <c r="W98" s="55"/>
      <c r="X98" s="55"/>
      <c r="Y98" s="55"/>
      <c r="Z98" s="55"/>
      <c r="AA98" s="55"/>
      <c r="AB98" s="55"/>
      <c r="AC98" s="55"/>
      <c r="AD98" s="55"/>
      <c r="AE98" s="57"/>
      <c r="AF98" s="61"/>
      <c r="AG98" s="61"/>
      <c r="AH98" s="62"/>
      <c r="AI98" s="63"/>
      <c r="AJ98" s="63"/>
      <c r="AK98" s="59"/>
      <c r="AL98" s="53"/>
      <c r="AM98" s="53"/>
      <c r="AN98" s="53"/>
      <c r="AO98" s="53"/>
      <c r="AP98" s="47"/>
      <c r="AQ98" s="47"/>
      <c r="AR98" s="47"/>
      <c r="AS98" s="47"/>
      <c r="AT98" s="47"/>
      <c r="AU98" s="47"/>
      <c r="AV98" s="47"/>
      <c r="AW98" s="47"/>
      <c r="AX98" s="47"/>
      <c r="AY98" s="47"/>
      <c r="AZ98" s="47"/>
    </row>
    <row r="99" spans="1:52" ht="13.2" x14ac:dyDescent="0.25">
      <c r="A99" s="47"/>
      <c r="B99" s="53"/>
      <c r="C99" s="54"/>
      <c r="D99" s="55"/>
      <c r="E99" s="56"/>
      <c r="F99" s="55"/>
      <c r="G99" s="64"/>
      <c r="H99" s="57"/>
      <c r="I99" s="63"/>
      <c r="J99" s="59"/>
      <c r="K99" s="53"/>
      <c r="L99" s="53"/>
      <c r="M99" s="53"/>
      <c r="N99" s="53"/>
      <c r="O99" s="53"/>
      <c r="P99" s="53"/>
      <c r="Q99" s="53"/>
      <c r="R99" s="53"/>
      <c r="S99" s="53"/>
      <c r="T99" s="53"/>
      <c r="U99" s="53"/>
      <c r="V99" s="55"/>
      <c r="W99" s="55"/>
      <c r="X99" s="55"/>
      <c r="Y99" s="55"/>
      <c r="Z99" s="55"/>
      <c r="AA99" s="55"/>
      <c r="AB99" s="55"/>
      <c r="AC99" s="55"/>
      <c r="AD99" s="55"/>
      <c r="AE99" s="57"/>
      <c r="AF99" s="61"/>
      <c r="AG99" s="61"/>
      <c r="AH99" s="62"/>
      <c r="AI99" s="63"/>
      <c r="AJ99" s="63"/>
      <c r="AK99" s="59"/>
      <c r="AL99" s="53"/>
      <c r="AM99" s="53"/>
      <c r="AN99" s="53"/>
      <c r="AO99" s="53"/>
      <c r="AP99" s="47"/>
      <c r="AQ99" s="47"/>
      <c r="AR99" s="47"/>
      <c r="AS99" s="47"/>
      <c r="AT99" s="47"/>
      <c r="AU99" s="47"/>
      <c r="AV99" s="47"/>
      <c r="AW99" s="47"/>
      <c r="AX99" s="47"/>
      <c r="AY99" s="47"/>
      <c r="AZ99" s="47"/>
    </row>
    <row r="100" spans="1:52" ht="13.2" x14ac:dyDescent="0.25">
      <c r="A100" s="47"/>
      <c r="B100" s="53"/>
      <c r="C100" s="54"/>
      <c r="D100" s="55"/>
      <c r="E100" s="56"/>
      <c r="F100" s="55"/>
      <c r="G100" s="64"/>
      <c r="H100" s="57"/>
      <c r="I100" s="63"/>
      <c r="J100" s="59"/>
      <c r="K100" s="53"/>
      <c r="L100" s="53"/>
      <c r="M100" s="53"/>
      <c r="N100" s="53"/>
      <c r="O100" s="53"/>
      <c r="P100" s="53"/>
      <c r="Q100" s="53"/>
      <c r="R100" s="53"/>
      <c r="S100" s="53"/>
      <c r="T100" s="53"/>
      <c r="U100" s="53"/>
      <c r="V100" s="55"/>
      <c r="W100" s="55"/>
      <c r="X100" s="55"/>
      <c r="Y100" s="55"/>
      <c r="Z100" s="55"/>
      <c r="AA100" s="55"/>
      <c r="AB100" s="55"/>
      <c r="AC100" s="55"/>
      <c r="AD100" s="55"/>
      <c r="AE100" s="57"/>
      <c r="AF100" s="61"/>
      <c r="AG100" s="61"/>
      <c r="AH100" s="62"/>
      <c r="AI100" s="63"/>
      <c r="AJ100" s="63"/>
      <c r="AK100" s="59"/>
      <c r="AL100" s="53"/>
      <c r="AM100" s="53"/>
      <c r="AN100" s="53"/>
      <c r="AO100" s="53"/>
      <c r="AP100" s="47"/>
      <c r="AQ100" s="47"/>
      <c r="AR100" s="47"/>
      <c r="AS100" s="47"/>
      <c r="AT100" s="47"/>
      <c r="AU100" s="47"/>
      <c r="AV100" s="47"/>
      <c r="AW100" s="47"/>
      <c r="AX100" s="47"/>
      <c r="AY100" s="47"/>
      <c r="AZ100" s="47"/>
    </row>
    <row r="101" spans="1:52" ht="13.2" x14ac:dyDescent="0.25">
      <c r="A101" s="47"/>
      <c r="B101" s="53"/>
      <c r="C101" s="54"/>
      <c r="D101" s="55"/>
      <c r="E101" s="56"/>
      <c r="F101" s="55"/>
      <c r="G101" s="64"/>
      <c r="H101" s="57"/>
      <c r="I101" s="63"/>
      <c r="J101" s="59"/>
      <c r="K101" s="53"/>
      <c r="L101" s="53"/>
      <c r="M101" s="53"/>
      <c r="N101" s="53"/>
      <c r="O101" s="53"/>
      <c r="P101" s="53"/>
      <c r="Q101" s="53"/>
      <c r="R101" s="53"/>
      <c r="S101" s="53"/>
      <c r="T101" s="53"/>
      <c r="U101" s="53"/>
      <c r="V101" s="55"/>
      <c r="W101" s="55"/>
      <c r="X101" s="55"/>
      <c r="Y101" s="55"/>
      <c r="Z101" s="55"/>
      <c r="AA101" s="55"/>
      <c r="AB101" s="55"/>
      <c r="AC101" s="55"/>
      <c r="AD101" s="55"/>
      <c r="AE101" s="57"/>
      <c r="AF101" s="61"/>
      <c r="AG101" s="61"/>
      <c r="AH101" s="62"/>
      <c r="AI101" s="63"/>
      <c r="AJ101" s="63"/>
      <c r="AK101" s="59"/>
      <c r="AL101" s="53"/>
      <c r="AM101" s="53"/>
      <c r="AN101" s="53"/>
      <c r="AO101" s="53"/>
      <c r="AP101" s="47"/>
      <c r="AQ101" s="47"/>
      <c r="AR101" s="47"/>
      <c r="AS101" s="47"/>
      <c r="AT101" s="47"/>
      <c r="AU101" s="47"/>
      <c r="AV101" s="47"/>
      <c r="AW101" s="47"/>
      <c r="AX101" s="47"/>
      <c r="AY101" s="47"/>
      <c r="AZ101" s="47"/>
    </row>
    <row r="102" spans="1:52" ht="13.2" x14ac:dyDescent="0.25">
      <c r="A102" s="47"/>
      <c r="B102" s="53"/>
      <c r="C102" s="54"/>
      <c r="D102" s="55"/>
      <c r="E102" s="56"/>
      <c r="F102" s="55"/>
      <c r="G102" s="64"/>
      <c r="H102" s="57"/>
      <c r="I102" s="63"/>
      <c r="J102" s="59"/>
      <c r="K102" s="53"/>
      <c r="L102" s="53"/>
      <c r="M102" s="53"/>
      <c r="N102" s="53"/>
      <c r="O102" s="53"/>
      <c r="P102" s="53"/>
      <c r="Q102" s="53"/>
      <c r="R102" s="53"/>
      <c r="S102" s="53"/>
      <c r="T102" s="53"/>
      <c r="U102" s="53"/>
      <c r="V102" s="55"/>
      <c r="W102" s="55"/>
      <c r="X102" s="55"/>
      <c r="Y102" s="55"/>
      <c r="Z102" s="55"/>
      <c r="AA102" s="55"/>
      <c r="AB102" s="55"/>
      <c r="AC102" s="55"/>
      <c r="AD102" s="55"/>
      <c r="AE102" s="57"/>
      <c r="AF102" s="61"/>
      <c r="AG102" s="61"/>
      <c r="AH102" s="62"/>
      <c r="AI102" s="63"/>
      <c r="AJ102" s="63"/>
      <c r="AK102" s="59"/>
      <c r="AL102" s="53"/>
      <c r="AM102" s="53"/>
      <c r="AN102" s="53"/>
      <c r="AO102" s="53"/>
      <c r="AP102" s="47"/>
      <c r="AQ102" s="47"/>
      <c r="AR102" s="47"/>
      <c r="AS102" s="47"/>
      <c r="AT102" s="47"/>
      <c r="AU102" s="47"/>
      <c r="AV102" s="47"/>
      <c r="AW102" s="47"/>
      <c r="AX102" s="47"/>
      <c r="AY102" s="47"/>
      <c r="AZ102" s="47"/>
    </row>
    <row r="103" spans="1:52" ht="13.2" x14ac:dyDescent="0.25">
      <c r="A103" s="47"/>
      <c r="B103" s="53"/>
      <c r="C103" s="54"/>
      <c r="D103" s="55"/>
      <c r="E103" s="56"/>
      <c r="F103" s="55"/>
      <c r="G103" s="64"/>
      <c r="H103" s="57"/>
      <c r="I103" s="63"/>
      <c r="J103" s="59"/>
      <c r="K103" s="53"/>
      <c r="L103" s="53"/>
      <c r="M103" s="53"/>
      <c r="N103" s="53"/>
      <c r="O103" s="53"/>
      <c r="P103" s="53"/>
      <c r="Q103" s="53"/>
      <c r="R103" s="53"/>
      <c r="S103" s="53"/>
      <c r="T103" s="53"/>
      <c r="U103" s="53"/>
      <c r="V103" s="55"/>
      <c r="W103" s="55"/>
      <c r="X103" s="55"/>
      <c r="Y103" s="55"/>
      <c r="Z103" s="55"/>
      <c r="AA103" s="55"/>
      <c r="AB103" s="55"/>
      <c r="AC103" s="55"/>
      <c r="AD103" s="55"/>
      <c r="AE103" s="57"/>
      <c r="AF103" s="61"/>
      <c r="AG103" s="61"/>
      <c r="AH103" s="62"/>
      <c r="AI103" s="63"/>
      <c r="AJ103" s="63"/>
      <c r="AK103" s="59"/>
      <c r="AL103" s="53"/>
      <c r="AM103" s="53"/>
      <c r="AN103" s="53"/>
      <c r="AO103" s="53"/>
      <c r="AP103" s="47"/>
      <c r="AQ103" s="47"/>
      <c r="AR103" s="47"/>
      <c r="AS103" s="47"/>
      <c r="AT103" s="47"/>
      <c r="AU103" s="47"/>
      <c r="AV103" s="47"/>
      <c r="AW103" s="47"/>
      <c r="AX103" s="47"/>
      <c r="AY103" s="47"/>
      <c r="AZ103" s="47"/>
    </row>
    <row r="104" spans="1:52" ht="13.2" x14ac:dyDescent="0.25">
      <c r="A104" s="47"/>
      <c r="B104" s="53"/>
      <c r="C104" s="54"/>
      <c r="D104" s="55"/>
      <c r="E104" s="56"/>
      <c r="F104" s="55"/>
      <c r="G104" s="64"/>
      <c r="H104" s="57"/>
      <c r="I104" s="63"/>
      <c r="J104" s="59"/>
      <c r="K104" s="53"/>
      <c r="L104" s="53"/>
      <c r="M104" s="53"/>
      <c r="N104" s="53"/>
      <c r="O104" s="53"/>
      <c r="P104" s="53"/>
      <c r="Q104" s="53"/>
      <c r="R104" s="53"/>
      <c r="S104" s="53"/>
      <c r="T104" s="53"/>
      <c r="U104" s="53"/>
      <c r="V104" s="55"/>
      <c r="W104" s="55"/>
      <c r="X104" s="55"/>
      <c r="Y104" s="55"/>
      <c r="Z104" s="55"/>
      <c r="AA104" s="55"/>
      <c r="AB104" s="55"/>
      <c r="AC104" s="55"/>
      <c r="AD104" s="55"/>
      <c r="AE104" s="57"/>
      <c r="AF104" s="61"/>
      <c r="AG104" s="61"/>
      <c r="AH104" s="62"/>
      <c r="AI104" s="63"/>
      <c r="AJ104" s="63"/>
      <c r="AK104" s="59"/>
      <c r="AL104" s="53"/>
      <c r="AM104" s="53"/>
      <c r="AN104" s="53"/>
      <c r="AO104" s="53"/>
      <c r="AP104" s="47"/>
      <c r="AQ104" s="47"/>
      <c r="AR104" s="47"/>
      <c r="AS104" s="47"/>
      <c r="AT104" s="47"/>
      <c r="AU104" s="47"/>
      <c r="AV104" s="47"/>
      <c r="AW104" s="47"/>
      <c r="AX104" s="47"/>
      <c r="AY104" s="47"/>
      <c r="AZ104" s="47"/>
    </row>
    <row r="105" spans="1:52" ht="13.2" x14ac:dyDescent="0.25">
      <c r="A105" s="47"/>
      <c r="B105" s="53"/>
      <c r="C105" s="54"/>
      <c r="D105" s="55"/>
      <c r="E105" s="56"/>
      <c r="F105" s="55"/>
      <c r="G105" s="64"/>
      <c r="H105" s="57"/>
      <c r="I105" s="63"/>
      <c r="J105" s="59"/>
      <c r="K105" s="53"/>
      <c r="L105" s="53"/>
      <c r="M105" s="53"/>
      <c r="N105" s="53"/>
      <c r="O105" s="53"/>
      <c r="P105" s="53"/>
      <c r="Q105" s="53"/>
      <c r="R105" s="53"/>
      <c r="S105" s="53"/>
      <c r="T105" s="53"/>
      <c r="U105" s="53"/>
      <c r="V105" s="55"/>
      <c r="W105" s="55"/>
      <c r="X105" s="55"/>
      <c r="Y105" s="55"/>
      <c r="Z105" s="55"/>
      <c r="AA105" s="55"/>
      <c r="AB105" s="55"/>
      <c r="AC105" s="55"/>
      <c r="AD105" s="55"/>
      <c r="AE105" s="57"/>
      <c r="AF105" s="61"/>
      <c r="AG105" s="61"/>
      <c r="AH105" s="62"/>
      <c r="AI105" s="63"/>
      <c r="AJ105" s="63"/>
      <c r="AK105" s="59"/>
      <c r="AL105" s="53"/>
      <c r="AM105" s="53"/>
      <c r="AN105" s="53"/>
      <c r="AO105" s="53"/>
      <c r="AP105" s="47"/>
      <c r="AQ105" s="47"/>
      <c r="AR105" s="47"/>
      <c r="AS105" s="47"/>
      <c r="AT105" s="47"/>
      <c r="AU105" s="47"/>
      <c r="AV105" s="47"/>
      <c r="AW105" s="47"/>
      <c r="AX105" s="47"/>
      <c r="AY105" s="47"/>
      <c r="AZ105" s="47"/>
    </row>
    <row r="106" spans="1:52" ht="13.2" x14ac:dyDescent="0.25">
      <c r="A106" s="47"/>
      <c r="B106" s="53"/>
      <c r="C106" s="54"/>
      <c r="D106" s="55"/>
      <c r="E106" s="56"/>
      <c r="F106" s="55"/>
      <c r="G106" s="64"/>
      <c r="H106" s="57"/>
      <c r="I106" s="63"/>
      <c r="J106" s="59"/>
      <c r="K106" s="53"/>
      <c r="L106" s="53"/>
      <c r="M106" s="53"/>
      <c r="N106" s="53"/>
      <c r="O106" s="53"/>
      <c r="P106" s="53"/>
      <c r="Q106" s="53"/>
      <c r="R106" s="53"/>
      <c r="S106" s="53"/>
      <c r="T106" s="53"/>
      <c r="U106" s="53"/>
      <c r="V106" s="55"/>
      <c r="W106" s="55"/>
      <c r="X106" s="55"/>
      <c r="Y106" s="55"/>
      <c r="Z106" s="55"/>
      <c r="AA106" s="55"/>
      <c r="AB106" s="55"/>
      <c r="AC106" s="55"/>
      <c r="AD106" s="55"/>
      <c r="AE106" s="57"/>
      <c r="AF106" s="61"/>
      <c r="AG106" s="61"/>
      <c r="AH106" s="62"/>
      <c r="AI106" s="63"/>
      <c r="AJ106" s="63"/>
      <c r="AK106" s="59"/>
      <c r="AL106" s="53"/>
      <c r="AM106" s="53"/>
      <c r="AN106" s="53"/>
      <c r="AO106" s="53"/>
      <c r="AP106" s="47"/>
      <c r="AQ106" s="47"/>
      <c r="AR106" s="47"/>
      <c r="AS106" s="47"/>
      <c r="AT106" s="47"/>
      <c r="AU106" s="47"/>
      <c r="AV106" s="47"/>
      <c r="AW106" s="47"/>
      <c r="AX106" s="47"/>
      <c r="AY106" s="47"/>
      <c r="AZ106" s="47"/>
    </row>
    <row r="107" spans="1:52" ht="13.2" x14ac:dyDescent="0.25">
      <c r="A107" s="47"/>
      <c r="B107" s="53"/>
      <c r="C107" s="54"/>
      <c r="D107" s="55"/>
      <c r="E107" s="56"/>
      <c r="F107" s="55"/>
      <c r="G107" s="64"/>
      <c r="H107" s="57"/>
      <c r="I107" s="63"/>
      <c r="J107" s="59"/>
      <c r="K107" s="53"/>
      <c r="L107" s="53"/>
      <c r="M107" s="53"/>
      <c r="N107" s="53"/>
      <c r="O107" s="53"/>
      <c r="P107" s="53"/>
      <c r="Q107" s="53"/>
      <c r="R107" s="53"/>
      <c r="S107" s="53"/>
      <c r="T107" s="53"/>
      <c r="U107" s="53"/>
      <c r="V107" s="55"/>
      <c r="W107" s="55"/>
      <c r="X107" s="55"/>
      <c r="Y107" s="55"/>
      <c r="Z107" s="55"/>
      <c r="AA107" s="55"/>
      <c r="AB107" s="55"/>
      <c r="AC107" s="55"/>
      <c r="AD107" s="55"/>
      <c r="AE107" s="57"/>
      <c r="AF107" s="61"/>
      <c r="AG107" s="61"/>
      <c r="AH107" s="62"/>
      <c r="AI107" s="63"/>
      <c r="AJ107" s="63"/>
      <c r="AK107" s="59"/>
      <c r="AL107" s="53"/>
      <c r="AM107" s="53"/>
      <c r="AN107" s="53"/>
      <c r="AO107" s="53"/>
      <c r="AP107" s="47"/>
      <c r="AQ107" s="47"/>
      <c r="AR107" s="47"/>
      <c r="AS107" s="47"/>
      <c r="AT107" s="47"/>
      <c r="AU107" s="47"/>
      <c r="AV107" s="47"/>
      <c r="AW107" s="47"/>
      <c r="AX107" s="47"/>
      <c r="AY107" s="47"/>
      <c r="AZ107" s="47"/>
    </row>
    <row r="108" spans="1:52" ht="13.2" x14ac:dyDescent="0.25">
      <c r="A108" s="47"/>
      <c r="B108" s="53"/>
      <c r="C108" s="54"/>
      <c r="D108" s="55"/>
      <c r="E108" s="56"/>
      <c r="F108" s="55"/>
      <c r="G108" s="64"/>
      <c r="H108" s="57"/>
      <c r="I108" s="65"/>
      <c r="J108" s="59"/>
      <c r="K108" s="53"/>
      <c r="L108" s="53"/>
      <c r="M108" s="53"/>
      <c r="N108" s="53"/>
      <c r="O108" s="53"/>
      <c r="P108" s="53"/>
      <c r="Q108" s="53"/>
      <c r="R108" s="53"/>
      <c r="S108" s="53"/>
      <c r="T108" s="53"/>
      <c r="U108" s="53"/>
      <c r="V108" s="55"/>
      <c r="W108" s="55"/>
      <c r="X108" s="55"/>
      <c r="Y108" s="55"/>
      <c r="Z108" s="55"/>
      <c r="AA108" s="55"/>
      <c r="AB108" s="55"/>
      <c r="AC108" s="55"/>
      <c r="AD108" s="55"/>
      <c r="AE108" s="57"/>
      <c r="AF108" s="66"/>
      <c r="AG108" s="66"/>
      <c r="AH108" s="62"/>
      <c r="AI108" s="65"/>
      <c r="AJ108" s="65"/>
      <c r="AK108" s="59"/>
      <c r="AL108" s="53"/>
      <c r="AM108" s="53"/>
      <c r="AN108" s="53"/>
      <c r="AO108" s="53"/>
      <c r="AP108" s="47"/>
      <c r="AQ108" s="47"/>
      <c r="AR108" s="47"/>
      <c r="AS108" s="47"/>
      <c r="AT108" s="47"/>
      <c r="AU108" s="47"/>
      <c r="AV108" s="47"/>
      <c r="AW108" s="47"/>
      <c r="AX108" s="47"/>
      <c r="AY108" s="47"/>
      <c r="AZ108" s="47"/>
    </row>
  </sheetData>
  <mergeCells count="2">
    <mergeCell ref="K1:U1"/>
    <mergeCell ref="V1:AE1"/>
  </mergeCells>
  <pageMargins left="0.75" right="0.75" top="1" bottom="1" header="0.5" footer="0.5"/>
  <pageSetup paperSize="9" orientation="portrait" horizontalDpi="300" verticalDpi="300"/>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S1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109375" defaultRowHeight="12.75" customHeight="1" x14ac:dyDescent="0.25"/>
  <cols>
    <col min="1" max="1" width="26.88671875" customWidth="1"/>
    <col min="2" max="2" width="15.33203125" customWidth="1"/>
    <col min="3" max="5" width="19.109375" customWidth="1"/>
    <col min="6" max="6" width="15.5546875" customWidth="1"/>
    <col min="7" max="8" width="7" customWidth="1"/>
    <col min="9" max="9" width="9.6640625" customWidth="1"/>
    <col min="10" max="16" width="7" customWidth="1"/>
    <col min="17" max="17" width="6.5546875" customWidth="1"/>
    <col min="18" max="27" width="6.33203125" customWidth="1"/>
    <col min="28" max="29" width="13.6640625" customWidth="1"/>
    <col min="30" max="30" width="18.5546875" customWidth="1"/>
    <col min="31" max="31" width="37.5546875" customWidth="1"/>
    <col min="32" max="32" width="30" customWidth="1"/>
    <col min="33" max="33" width="53.6640625" customWidth="1"/>
    <col min="34" max="34" width="35.5546875" customWidth="1"/>
    <col min="35" max="45" width="17.109375" customWidth="1"/>
  </cols>
  <sheetData>
    <row r="1" spans="1:45" ht="39.6" x14ac:dyDescent="0.25">
      <c r="A1" s="16" t="s">
        <v>200</v>
      </c>
      <c r="B1" s="67" t="s">
        <v>156</v>
      </c>
      <c r="C1" s="16" t="s">
        <v>228</v>
      </c>
      <c r="D1" s="67" t="s">
        <v>34</v>
      </c>
      <c r="E1" s="68" t="s">
        <v>207</v>
      </c>
      <c r="F1" s="69" t="s">
        <v>37</v>
      </c>
      <c r="G1" s="218" t="s">
        <v>221</v>
      </c>
      <c r="H1" s="218"/>
      <c r="I1" s="218"/>
      <c r="J1" s="218"/>
      <c r="K1" s="218"/>
      <c r="L1" s="218"/>
      <c r="M1" s="218"/>
      <c r="N1" s="218"/>
      <c r="O1" s="218"/>
      <c r="P1" s="218"/>
      <c r="Q1" s="218"/>
      <c r="R1" s="218" t="s">
        <v>238</v>
      </c>
      <c r="S1" s="218"/>
      <c r="T1" s="218"/>
      <c r="U1" s="218"/>
      <c r="V1" s="218"/>
      <c r="W1" s="218"/>
      <c r="X1" s="218"/>
      <c r="Y1" s="218"/>
      <c r="Z1" s="218"/>
      <c r="AA1" s="218"/>
      <c r="AB1" s="70" t="s">
        <v>55</v>
      </c>
      <c r="AC1" s="71" t="s">
        <v>55</v>
      </c>
      <c r="AD1" s="72" t="s">
        <v>20</v>
      </c>
      <c r="AE1" s="73" t="s">
        <v>87</v>
      </c>
      <c r="AF1" s="17" t="s">
        <v>56</v>
      </c>
      <c r="AG1" s="67" t="s">
        <v>51</v>
      </c>
      <c r="AH1" s="16"/>
      <c r="AI1" s="16"/>
      <c r="AJ1" s="16"/>
      <c r="AK1" s="16"/>
      <c r="AL1" s="16"/>
      <c r="AM1" s="16"/>
      <c r="AN1" s="16"/>
      <c r="AO1" s="16"/>
      <c r="AP1" s="16"/>
      <c r="AQ1" s="16"/>
      <c r="AR1" s="16"/>
      <c r="AS1" s="16"/>
    </row>
    <row r="2" spans="1:45" ht="71.400000000000006" x14ac:dyDescent="0.25">
      <c r="A2" s="74" t="s">
        <v>63</v>
      </c>
      <c r="B2" s="74"/>
      <c r="C2" s="74" t="s">
        <v>48</v>
      </c>
      <c r="D2" s="74">
        <v>2009</v>
      </c>
      <c r="E2" s="75">
        <v>2009</v>
      </c>
      <c r="F2" s="76" t="s">
        <v>189</v>
      </c>
      <c r="G2" s="77">
        <v>1999</v>
      </c>
      <c r="H2" s="77">
        <v>2000</v>
      </c>
      <c r="I2" s="77">
        <v>2001</v>
      </c>
      <c r="J2" s="77">
        <v>2002</v>
      </c>
      <c r="K2" s="77">
        <v>2003</v>
      </c>
      <c r="L2" s="77">
        <v>2004</v>
      </c>
      <c r="M2" s="77">
        <v>2005</v>
      </c>
      <c r="N2" s="77">
        <v>2006</v>
      </c>
      <c r="O2" s="77">
        <v>2007</v>
      </c>
      <c r="P2" s="77">
        <v>2008</v>
      </c>
      <c r="Q2" s="77">
        <v>2009</v>
      </c>
      <c r="R2" s="77" t="s">
        <v>170</v>
      </c>
      <c r="S2" s="77" t="s">
        <v>240</v>
      </c>
      <c r="T2" s="77" t="s">
        <v>140</v>
      </c>
      <c r="U2" s="77" t="s">
        <v>163</v>
      </c>
      <c r="V2" s="77" t="s">
        <v>43</v>
      </c>
      <c r="W2" s="77" t="s">
        <v>100</v>
      </c>
      <c r="X2" s="77" t="s">
        <v>152</v>
      </c>
      <c r="Y2" s="77" t="s">
        <v>61</v>
      </c>
      <c r="Z2" s="77" t="s">
        <v>171</v>
      </c>
      <c r="AA2" s="77" t="s">
        <v>208</v>
      </c>
      <c r="AB2" s="78" t="s">
        <v>131</v>
      </c>
      <c r="AC2" s="79" t="s">
        <v>138</v>
      </c>
      <c r="AD2" s="80" t="s">
        <v>169</v>
      </c>
      <c r="AE2" s="81"/>
      <c r="AF2" s="77"/>
      <c r="AG2" s="74"/>
      <c r="AH2" s="74"/>
      <c r="AI2" s="74"/>
      <c r="AJ2" s="74"/>
      <c r="AK2" s="74"/>
      <c r="AL2" s="74"/>
      <c r="AM2" s="74"/>
      <c r="AN2" s="74"/>
      <c r="AO2" s="74"/>
      <c r="AP2" s="74"/>
      <c r="AQ2" s="74"/>
      <c r="AR2" s="74"/>
      <c r="AS2" s="74"/>
    </row>
    <row r="3" spans="1:45" ht="92.4" x14ac:dyDescent="0.25">
      <c r="A3" s="16" t="s">
        <v>70</v>
      </c>
      <c r="B3" s="82" t="s">
        <v>18</v>
      </c>
      <c r="C3" s="83">
        <f>(1333.1*1000)*1000000</f>
        <v>1333100000000</v>
      </c>
      <c r="D3" s="84">
        <f>(79948*1000)*365</f>
        <v>29181020000</v>
      </c>
      <c r="E3" s="85">
        <f>(84077*1000)*365</f>
        <v>30688105000</v>
      </c>
      <c r="F3" s="86">
        <f>C3/E3</f>
        <v>43.440284110081087</v>
      </c>
      <c r="G3" s="41">
        <f>75648000*365</f>
        <v>27611520000</v>
      </c>
      <c r="H3" s="41">
        <f>76428000*366</f>
        <v>27972648000</v>
      </c>
      <c r="I3" s="41">
        <f>77032000*365</f>
        <v>28116680000</v>
      </c>
      <c r="J3" s="41">
        <f>77945000*365</f>
        <v>28449925000</v>
      </c>
      <c r="K3" s="41">
        <f>79424000*365</f>
        <v>28989760000</v>
      </c>
      <c r="L3" s="41">
        <f>82261000*366</f>
        <v>30107526000</v>
      </c>
      <c r="M3" s="41">
        <f>(83513*365)*1000</f>
        <v>30482245000</v>
      </c>
      <c r="N3" s="41">
        <f>84367000*365</f>
        <v>30793955000</v>
      </c>
      <c r="O3" s="41">
        <f>85619000*365</f>
        <v>31250935000</v>
      </c>
      <c r="P3" s="41">
        <f>85239000*366</f>
        <v>31197474000</v>
      </c>
      <c r="Q3" s="41">
        <f>84077000*365</f>
        <v>30688105000</v>
      </c>
      <c r="R3" s="87">
        <f t="shared" ref="R3:AA4" si="0">((H3-G3)/G3)*100</f>
        <v>1.3078888811626452</v>
      </c>
      <c r="S3" s="87">
        <f t="shared" si="0"/>
        <v>0.51490298666039769</v>
      </c>
      <c r="T3" s="87">
        <f t="shared" si="0"/>
        <v>1.1852217260359332</v>
      </c>
      <c r="U3" s="87">
        <f t="shared" si="0"/>
        <v>1.8974918211559433</v>
      </c>
      <c r="V3" s="87">
        <f t="shared" si="0"/>
        <v>3.8557269877363596</v>
      </c>
      <c r="W3" s="87">
        <f t="shared" si="0"/>
        <v>1.2446024293062141</v>
      </c>
      <c r="X3" s="87">
        <f t="shared" si="0"/>
        <v>1.0225952845664747</v>
      </c>
      <c r="Y3" s="87">
        <f t="shared" si="0"/>
        <v>1.483992556331267</v>
      </c>
      <c r="Z3" s="87">
        <f t="shared" si="0"/>
        <v>-0.17107008158315903</v>
      </c>
      <c r="AA3" s="87">
        <f t="shared" si="0"/>
        <v>-1.6327251366568973</v>
      </c>
      <c r="AB3" s="88">
        <f>AVERAGE(R3:AA3)</f>
        <v>1.0708627454715178</v>
      </c>
      <c r="AC3" s="89">
        <f>AB3/100</f>
        <v>1.0708627454715179E-2</v>
      </c>
      <c r="AD3" s="90">
        <f>LN(((AC3*F3)+1))/AC3</f>
        <v>35.670497922450465</v>
      </c>
      <c r="AE3" s="51" t="s">
        <v>17</v>
      </c>
      <c r="AF3" s="35" t="s">
        <v>66</v>
      </c>
      <c r="AG3" s="82" t="s">
        <v>79</v>
      </c>
      <c r="AH3" s="52"/>
      <c r="AI3" s="52"/>
      <c r="AJ3" s="52"/>
      <c r="AK3" s="52"/>
      <c r="AL3" s="52"/>
      <c r="AM3" s="52"/>
      <c r="AN3" s="52"/>
      <c r="AO3" s="52"/>
      <c r="AP3" s="52"/>
      <c r="AQ3" s="52"/>
      <c r="AR3" s="52"/>
      <c r="AS3" s="52"/>
    </row>
    <row r="4" spans="1:45" ht="92.4" x14ac:dyDescent="0.25">
      <c r="A4" s="16" t="s">
        <v>118</v>
      </c>
      <c r="B4" s="82" t="s">
        <v>80</v>
      </c>
      <c r="C4" s="83">
        <f>187.49*1000000000000</f>
        <v>187490000000000</v>
      </c>
      <c r="D4" s="84">
        <f>2987*1000000000</f>
        <v>2987000000000</v>
      </c>
      <c r="E4" s="85">
        <f>2940.4*1000000000</f>
        <v>2940400000000</v>
      </c>
      <c r="F4" s="86">
        <f>C4/E4</f>
        <v>63.763433546456262</v>
      </c>
      <c r="G4" s="41">
        <f>2321.3*1000000000</f>
        <v>2321300000000</v>
      </c>
      <c r="H4" s="41">
        <f>2410.8*1000000000</f>
        <v>2410800000000</v>
      </c>
      <c r="I4" s="41">
        <f>2455.3*1000000000</f>
        <v>2455300000000</v>
      </c>
      <c r="J4" s="41">
        <f>2516.5*1000000000</f>
        <v>2516500000000</v>
      </c>
      <c r="K4" s="41">
        <f>2600.9*1000000000</f>
        <v>2600900000000</v>
      </c>
      <c r="L4" s="41">
        <f>2681.4*1000000000</f>
        <v>2681400000000</v>
      </c>
      <c r="M4" s="41">
        <f>2767.5*1000000000</f>
        <v>2767500000000</v>
      </c>
      <c r="N4" s="41">
        <f>2829.5*1000000000</f>
        <v>2829500000000</v>
      </c>
      <c r="O4" s="41">
        <f>2937.1*1000000000</f>
        <v>2937100000000</v>
      </c>
      <c r="P4" s="41">
        <f>3010.8*1000000000</f>
        <v>3010800000000</v>
      </c>
      <c r="Q4" s="41">
        <f>2940.4*1000000000</f>
        <v>2940400000000</v>
      </c>
      <c r="R4" s="87">
        <f t="shared" si="0"/>
        <v>3.8555981562055743</v>
      </c>
      <c r="S4" s="87">
        <f t="shared" si="0"/>
        <v>1.8458602953376473</v>
      </c>
      <c r="T4" s="87">
        <f t="shared" si="0"/>
        <v>2.4925670997434124</v>
      </c>
      <c r="U4" s="87">
        <f t="shared" si="0"/>
        <v>3.3538644943373734</v>
      </c>
      <c r="V4" s="87">
        <f t="shared" si="0"/>
        <v>3.0950824714521894</v>
      </c>
      <c r="W4" s="87">
        <f t="shared" si="0"/>
        <v>3.2110091743119269</v>
      </c>
      <c r="X4" s="87">
        <f t="shared" si="0"/>
        <v>2.2402890695573623</v>
      </c>
      <c r="Y4" s="87">
        <f t="shared" si="0"/>
        <v>3.8027920127230961</v>
      </c>
      <c r="Z4" s="87">
        <f t="shared" si="0"/>
        <v>2.5092778591127303</v>
      </c>
      <c r="AA4" s="87">
        <f t="shared" si="0"/>
        <v>-2.3382489703733227</v>
      </c>
      <c r="AB4" s="88">
        <f>AVERAGE(R4:AA4)</f>
        <v>2.4068091662407993</v>
      </c>
      <c r="AC4" s="89">
        <f>AB4/100</f>
        <v>2.4068091662407993E-2</v>
      </c>
      <c r="AD4" s="90">
        <f>LN(((AC4*F4)+1))/AC4</f>
        <v>38.642912007908343</v>
      </c>
      <c r="AE4" s="51" t="s">
        <v>17</v>
      </c>
      <c r="AF4" s="35" t="s">
        <v>66</v>
      </c>
      <c r="AG4" s="82"/>
      <c r="AH4" s="52"/>
      <c r="AI4" s="52"/>
      <c r="AJ4" s="52"/>
      <c r="AK4" s="52"/>
      <c r="AL4" s="52"/>
      <c r="AM4" s="52"/>
      <c r="AN4" s="52"/>
      <c r="AO4" s="52"/>
      <c r="AP4" s="52"/>
      <c r="AQ4" s="52"/>
      <c r="AR4" s="52"/>
      <c r="AS4" s="52"/>
    </row>
    <row r="5" spans="1:45" ht="13.2" x14ac:dyDescent="0.25">
      <c r="A5" s="52"/>
      <c r="B5" s="82"/>
      <c r="C5" s="83"/>
      <c r="D5" s="84"/>
      <c r="E5" s="91"/>
      <c r="F5" s="92"/>
      <c r="G5" s="35"/>
      <c r="H5" s="41"/>
      <c r="I5" s="41"/>
      <c r="J5" s="41"/>
      <c r="K5" s="41"/>
      <c r="L5" s="41"/>
      <c r="M5" s="41"/>
      <c r="N5" s="41"/>
      <c r="O5" s="41"/>
      <c r="P5" s="41"/>
      <c r="Q5" s="41"/>
      <c r="R5" s="35"/>
      <c r="S5" s="35"/>
      <c r="T5" s="35"/>
      <c r="U5" s="35"/>
      <c r="V5" s="35"/>
      <c r="W5" s="35"/>
      <c r="X5" s="35"/>
      <c r="Y5" s="35"/>
      <c r="Z5" s="35"/>
      <c r="AA5" s="35"/>
      <c r="AB5" s="50"/>
      <c r="AC5" s="93"/>
      <c r="AD5" s="94"/>
      <c r="AE5" s="51"/>
      <c r="AF5" s="35"/>
      <c r="AG5" s="82"/>
      <c r="AH5" s="52"/>
      <c r="AI5" s="52"/>
      <c r="AJ5" s="52"/>
      <c r="AK5" s="52"/>
      <c r="AL5" s="52"/>
      <c r="AM5" s="52"/>
      <c r="AN5" s="52"/>
      <c r="AO5" s="52"/>
      <c r="AP5" s="52"/>
      <c r="AQ5" s="52"/>
      <c r="AR5" s="52"/>
      <c r="AS5" s="52"/>
    </row>
    <row r="6" spans="1:45" ht="13.2" x14ac:dyDescent="0.25">
      <c r="A6" s="52"/>
      <c r="B6" s="82"/>
      <c r="C6" s="83"/>
      <c r="D6" s="52"/>
      <c r="E6" s="91"/>
      <c r="F6" s="92"/>
      <c r="G6" s="35"/>
      <c r="H6" s="35"/>
      <c r="I6" s="35"/>
      <c r="J6" s="35"/>
      <c r="K6" s="35"/>
      <c r="L6" s="35"/>
      <c r="M6" s="35"/>
      <c r="N6" s="35"/>
      <c r="O6" s="35"/>
      <c r="P6" s="35"/>
      <c r="Q6" s="35"/>
      <c r="R6" s="35"/>
      <c r="S6" s="35"/>
      <c r="T6" s="35"/>
      <c r="U6" s="35"/>
      <c r="V6" s="35"/>
      <c r="W6" s="35"/>
      <c r="X6" s="35"/>
      <c r="Y6" s="35"/>
      <c r="Z6" s="35"/>
      <c r="AA6" s="35"/>
      <c r="AB6" s="50"/>
      <c r="AC6" s="93"/>
      <c r="AD6" s="94"/>
      <c r="AE6" s="51"/>
      <c r="AF6" s="35"/>
      <c r="AG6" s="52"/>
      <c r="AH6" s="52"/>
      <c r="AI6" s="52"/>
      <c r="AJ6" s="52"/>
      <c r="AK6" s="52"/>
      <c r="AL6" s="52"/>
      <c r="AM6" s="52"/>
      <c r="AN6" s="52"/>
      <c r="AO6" s="52"/>
      <c r="AP6" s="52"/>
      <c r="AQ6" s="52"/>
      <c r="AR6" s="52"/>
      <c r="AS6" s="52"/>
    </row>
    <row r="7" spans="1:45" ht="92.4" x14ac:dyDescent="0.25">
      <c r="A7" s="16" t="s">
        <v>224</v>
      </c>
      <c r="B7" s="82" t="s">
        <v>155</v>
      </c>
      <c r="C7" s="83">
        <v>412440666667</v>
      </c>
      <c r="D7" s="52" t="s">
        <v>23</v>
      </c>
      <c r="E7" s="85">
        <f>3278.3*1000000</f>
        <v>3278300000</v>
      </c>
      <c r="F7" s="86">
        <f>C7/E7</f>
        <v>125.80931173687581</v>
      </c>
      <c r="G7" s="41">
        <f>2248.9*1000000</f>
        <v>2248900000</v>
      </c>
      <c r="H7" s="41">
        <f>2337.6*1000000</f>
        <v>2337600000</v>
      </c>
      <c r="I7" s="41">
        <f>2348.7*1000000</f>
        <v>2348700000</v>
      </c>
      <c r="J7" s="41">
        <f>2403.1*1000000</f>
        <v>2403100000</v>
      </c>
      <c r="K7" s="41">
        <f>2595*1000000</f>
        <v>2595000000</v>
      </c>
      <c r="L7" s="41">
        <f>2764*1000000</f>
        <v>2764000000</v>
      </c>
      <c r="M7" s="41">
        <f>2904*1000000</f>
        <v>2904000000</v>
      </c>
      <c r="N7" s="41">
        <f>3039.1*1000000</f>
        <v>3039100000</v>
      </c>
      <c r="O7" s="41">
        <f>3184.1*1000000</f>
        <v>3184100000</v>
      </c>
      <c r="P7" s="41">
        <f>3286.4*1000000</f>
        <v>3286400000</v>
      </c>
      <c r="Q7" s="41">
        <f>3278.3*1000000</f>
        <v>3278300000</v>
      </c>
      <c r="R7" s="87">
        <f t="shared" ref="R7:AA7" si="1">((H7-G7)/G7)*100</f>
        <v>3.9441504735648536</v>
      </c>
      <c r="S7" s="87">
        <f t="shared" si="1"/>
        <v>0.47484599589322385</v>
      </c>
      <c r="T7" s="87">
        <f t="shared" si="1"/>
        <v>2.3161749052667431</v>
      </c>
      <c r="U7" s="87">
        <f t="shared" si="1"/>
        <v>7.9855187050060339</v>
      </c>
      <c r="V7" s="87">
        <f t="shared" si="1"/>
        <v>6.5125240847784207</v>
      </c>
      <c r="W7" s="87">
        <f t="shared" si="1"/>
        <v>5.0651230101302458</v>
      </c>
      <c r="X7" s="87">
        <f t="shared" si="1"/>
        <v>4.6522038567493107</v>
      </c>
      <c r="Y7" s="87">
        <f t="shared" si="1"/>
        <v>4.7711493534270009</v>
      </c>
      <c r="Z7" s="87">
        <f t="shared" si="1"/>
        <v>3.2128387927514837</v>
      </c>
      <c r="AA7" s="87">
        <f t="shared" si="1"/>
        <v>-0.24647030185004867</v>
      </c>
      <c r="AB7" s="88">
        <f>AVERAGE(R7:AA7)</f>
        <v>3.8688058875717268</v>
      </c>
      <c r="AC7" s="89">
        <f>AB7/100</f>
        <v>3.8688058875717267E-2</v>
      </c>
      <c r="AD7" s="90">
        <f>LN(((AC7*F7)+1))/AC7</f>
        <v>45.734981064337745</v>
      </c>
      <c r="AE7" s="51" t="s">
        <v>17</v>
      </c>
      <c r="AF7" s="35" t="s">
        <v>66</v>
      </c>
      <c r="AG7" s="82" t="s">
        <v>8</v>
      </c>
      <c r="AH7" s="52"/>
      <c r="AI7" s="52"/>
      <c r="AJ7" s="52"/>
      <c r="AK7" s="52"/>
      <c r="AL7" s="52"/>
      <c r="AM7" s="52"/>
      <c r="AN7" s="52"/>
      <c r="AO7" s="52"/>
      <c r="AP7" s="52"/>
      <c r="AQ7" s="52"/>
      <c r="AR7" s="52"/>
      <c r="AS7" s="52"/>
    </row>
    <row r="8" spans="1:45" ht="13.2" x14ac:dyDescent="0.25">
      <c r="A8" s="52"/>
      <c r="B8" s="82"/>
      <c r="C8" s="52"/>
      <c r="D8" s="52"/>
      <c r="E8" s="91"/>
      <c r="F8" s="92"/>
      <c r="G8" s="35"/>
      <c r="H8" s="35"/>
      <c r="I8" s="35"/>
      <c r="J8" s="35"/>
      <c r="K8" s="35"/>
      <c r="L8" s="35"/>
      <c r="M8" s="35"/>
      <c r="N8" s="35"/>
      <c r="O8" s="35"/>
      <c r="P8" s="35"/>
      <c r="Q8" s="35"/>
      <c r="R8" s="35"/>
      <c r="S8" s="35"/>
      <c r="T8" s="35"/>
      <c r="U8" s="35"/>
      <c r="V8" s="35"/>
      <c r="W8" s="35"/>
      <c r="X8" s="35"/>
      <c r="Y8" s="35"/>
      <c r="Z8" s="35"/>
      <c r="AA8" s="35"/>
      <c r="AB8" s="50"/>
      <c r="AC8" s="93"/>
      <c r="AD8" s="94"/>
      <c r="AE8" s="51"/>
      <c r="AF8" s="35"/>
      <c r="AG8" s="52"/>
      <c r="AH8" s="52"/>
      <c r="AI8" s="52"/>
      <c r="AJ8" s="52"/>
      <c r="AK8" s="52"/>
      <c r="AL8" s="52"/>
      <c r="AM8" s="52"/>
      <c r="AN8" s="52"/>
      <c r="AO8" s="52"/>
      <c r="AP8" s="52"/>
      <c r="AQ8" s="52"/>
      <c r="AR8" s="52"/>
      <c r="AS8" s="52"/>
    </row>
    <row r="9" spans="1:45" ht="13.2" x14ac:dyDescent="0.25">
      <c r="A9" s="52"/>
      <c r="B9" s="82"/>
      <c r="C9" s="52"/>
      <c r="D9" s="52"/>
      <c r="E9" s="91"/>
      <c r="F9" s="92"/>
      <c r="G9" s="35"/>
      <c r="H9" s="35"/>
      <c r="I9" s="35"/>
      <c r="J9" s="35"/>
      <c r="K9" s="35"/>
      <c r="L9" s="35"/>
      <c r="M9" s="35"/>
      <c r="N9" s="35"/>
      <c r="O9" s="35"/>
      <c r="P9" s="35"/>
      <c r="Q9" s="35"/>
      <c r="R9" s="35"/>
      <c r="S9" s="35"/>
      <c r="T9" s="35"/>
      <c r="U9" s="35"/>
      <c r="V9" s="35"/>
      <c r="W9" s="35"/>
      <c r="X9" s="35"/>
      <c r="Y9" s="35"/>
      <c r="Z9" s="35"/>
      <c r="AA9" s="35"/>
      <c r="AB9" s="50"/>
      <c r="AC9" s="93"/>
      <c r="AD9" s="94"/>
      <c r="AE9" s="51"/>
      <c r="AF9" s="35"/>
      <c r="AG9" s="52"/>
      <c r="AH9" s="52"/>
      <c r="AI9" s="52"/>
      <c r="AJ9" s="52"/>
      <c r="AK9" s="52"/>
      <c r="AL9" s="52"/>
      <c r="AM9" s="52"/>
      <c r="AN9" s="52"/>
      <c r="AO9" s="52"/>
      <c r="AP9" s="52"/>
      <c r="AQ9" s="52"/>
      <c r="AR9" s="52"/>
      <c r="AS9" s="52"/>
    </row>
    <row r="10" spans="1:45" ht="13.2" x14ac:dyDescent="0.25">
      <c r="A10" s="52"/>
      <c r="B10" s="82"/>
      <c r="C10" s="52"/>
      <c r="D10" s="52"/>
      <c r="E10" s="91"/>
      <c r="F10" s="92"/>
      <c r="G10" s="35"/>
      <c r="H10" s="35"/>
      <c r="I10" s="35"/>
      <c r="J10" s="35"/>
      <c r="K10" s="35"/>
      <c r="L10" s="35"/>
      <c r="M10" s="35"/>
      <c r="N10" s="35"/>
      <c r="O10" s="35"/>
      <c r="P10" s="35"/>
      <c r="Q10" s="35"/>
      <c r="R10" s="35"/>
      <c r="S10" s="35"/>
      <c r="T10" s="35"/>
      <c r="U10" s="35"/>
      <c r="V10" s="35"/>
      <c r="W10" s="35"/>
      <c r="X10" s="35"/>
      <c r="Y10" s="35"/>
      <c r="Z10" s="35"/>
      <c r="AA10" s="35"/>
      <c r="AB10" s="50"/>
      <c r="AC10" s="93"/>
      <c r="AD10" s="94"/>
      <c r="AE10" s="51"/>
      <c r="AF10" s="35"/>
      <c r="AG10" s="52"/>
      <c r="AH10" s="52"/>
      <c r="AI10" s="52"/>
      <c r="AJ10" s="52"/>
      <c r="AK10" s="52"/>
      <c r="AL10" s="52"/>
      <c r="AM10" s="52"/>
      <c r="AN10" s="52"/>
      <c r="AO10" s="52"/>
      <c r="AP10" s="52"/>
      <c r="AQ10" s="52"/>
      <c r="AR10" s="52"/>
      <c r="AS10" s="52"/>
    </row>
    <row r="11" spans="1:45" ht="13.2" x14ac:dyDescent="0.25">
      <c r="A11" s="52"/>
      <c r="B11" s="52"/>
      <c r="C11" s="52"/>
      <c r="D11" s="52"/>
      <c r="E11" s="91"/>
      <c r="F11" s="92"/>
      <c r="G11" s="35"/>
      <c r="H11" s="35"/>
      <c r="I11" s="35"/>
      <c r="J11" s="35"/>
      <c r="K11" s="35"/>
      <c r="L11" s="35"/>
      <c r="M11" s="35"/>
      <c r="N11" s="35"/>
      <c r="O11" s="35"/>
      <c r="P11" s="35"/>
      <c r="Q11" s="35"/>
      <c r="R11" s="35"/>
      <c r="S11" s="35"/>
      <c r="T11" s="35"/>
      <c r="U11" s="35"/>
      <c r="V11" s="35"/>
      <c r="W11" s="35"/>
      <c r="X11" s="35"/>
      <c r="Y11" s="35"/>
      <c r="Z11" s="35"/>
      <c r="AA11" s="35"/>
      <c r="AB11" s="50"/>
      <c r="AC11" s="93"/>
      <c r="AD11" s="94"/>
      <c r="AE11" s="51"/>
      <c r="AF11" s="35"/>
      <c r="AG11" s="52"/>
      <c r="AH11" s="52"/>
      <c r="AI11" s="52"/>
      <c r="AJ11" s="52"/>
      <c r="AK11" s="52"/>
      <c r="AL11" s="52"/>
      <c r="AM11" s="52"/>
      <c r="AN11" s="52"/>
      <c r="AO11" s="52"/>
      <c r="AP11" s="52"/>
      <c r="AQ11" s="52"/>
      <c r="AR11" s="52"/>
      <c r="AS11" s="52"/>
    </row>
    <row r="12" spans="1:45" ht="13.2" x14ac:dyDescent="0.25">
      <c r="A12" s="16"/>
      <c r="B12" s="82"/>
      <c r="C12" s="52"/>
      <c r="D12" s="82"/>
      <c r="E12" s="91"/>
      <c r="F12" s="92"/>
      <c r="G12" s="35"/>
      <c r="H12" s="35"/>
      <c r="I12" s="35"/>
      <c r="J12" s="35"/>
      <c r="K12" s="35"/>
      <c r="L12" s="35"/>
      <c r="M12" s="35"/>
      <c r="N12" s="35"/>
      <c r="O12" s="35"/>
      <c r="P12" s="35"/>
      <c r="Q12" s="35"/>
      <c r="R12" s="35"/>
      <c r="S12" s="35"/>
      <c r="T12" s="35"/>
      <c r="U12" s="35"/>
      <c r="V12" s="35"/>
      <c r="W12" s="35"/>
      <c r="X12" s="35"/>
      <c r="Y12" s="35"/>
      <c r="Z12" s="35"/>
      <c r="AA12" s="35"/>
      <c r="AB12" s="50"/>
      <c r="AC12" s="93"/>
      <c r="AD12" s="94"/>
      <c r="AE12" s="51"/>
      <c r="AF12" s="35"/>
      <c r="AG12" s="82"/>
      <c r="AH12" s="52"/>
      <c r="AI12" s="52"/>
      <c r="AJ12" s="52"/>
      <c r="AK12" s="52"/>
      <c r="AL12" s="52"/>
      <c r="AM12" s="52"/>
      <c r="AN12" s="52"/>
      <c r="AO12" s="52"/>
      <c r="AP12" s="52"/>
      <c r="AQ12" s="52"/>
      <c r="AR12" s="52"/>
      <c r="AS12" s="52"/>
    </row>
    <row r="13" spans="1:45" ht="13.2" x14ac:dyDescent="0.25">
      <c r="A13" s="16"/>
      <c r="B13" s="82"/>
      <c r="C13" s="52"/>
      <c r="D13" s="82"/>
      <c r="E13" s="91"/>
      <c r="F13" s="92"/>
      <c r="G13" s="35"/>
      <c r="H13" s="35"/>
      <c r="I13" s="35"/>
      <c r="J13" s="35"/>
      <c r="K13" s="35"/>
      <c r="L13" s="35"/>
      <c r="M13" s="35"/>
      <c r="N13" s="35"/>
      <c r="O13" s="35"/>
      <c r="P13" s="35"/>
      <c r="Q13" s="35"/>
      <c r="R13" s="35"/>
      <c r="S13" s="35"/>
      <c r="T13" s="35"/>
      <c r="U13" s="35"/>
      <c r="V13" s="35"/>
      <c r="W13" s="35"/>
      <c r="X13" s="35"/>
      <c r="Y13" s="35"/>
      <c r="Z13" s="35"/>
      <c r="AA13" s="35"/>
      <c r="AB13" s="50"/>
      <c r="AC13" s="93"/>
      <c r="AD13" s="94"/>
      <c r="AE13" s="51"/>
      <c r="AF13" s="35"/>
      <c r="AG13" s="82"/>
      <c r="AH13" s="52"/>
      <c r="AI13" s="52"/>
      <c r="AJ13" s="52"/>
      <c r="AK13" s="52"/>
      <c r="AL13" s="52"/>
      <c r="AM13" s="52"/>
      <c r="AN13" s="52"/>
      <c r="AO13" s="52"/>
      <c r="AP13" s="52"/>
      <c r="AQ13" s="52"/>
      <c r="AR13" s="52"/>
      <c r="AS13" s="52"/>
    </row>
    <row r="14" spans="1:45" ht="13.2" x14ac:dyDescent="0.25">
      <c r="A14" s="16"/>
      <c r="B14" s="82"/>
      <c r="C14" s="52"/>
      <c r="D14" s="82"/>
      <c r="E14" s="91"/>
      <c r="F14" s="92"/>
      <c r="G14" s="35"/>
      <c r="H14" s="35"/>
      <c r="I14" s="35"/>
      <c r="J14" s="35"/>
      <c r="K14" s="35"/>
      <c r="L14" s="35"/>
      <c r="M14" s="35"/>
      <c r="N14" s="35"/>
      <c r="O14" s="35"/>
      <c r="P14" s="35"/>
      <c r="Q14" s="35"/>
      <c r="R14" s="35"/>
      <c r="S14" s="35"/>
      <c r="T14" s="35"/>
      <c r="U14" s="35"/>
      <c r="V14" s="35"/>
      <c r="W14" s="35"/>
      <c r="X14" s="35"/>
      <c r="Y14" s="35"/>
      <c r="Z14" s="35"/>
      <c r="AA14" s="35"/>
      <c r="AB14" s="50"/>
      <c r="AC14" s="93"/>
      <c r="AD14" s="94"/>
      <c r="AE14" s="51"/>
      <c r="AF14" s="35"/>
      <c r="AG14" s="82"/>
      <c r="AH14" s="52"/>
      <c r="AI14" s="52"/>
      <c r="AJ14" s="52"/>
      <c r="AK14" s="52"/>
      <c r="AL14" s="52"/>
      <c r="AM14" s="52"/>
      <c r="AN14" s="52"/>
      <c r="AO14" s="52"/>
      <c r="AP14" s="52"/>
      <c r="AQ14" s="52"/>
      <c r="AR14" s="52"/>
      <c r="AS14" s="52"/>
    </row>
    <row r="15" spans="1:45" ht="13.2" x14ac:dyDescent="0.25">
      <c r="A15" s="16"/>
      <c r="B15" s="82"/>
      <c r="C15" s="52"/>
      <c r="D15" s="82"/>
      <c r="E15" s="91"/>
      <c r="F15" s="92"/>
      <c r="G15" s="35"/>
      <c r="H15" s="35"/>
      <c r="I15" s="35"/>
      <c r="J15" s="35"/>
      <c r="K15" s="35"/>
      <c r="L15" s="35"/>
      <c r="M15" s="35"/>
      <c r="N15" s="35"/>
      <c r="O15" s="35"/>
      <c r="P15" s="35"/>
      <c r="Q15" s="35"/>
      <c r="R15" s="35"/>
      <c r="S15" s="35"/>
      <c r="T15" s="35"/>
      <c r="U15" s="35"/>
      <c r="V15" s="35"/>
      <c r="W15" s="35"/>
      <c r="X15" s="35"/>
      <c r="Y15" s="35"/>
      <c r="Z15" s="35"/>
      <c r="AA15" s="35"/>
      <c r="AB15" s="50"/>
      <c r="AC15" s="93"/>
      <c r="AD15" s="94"/>
      <c r="AE15" s="51"/>
      <c r="AF15" s="35"/>
      <c r="AG15" s="82"/>
      <c r="AH15" s="52"/>
      <c r="AI15" s="52"/>
      <c r="AJ15" s="52"/>
      <c r="AK15" s="52"/>
      <c r="AL15" s="52"/>
      <c r="AM15" s="52"/>
      <c r="AN15" s="52"/>
      <c r="AO15" s="52"/>
      <c r="AP15" s="52"/>
      <c r="AQ15" s="52"/>
      <c r="AR15" s="52"/>
      <c r="AS15" s="52"/>
    </row>
    <row r="16" spans="1:45" ht="13.2" x14ac:dyDescent="0.25">
      <c r="A16" s="16"/>
      <c r="B16" s="82"/>
      <c r="C16" s="52"/>
      <c r="D16" s="82"/>
      <c r="E16" s="91"/>
      <c r="F16" s="92"/>
      <c r="G16" s="35"/>
      <c r="H16" s="35"/>
      <c r="I16" s="35"/>
      <c r="J16" s="35"/>
      <c r="K16" s="35"/>
      <c r="L16" s="35"/>
      <c r="M16" s="35"/>
      <c r="N16" s="35"/>
      <c r="O16" s="35"/>
      <c r="P16" s="35"/>
      <c r="Q16" s="35"/>
      <c r="R16" s="35"/>
      <c r="S16" s="35"/>
      <c r="T16" s="35"/>
      <c r="U16" s="35"/>
      <c r="V16" s="35"/>
      <c r="W16" s="35"/>
      <c r="X16" s="35"/>
      <c r="Y16" s="35"/>
      <c r="Z16" s="35"/>
      <c r="AA16" s="35"/>
      <c r="AB16" s="50"/>
      <c r="AC16" s="93"/>
      <c r="AD16" s="94"/>
      <c r="AE16" s="51"/>
      <c r="AF16" s="35"/>
      <c r="AG16" s="82"/>
      <c r="AH16" s="52"/>
      <c r="AI16" s="52"/>
      <c r="AJ16" s="52"/>
      <c r="AK16" s="52"/>
      <c r="AL16" s="52"/>
      <c r="AM16" s="52"/>
      <c r="AN16" s="52"/>
      <c r="AO16" s="52"/>
      <c r="AP16" s="52"/>
      <c r="AQ16" s="52"/>
      <c r="AR16" s="52"/>
      <c r="AS16" s="52"/>
    </row>
    <row r="17" spans="1:45" ht="13.2" x14ac:dyDescent="0.25">
      <c r="A17" s="16"/>
      <c r="B17" s="82"/>
      <c r="C17" s="52"/>
      <c r="D17" s="82"/>
      <c r="E17" s="91"/>
      <c r="F17" s="92"/>
      <c r="G17" s="35"/>
      <c r="H17" s="35"/>
      <c r="I17" s="35"/>
      <c r="J17" s="35"/>
      <c r="K17" s="35"/>
      <c r="L17" s="35"/>
      <c r="M17" s="35"/>
      <c r="N17" s="35"/>
      <c r="O17" s="35"/>
      <c r="P17" s="35"/>
      <c r="Q17" s="35"/>
      <c r="R17" s="35"/>
      <c r="S17" s="35"/>
      <c r="T17" s="35"/>
      <c r="U17" s="35"/>
      <c r="V17" s="35"/>
      <c r="W17" s="35"/>
      <c r="X17" s="35"/>
      <c r="Y17" s="35"/>
      <c r="Z17" s="35"/>
      <c r="AA17" s="35"/>
      <c r="AB17" s="50"/>
      <c r="AC17" s="93"/>
      <c r="AD17" s="94"/>
      <c r="AE17" s="51"/>
      <c r="AF17" s="35"/>
      <c r="AG17" s="82"/>
      <c r="AH17" s="52"/>
      <c r="AI17" s="52"/>
      <c r="AJ17" s="52"/>
      <c r="AK17" s="52"/>
      <c r="AL17" s="52"/>
      <c r="AM17" s="52"/>
      <c r="AN17" s="52"/>
      <c r="AO17" s="52"/>
      <c r="AP17" s="52"/>
      <c r="AQ17" s="52"/>
      <c r="AR17" s="52"/>
      <c r="AS17" s="52"/>
    </row>
    <row r="18" spans="1:45" ht="13.2" x14ac:dyDescent="0.25">
      <c r="A18" s="16"/>
      <c r="B18" s="82"/>
      <c r="C18" s="52"/>
      <c r="D18" s="82"/>
      <c r="E18" s="91"/>
      <c r="F18" s="92"/>
      <c r="G18" s="35"/>
      <c r="H18" s="35"/>
      <c r="I18" s="35"/>
      <c r="J18" s="35"/>
      <c r="K18" s="35"/>
      <c r="L18" s="35"/>
      <c r="M18" s="35"/>
      <c r="N18" s="35"/>
      <c r="O18" s="35"/>
      <c r="P18" s="35"/>
      <c r="Q18" s="35"/>
      <c r="R18" s="35"/>
      <c r="S18" s="35"/>
      <c r="T18" s="35"/>
      <c r="U18" s="35"/>
      <c r="V18" s="35"/>
      <c r="W18" s="35"/>
      <c r="X18" s="35"/>
      <c r="Y18" s="35"/>
      <c r="Z18" s="35"/>
      <c r="AA18" s="35"/>
      <c r="AB18" s="50"/>
      <c r="AC18" s="93"/>
      <c r="AD18" s="94"/>
      <c r="AE18" s="51"/>
      <c r="AF18" s="35"/>
      <c r="AG18" s="82"/>
      <c r="AH18" s="52"/>
      <c r="AI18" s="52"/>
      <c r="AJ18" s="52"/>
      <c r="AK18" s="52"/>
      <c r="AL18" s="52"/>
      <c r="AM18" s="52"/>
      <c r="AN18" s="52"/>
      <c r="AO18" s="52"/>
      <c r="AP18" s="52"/>
      <c r="AQ18" s="52"/>
      <c r="AR18" s="52"/>
      <c r="AS18" s="52"/>
    </row>
    <row r="19" spans="1:45" ht="13.2" x14ac:dyDescent="0.25">
      <c r="A19" s="16"/>
      <c r="B19" s="82"/>
      <c r="C19" s="52"/>
      <c r="D19" s="82"/>
      <c r="E19" s="91"/>
      <c r="F19" s="92"/>
      <c r="G19" s="35"/>
      <c r="H19" s="35"/>
      <c r="I19" s="35"/>
      <c r="J19" s="35"/>
      <c r="K19" s="35"/>
      <c r="L19" s="35"/>
      <c r="M19" s="35"/>
      <c r="N19" s="35"/>
      <c r="O19" s="35"/>
      <c r="P19" s="35"/>
      <c r="Q19" s="35"/>
      <c r="R19" s="35"/>
      <c r="S19" s="35"/>
      <c r="T19" s="35"/>
      <c r="U19" s="35"/>
      <c r="V19" s="35"/>
      <c r="W19" s="35"/>
      <c r="X19" s="35"/>
      <c r="Y19" s="35"/>
      <c r="Z19" s="35"/>
      <c r="AA19" s="35"/>
      <c r="AB19" s="50"/>
      <c r="AC19" s="93"/>
      <c r="AD19" s="94"/>
      <c r="AE19" s="51"/>
      <c r="AF19" s="35"/>
      <c r="AG19" s="82"/>
      <c r="AH19" s="52"/>
      <c r="AI19" s="52"/>
      <c r="AJ19" s="52"/>
      <c r="AK19" s="52"/>
      <c r="AL19" s="52"/>
      <c r="AM19" s="52"/>
      <c r="AN19" s="52"/>
      <c r="AO19" s="52"/>
      <c r="AP19" s="52"/>
      <c r="AQ19" s="52"/>
      <c r="AR19" s="52"/>
      <c r="AS19" s="52"/>
    </row>
    <row r="20" spans="1:45" ht="13.2" x14ac:dyDescent="0.25">
      <c r="A20" s="16"/>
      <c r="B20" s="82"/>
      <c r="C20" s="52"/>
      <c r="D20" s="82"/>
      <c r="E20" s="91"/>
      <c r="F20" s="92"/>
      <c r="G20" s="35"/>
      <c r="H20" s="35"/>
      <c r="I20" s="35"/>
      <c r="J20" s="35"/>
      <c r="K20" s="35"/>
      <c r="L20" s="35"/>
      <c r="M20" s="35"/>
      <c r="N20" s="35"/>
      <c r="O20" s="35"/>
      <c r="P20" s="35"/>
      <c r="Q20" s="35"/>
      <c r="R20" s="35"/>
      <c r="S20" s="35"/>
      <c r="T20" s="35"/>
      <c r="U20" s="35"/>
      <c r="V20" s="35"/>
      <c r="W20" s="35"/>
      <c r="X20" s="35"/>
      <c r="Y20" s="35"/>
      <c r="Z20" s="35"/>
      <c r="AA20" s="35"/>
      <c r="AB20" s="50"/>
      <c r="AC20" s="93"/>
      <c r="AD20" s="94"/>
      <c r="AE20" s="51"/>
      <c r="AF20" s="35"/>
      <c r="AG20" s="82"/>
      <c r="AH20" s="52"/>
      <c r="AI20" s="52"/>
      <c r="AJ20" s="52"/>
      <c r="AK20" s="52"/>
      <c r="AL20" s="52"/>
      <c r="AM20" s="52"/>
      <c r="AN20" s="52"/>
      <c r="AO20" s="52"/>
      <c r="AP20" s="52"/>
      <c r="AQ20" s="52"/>
      <c r="AR20" s="52"/>
      <c r="AS20" s="52"/>
    </row>
    <row r="21" spans="1:45" ht="13.2" x14ac:dyDescent="0.25">
      <c r="A21" s="16"/>
      <c r="B21" s="82"/>
      <c r="C21" s="52"/>
      <c r="D21" s="82"/>
      <c r="E21" s="91"/>
      <c r="F21" s="92"/>
      <c r="G21" s="35"/>
      <c r="H21" s="35"/>
      <c r="I21" s="35"/>
      <c r="J21" s="35"/>
      <c r="K21" s="35"/>
      <c r="L21" s="35"/>
      <c r="M21" s="35"/>
      <c r="N21" s="35"/>
      <c r="O21" s="35"/>
      <c r="P21" s="35"/>
      <c r="Q21" s="35"/>
      <c r="R21" s="35"/>
      <c r="S21" s="35"/>
      <c r="T21" s="35"/>
      <c r="U21" s="35"/>
      <c r="V21" s="35"/>
      <c r="W21" s="35"/>
      <c r="X21" s="35"/>
      <c r="Y21" s="35"/>
      <c r="Z21" s="35"/>
      <c r="AA21" s="35"/>
      <c r="AB21" s="50"/>
      <c r="AC21" s="93"/>
      <c r="AD21" s="94"/>
      <c r="AE21" s="51"/>
      <c r="AF21" s="35"/>
      <c r="AG21" s="82"/>
      <c r="AH21" s="52"/>
      <c r="AI21" s="52"/>
      <c r="AJ21" s="52"/>
      <c r="AK21" s="52"/>
      <c r="AL21" s="52"/>
      <c r="AM21" s="52"/>
      <c r="AN21" s="52"/>
      <c r="AO21" s="52"/>
      <c r="AP21" s="52"/>
      <c r="AQ21" s="52"/>
      <c r="AR21" s="52"/>
      <c r="AS21" s="52"/>
    </row>
    <row r="22" spans="1:45" ht="13.2" x14ac:dyDescent="0.25">
      <c r="A22" s="16"/>
      <c r="B22" s="82"/>
      <c r="C22" s="52"/>
      <c r="D22" s="82"/>
      <c r="E22" s="91"/>
      <c r="F22" s="92"/>
      <c r="G22" s="35"/>
      <c r="H22" s="35"/>
      <c r="I22" s="35"/>
      <c r="J22" s="35"/>
      <c r="K22" s="35"/>
      <c r="L22" s="35"/>
      <c r="M22" s="35"/>
      <c r="N22" s="35"/>
      <c r="O22" s="35"/>
      <c r="P22" s="35"/>
      <c r="Q22" s="35"/>
      <c r="R22" s="35"/>
      <c r="S22" s="35"/>
      <c r="T22" s="35"/>
      <c r="U22" s="35"/>
      <c r="V22" s="35"/>
      <c r="W22" s="35"/>
      <c r="X22" s="35"/>
      <c r="Y22" s="35"/>
      <c r="Z22" s="35"/>
      <c r="AA22" s="35"/>
      <c r="AB22" s="50"/>
      <c r="AC22" s="93"/>
      <c r="AD22" s="94"/>
      <c r="AE22" s="51"/>
      <c r="AF22" s="35"/>
      <c r="AG22" s="82"/>
      <c r="AH22" s="52"/>
      <c r="AI22" s="52"/>
      <c r="AJ22" s="52"/>
      <c r="AK22" s="52"/>
      <c r="AL22" s="52"/>
      <c r="AM22" s="52"/>
      <c r="AN22" s="52"/>
      <c r="AO22" s="52"/>
      <c r="AP22" s="52"/>
      <c r="AQ22" s="52"/>
      <c r="AR22" s="52"/>
      <c r="AS22" s="52"/>
    </row>
    <row r="23" spans="1:45" ht="13.2" x14ac:dyDescent="0.25">
      <c r="A23" s="16"/>
      <c r="B23" s="82"/>
      <c r="C23" s="52"/>
      <c r="D23" s="82"/>
      <c r="E23" s="91"/>
      <c r="F23" s="92"/>
      <c r="G23" s="35"/>
      <c r="H23" s="35"/>
      <c r="I23" s="35"/>
      <c r="J23" s="35"/>
      <c r="K23" s="35"/>
      <c r="L23" s="35"/>
      <c r="M23" s="35"/>
      <c r="N23" s="35"/>
      <c r="O23" s="35"/>
      <c r="P23" s="35"/>
      <c r="Q23" s="35"/>
      <c r="R23" s="35"/>
      <c r="S23" s="35"/>
      <c r="T23" s="35"/>
      <c r="U23" s="35"/>
      <c r="V23" s="35"/>
      <c r="W23" s="35"/>
      <c r="X23" s="35"/>
      <c r="Y23" s="35"/>
      <c r="Z23" s="35"/>
      <c r="AA23" s="35"/>
      <c r="AB23" s="50"/>
      <c r="AC23" s="93"/>
      <c r="AD23" s="94"/>
      <c r="AE23" s="51"/>
      <c r="AF23" s="35"/>
      <c r="AG23" s="82"/>
      <c r="AH23" s="52"/>
      <c r="AI23" s="52"/>
      <c r="AJ23" s="52"/>
      <c r="AK23" s="52"/>
      <c r="AL23" s="52"/>
      <c r="AM23" s="52"/>
      <c r="AN23" s="52"/>
      <c r="AO23" s="52"/>
      <c r="AP23" s="52"/>
      <c r="AQ23" s="52"/>
      <c r="AR23" s="52"/>
      <c r="AS23" s="52"/>
    </row>
    <row r="24" spans="1:45" ht="13.2" x14ac:dyDescent="0.25">
      <c r="A24" s="16"/>
      <c r="B24" s="82"/>
      <c r="C24" s="52"/>
      <c r="D24" s="82"/>
      <c r="E24" s="91"/>
      <c r="F24" s="92"/>
      <c r="G24" s="35"/>
      <c r="H24" s="35"/>
      <c r="I24" s="35"/>
      <c r="J24" s="35"/>
      <c r="K24" s="35"/>
      <c r="L24" s="35"/>
      <c r="M24" s="35"/>
      <c r="N24" s="35"/>
      <c r="O24" s="35"/>
      <c r="P24" s="35"/>
      <c r="Q24" s="35"/>
      <c r="R24" s="35"/>
      <c r="S24" s="35"/>
      <c r="T24" s="35"/>
      <c r="U24" s="35"/>
      <c r="V24" s="35"/>
      <c r="W24" s="35"/>
      <c r="X24" s="35"/>
      <c r="Y24" s="35"/>
      <c r="Z24" s="35"/>
      <c r="AA24" s="35"/>
      <c r="AB24" s="50"/>
      <c r="AC24" s="93"/>
      <c r="AD24" s="94"/>
      <c r="AE24" s="51"/>
      <c r="AF24" s="35"/>
      <c r="AG24" s="82"/>
      <c r="AH24" s="52"/>
      <c r="AI24" s="52"/>
      <c r="AJ24" s="52"/>
      <c r="AK24" s="52"/>
      <c r="AL24" s="52"/>
      <c r="AM24" s="52"/>
      <c r="AN24" s="52"/>
      <c r="AO24" s="52"/>
      <c r="AP24" s="52"/>
      <c r="AQ24" s="52"/>
      <c r="AR24" s="52"/>
      <c r="AS24" s="52"/>
    </row>
    <row r="25" spans="1:45" ht="13.2" x14ac:dyDescent="0.25">
      <c r="A25" s="16"/>
      <c r="B25" s="82"/>
      <c r="C25" s="52"/>
      <c r="D25" s="82"/>
      <c r="E25" s="91"/>
      <c r="F25" s="92"/>
      <c r="G25" s="35"/>
      <c r="H25" s="35"/>
      <c r="I25" s="35"/>
      <c r="J25" s="35"/>
      <c r="K25" s="35"/>
      <c r="L25" s="35"/>
      <c r="M25" s="35"/>
      <c r="N25" s="35"/>
      <c r="O25" s="35"/>
      <c r="P25" s="35"/>
      <c r="Q25" s="35"/>
      <c r="R25" s="35"/>
      <c r="S25" s="35"/>
      <c r="T25" s="35"/>
      <c r="U25" s="35"/>
      <c r="V25" s="35"/>
      <c r="W25" s="35"/>
      <c r="X25" s="35"/>
      <c r="Y25" s="35"/>
      <c r="Z25" s="35"/>
      <c r="AA25" s="35"/>
      <c r="AB25" s="50"/>
      <c r="AC25" s="93"/>
      <c r="AD25" s="94"/>
      <c r="AE25" s="51"/>
      <c r="AF25" s="35"/>
      <c r="AG25" s="82"/>
      <c r="AH25" s="52"/>
      <c r="AI25" s="52"/>
      <c r="AJ25" s="52"/>
      <c r="AK25" s="52"/>
      <c r="AL25" s="52"/>
      <c r="AM25" s="52"/>
      <c r="AN25" s="52"/>
      <c r="AO25" s="52"/>
      <c r="AP25" s="52"/>
      <c r="AQ25" s="52"/>
      <c r="AR25" s="52"/>
      <c r="AS25" s="52"/>
    </row>
    <row r="26" spans="1:45" ht="13.2" x14ac:dyDescent="0.25">
      <c r="A26" s="16"/>
      <c r="B26" s="82"/>
      <c r="C26" s="52"/>
      <c r="D26" s="82"/>
      <c r="E26" s="91"/>
      <c r="F26" s="92"/>
      <c r="G26" s="35"/>
      <c r="H26" s="35"/>
      <c r="I26" s="35"/>
      <c r="J26" s="35"/>
      <c r="K26" s="35"/>
      <c r="L26" s="35"/>
      <c r="M26" s="35"/>
      <c r="N26" s="35"/>
      <c r="O26" s="35"/>
      <c r="P26" s="35"/>
      <c r="Q26" s="35"/>
      <c r="R26" s="35"/>
      <c r="S26" s="35"/>
      <c r="T26" s="35"/>
      <c r="U26" s="35"/>
      <c r="V26" s="35"/>
      <c r="W26" s="35"/>
      <c r="X26" s="35"/>
      <c r="Y26" s="35"/>
      <c r="Z26" s="35"/>
      <c r="AA26" s="35"/>
      <c r="AB26" s="50"/>
      <c r="AC26" s="93"/>
      <c r="AD26" s="94"/>
      <c r="AE26" s="51"/>
      <c r="AF26" s="35"/>
      <c r="AG26" s="82"/>
      <c r="AH26" s="52"/>
      <c r="AI26" s="52"/>
      <c r="AJ26" s="52"/>
      <c r="AK26" s="52"/>
      <c r="AL26" s="52"/>
      <c r="AM26" s="52"/>
      <c r="AN26" s="52"/>
      <c r="AO26" s="52"/>
      <c r="AP26" s="52"/>
      <c r="AQ26" s="52"/>
      <c r="AR26" s="52"/>
      <c r="AS26" s="52"/>
    </row>
    <row r="27" spans="1:45" ht="13.2" x14ac:dyDescent="0.25">
      <c r="A27" s="16"/>
      <c r="B27" s="82"/>
      <c r="C27" s="52"/>
      <c r="D27" s="82"/>
      <c r="E27" s="91"/>
      <c r="F27" s="92"/>
      <c r="G27" s="35"/>
      <c r="H27" s="35"/>
      <c r="I27" s="35"/>
      <c r="J27" s="35"/>
      <c r="K27" s="35"/>
      <c r="L27" s="35"/>
      <c r="M27" s="35"/>
      <c r="N27" s="35"/>
      <c r="O27" s="35"/>
      <c r="P27" s="35"/>
      <c r="Q27" s="35"/>
      <c r="R27" s="35"/>
      <c r="S27" s="35"/>
      <c r="T27" s="35"/>
      <c r="U27" s="35"/>
      <c r="V27" s="35"/>
      <c r="W27" s="35"/>
      <c r="X27" s="35"/>
      <c r="Y27" s="35"/>
      <c r="Z27" s="35"/>
      <c r="AA27" s="35"/>
      <c r="AB27" s="50"/>
      <c r="AC27" s="93"/>
      <c r="AD27" s="94"/>
      <c r="AE27" s="51"/>
      <c r="AF27" s="35"/>
      <c r="AG27" s="82"/>
      <c r="AH27" s="52"/>
      <c r="AI27" s="52"/>
      <c r="AJ27" s="52"/>
      <c r="AK27" s="52"/>
      <c r="AL27" s="52"/>
      <c r="AM27" s="52"/>
      <c r="AN27" s="52"/>
      <c r="AO27" s="52"/>
      <c r="AP27" s="52"/>
      <c r="AQ27" s="52"/>
      <c r="AR27" s="52"/>
      <c r="AS27" s="52"/>
    </row>
    <row r="28" spans="1:45" ht="13.2" x14ac:dyDescent="0.25">
      <c r="A28" s="16"/>
      <c r="B28" s="82"/>
      <c r="C28" s="52"/>
      <c r="D28" s="82"/>
      <c r="E28" s="91"/>
      <c r="F28" s="92"/>
      <c r="G28" s="35"/>
      <c r="H28" s="35"/>
      <c r="I28" s="35"/>
      <c r="J28" s="35"/>
      <c r="K28" s="35"/>
      <c r="L28" s="35"/>
      <c r="M28" s="35"/>
      <c r="N28" s="35"/>
      <c r="O28" s="35"/>
      <c r="P28" s="35"/>
      <c r="Q28" s="35"/>
      <c r="R28" s="35"/>
      <c r="S28" s="35"/>
      <c r="T28" s="35"/>
      <c r="U28" s="35"/>
      <c r="V28" s="35"/>
      <c r="W28" s="35"/>
      <c r="X28" s="35"/>
      <c r="Y28" s="35"/>
      <c r="Z28" s="35"/>
      <c r="AA28" s="35"/>
      <c r="AB28" s="50"/>
      <c r="AC28" s="93"/>
      <c r="AD28" s="94"/>
      <c r="AE28" s="51"/>
      <c r="AF28" s="35"/>
      <c r="AG28" s="82"/>
      <c r="AH28" s="52"/>
      <c r="AI28" s="52"/>
      <c r="AJ28" s="52"/>
      <c r="AK28" s="52"/>
      <c r="AL28" s="52"/>
      <c r="AM28" s="52"/>
      <c r="AN28" s="52"/>
      <c r="AO28" s="52"/>
      <c r="AP28" s="52"/>
      <c r="AQ28" s="52"/>
      <c r="AR28" s="52"/>
      <c r="AS28" s="52"/>
    </row>
    <row r="29" spans="1:45" ht="13.2" x14ac:dyDescent="0.25">
      <c r="A29" s="16"/>
      <c r="B29" s="82"/>
      <c r="C29" s="52"/>
      <c r="D29" s="82"/>
      <c r="E29" s="91"/>
      <c r="F29" s="92"/>
      <c r="G29" s="35"/>
      <c r="H29" s="35"/>
      <c r="I29" s="35"/>
      <c r="J29" s="35"/>
      <c r="K29" s="35"/>
      <c r="L29" s="35"/>
      <c r="M29" s="35"/>
      <c r="N29" s="35"/>
      <c r="O29" s="35"/>
      <c r="P29" s="35"/>
      <c r="Q29" s="35"/>
      <c r="R29" s="35"/>
      <c r="S29" s="35"/>
      <c r="T29" s="35"/>
      <c r="U29" s="35"/>
      <c r="V29" s="35"/>
      <c r="W29" s="35"/>
      <c r="X29" s="35"/>
      <c r="Y29" s="35"/>
      <c r="Z29" s="35"/>
      <c r="AA29" s="35"/>
      <c r="AB29" s="50"/>
      <c r="AC29" s="93"/>
      <c r="AD29" s="94"/>
      <c r="AE29" s="51"/>
      <c r="AF29" s="35"/>
      <c r="AG29" s="82"/>
      <c r="AH29" s="52"/>
      <c r="AI29" s="52"/>
      <c r="AJ29" s="52"/>
      <c r="AK29" s="52"/>
      <c r="AL29" s="52"/>
      <c r="AM29" s="52"/>
      <c r="AN29" s="52"/>
      <c r="AO29" s="52"/>
      <c r="AP29" s="52"/>
      <c r="AQ29" s="52"/>
      <c r="AR29" s="52"/>
      <c r="AS29" s="52"/>
    </row>
    <row r="30" spans="1:45" ht="13.2" x14ac:dyDescent="0.25">
      <c r="A30" s="16"/>
      <c r="B30" s="82"/>
      <c r="C30" s="52"/>
      <c r="D30" s="82"/>
      <c r="E30" s="91"/>
      <c r="F30" s="92"/>
      <c r="G30" s="35"/>
      <c r="H30" s="35"/>
      <c r="I30" s="35"/>
      <c r="J30" s="35"/>
      <c r="K30" s="35"/>
      <c r="L30" s="35"/>
      <c r="M30" s="35"/>
      <c r="N30" s="35"/>
      <c r="O30" s="35"/>
      <c r="P30" s="35"/>
      <c r="Q30" s="35"/>
      <c r="R30" s="35"/>
      <c r="S30" s="35"/>
      <c r="T30" s="35"/>
      <c r="U30" s="35"/>
      <c r="V30" s="35"/>
      <c r="W30" s="35"/>
      <c r="X30" s="35"/>
      <c r="Y30" s="35"/>
      <c r="Z30" s="35"/>
      <c r="AA30" s="35"/>
      <c r="AB30" s="50"/>
      <c r="AC30" s="93"/>
      <c r="AD30" s="94"/>
      <c r="AE30" s="51"/>
      <c r="AF30" s="35"/>
      <c r="AG30" s="82"/>
      <c r="AH30" s="52"/>
      <c r="AI30" s="52"/>
      <c r="AJ30" s="52"/>
      <c r="AK30" s="52"/>
      <c r="AL30" s="52"/>
      <c r="AM30" s="52"/>
      <c r="AN30" s="52"/>
      <c r="AO30" s="52"/>
      <c r="AP30" s="52"/>
      <c r="AQ30" s="52"/>
      <c r="AR30" s="52"/>
      <c r="AS30" s="52"/>
    </row>
    <row r="31" spans="1:45" ht="13.2" x14ac:dyDescent="0.25">
      <c r="A31" s="16"/>
      <c r="B31" s="82"/>
      <c r="C31" s="52"/>
      <c r="D31" s="82"/>
      <c r="E31" s="91"/>
      <c r="F31" s="92"/>
      <c r="G31" s="35"/>
      <c r="H31" s="35"/>
      <c r="I31" s="35"/>
      <c r="J31" s="35"/>
      <c r="K31" s="35"/>
      <c r="L31" s="35"/>
      <c r="M31" s="35"/>
      <c r="N31" s="35"/>
      <c r="O31" s="35"/>
      <c r="P31" s="35"/>
      <c r="Q31" s="35"/>
      <c r="R31" s="35"/>
      <c r="S31" s="35"/>
      <c r="T31" s="35"/>
      <c r="U31" s="35"/>
      <c r="V31" s="35"/>
      <c r="W31" s="35"/>
      <c r="X31" s="35"/>
      <c r="Y31" s="35"/>
      <c r="Z31" s="35"/>
      <c r="AA31" s="35"/>
      <c r="AB31" s="50"/>
      <c r="AC31" s="93"/>
      <c r="AD31" s="94"/>
      <c r="AE31" s="51"/>
      <c r="AF31" s="35"/>
      <c r="AG31" s="82"/>
      <c r="AH31" s="52"/>
      <c r="AI31" s="52"/>
      <c r="AJ31" s="52"/>
      <c r="AK31" s="52"/>
      <c r="AL31" s="52"/>
      <c r="AM31" s="52"/>
      <c r="AN31" s="52"/>
      <c r="AO31" s="52"/>
      <c r="AP31" s="52"/>
      <c r="AQ31" s="52"/>
      <c r="AR31" s="52"/>
      <c r="AS31" s="52"/>
    </row>
    <row r="32" spans="1:45" ht="13.2" x14ac:dyDescent="0.25">
      <c r="A32" s="16"/>
      <c r="B32" s="82"/>
      <c r="C32" s="52"/>
      <c r="D32" s="82"/>
      <c r="E32" s="91"/>
      <c r="F32" s="92"/>
      <c r="G32" s="35"/>
      <c r="H32" s="35"/>
      <c r="I32" s="35"/>
      <c r="J32" s="35"/>
      <c r="K32" s="35"/>
      <c r="L32" s="35"/>
      <c r="M32" s="35"/>
      <c r="N32" s="35"/>
      <c r="O32" s="35"/>
      <c r="P32" s="35"/>
      <c r="Q32" s="35"/>
      <c r="R32" s="35"/>
      <c r="S32" s="35"/>
      <c r="T32" s="35"/>
      <c r="U32" s="35"/>
      <c r="V32" s="35"/>
      <c r="W32" s="35"/>
      <c r="X32" s="35"/>
      <c r="Y32" s="35"/>
      <c r="Z32" s="35"/>
      <c r="AA32" s="35"/>
      <c r="AB32" s="50"/>
      <c r="AC32" s="93"/>
      <c r="AD32" s="94"/>
      <c r="AE32" s="51"/>
      <c r="AF32" s="35"/>
      <c r="AG32" s="82"/>
      <c r="AH32" s="52"/>
      <c r="AI32" s="52"/>
      <c r="AJ32" s="52"/>
      <c r="AK32" s="52"/>
      <c r="AL32" s="52"/>
      <c r="AM32" s="52"/>
      <c r="AN32" s="52"/>
      <c r="AO32" s="52"/>
      <c r="AP32" s="52"/>
      <c r="AQ32" s="52"/>
      <c r="AR32" s="52"/>
      <c r="AS32" s="52"/>
    </row>
    <row r="33" spans="1:45" ht="13.2" x14ac:dyDescent="0.25">
      <c r="A33" s="16"/>
      <c r="B33" s="82"/>
      <c r="C33" s="52"/>
      <c r="D33" s="82"/>
      <c r="E33" s="91"/>
      <c r="F33" s="92"/>
      <c r="G33" s="35"/>
      <c r="H33" s="35"/>
      <c r="I33" s="35"/>
      <c r="J33" s="35"/>
      <c r="K33" s="35"/>
      <c r="L33" s="35"/>
      <c r="M33" s="35"/>
      <c r="N33" s="35"/>
      <c r="O33" s="35"/>
      <c r="P33" s="35"/>
      <c r="Q33" s="35"/>
      <c r="R33" s="35"/>
      <c r="S33" s="35"/>
      <c r="T33" s="35"/>
      <c r="U33" s="35"/>
      <c r="V33" s="35"/>
      <c r="W33" s="35"/>
      <c r="X33" s="35"/>
      <c r="Y33" s="35"/>
      <c r="Z33" s="35"/>
      <c r="AA33" s="35"/>
      <c r="AB33" s="50"/>
      <c r="AC33" s="93"/>
      <c r="AD33" s="94"/>
      <c r="AE33" s="51"/>
      <c r="AF33" s="35"/>
      <c r="AG33" s="82"/>
      <c r="AH33" s="52"/>
      <c r="AI33" s="52"/>
      <c r="AJ33" s="52"/>
      <c r="AK33" s="52"/>
      <c r="AL33" s="52"/>
      <c r="AM33" s="52"/>
      <c r="AN33" s="52"/>
      <c r="AO33" s="52"/>
      <c r="AP33" s="52"/>
      <c r="AQ33" s="52"/>
      <c r="AR33" s="52"/>
      <c r="AS33" s="52"/>
    </row>
    <row r="34" spans="1:45" ht="13.2" x14ac:dyDescent="0.25">
      <c r="A34" s="16"/>
      <c r="B34" s="82"/>
      <c r="C34" s="52"/>
      <c r="D34" s="82"/>
      <c r="E34" s="91"/>
      <c r="F34" s="92"/>
      <c r="G34" s="35"/>
      <c r="H34" s="35"/>
      <c r="I34" s="35"/>
      <c r="J34" s="35"/>
      <c r="K34" s="35"/>
      <c r="L34" s="35"/>
      <c r="M34" s="35"/>
      <c r="N34" s="35"/>
      <c r="O34" s="35"/>
      <c r="P34" s="35"/>
      <c r="Q34" s="35"/>
      <c r="R34" s="35"/>
      <c r="S34" s="35"/>
      <c r="T34" s="35"/>
      <c r="U34" s="35"/>
      <c r="V34" s="35"/>
      <c r="W34" s="35"/>
      <c r="X34" s="35"/>
      <c r="Y34" s="35"/>
      <c r="Z34" s="35"/>
      <c r="AA34" s="35"/>
      <c r="AB34" s="50"/>
      <c r="AC34" s="93"/>
      <c r="AD34" s="94"/>
      <c r="AE34" s="51"/>
      <c r="AF34" s="35"/>
      <c r="AG34" s="82"/>
      <c r="AH34" s="52"/>
      <c r="AI34" s="52"/>
      <c r="AJ34" s="52"/>
      <c r="AK34" s="52"/>
      <c r="AL34" s="52"/>
      <c r="AM34" s="52"/>
      <c r="AN34" s="52"/>
      <c r="AO34" s="52"/>
      <c r="AP34" s="52"/>
      <c r="AQ34" s="52"/>
      <c r="AR34" s="52"/>
      <c r="AS34" s="52"/>
    </row>
    <row r="35" spans="1:45" ht="13.2" x14ac:dyDescent="0.25">
      <c r="A35" s="16"/>
      <c r="B35" s="82"/>
      <c r="C35" s="52"/>
      <c r="D35" s="82"/>
      <c r="E35" s="91"/>
      <c r="F35" s="92"/>
      <c r="G35" s="35"/>
      <c r="H35" s="35"/>
      <c r="I35" s="35"/>
      <c r="J35" s="35"/>
      <c r="K35" s="35"/>
      <c r="L35" s="35"/>
      <c r="M35" s="35"/>
      <c r="N35" s="35"/>
      <c r="O35" s="35"/>
      <c r="P35" s="35"/>
      <c r="Q35" s="35"/>
      <c r="R35" s="35"/>
      <c r="S35" s="35"/>
      <c r="T35" s="35"/>
      <c r="U35" s="35"/>
      <c r="V35" s="35"/>
      <c r="W35" s="35"/>
      <c r="X35" s="35"/>
      <c r="Y35" s="35"/>
      <c r="Z35" s="35"/>
      <c r="AA35" s="35"/>
      <c r="AB35" s="50"/>
      <c r="AC35" s="93"/>
      <c r="AD35" s="94"/>
      <c r="AE35" s="51"/>
      <c r="AF35" s="35"/>
      <c r="AG35" s="82"/>
      <c r="AH35" s="52"/>
      <c r="AI35" s="52"/>
      <c r="AJ35" s="52"/>
      <c r="AK35" s="52"/>
      <c r="AL35" s="52"/>
      <c r="AM35" s="52"/>
      <c r="AN35" s="52"/>
      <c r="AO35" s="52"/>
      <c r="AP35" s="52"/>
      <c r="AQ35" s="52"/>
      <c r="AR35" s="52"/>
      <c r="AS35" s="52"/>
    </row>
    <row r="36" spans="1:45" ht="13.2" x14ac:dyDescent="0.25">
      <c r="A36" s="16"/>
      <c r="B36" s="82"/>
      <c r="C36" s="52"/>
      <c r="D36" s="82"/>
      <c r="E36" s="91"/>
      <c r="F36" s="92"/>
      <c r="G36" s="35"/>
      <c r="H36" s="35"/>
      <c r="I36" s="35"/>
      <c r="J36" s="35"/>
      <c r="K36" s="35"/>
      <c r="L36" s="35"/>
      <c r="M36" s="35"/>
      <c r="N36" s="35"/>
      <c r="O36" s="35"/>
      <c r="P36" s="35"/>
      <c r="Q36" s="35"/>
      <c r="R36" s="35"/>
      <c r="S36" s="35"/>
      <c r="T36" s="35"/>
      <c r="U36" s="35"/>
      <c r="V36" s="35"/>
      <c r="W36" s="35"/>
      <c r="X36" s="35"/>
      <c r="Y36" s="35"/>
      <c r="Z36" s="35"/>
      <c r="AA36" s="35"/>
      <c r="AB36" s="50"/>
      <c r="AC36" s="93"/>
      <c r="AD36" s="94"/>
      <c r="AE36" s="51"/>
      <c r="AF36" s="35"/>
      <c r="AG36" s="82"/>
      <c r="AH36" s="52"/>
      <c r="AI36" s="52"/>
      <c r="AJ36" s="52"/>
      <c r="AK36" s="52"/>
      <c r="AL36" s="52"/>
      <c r="AM36" s="52"/>
      <c r="AN36" s="52"/>
      <c r="AO36" s="52"/>
      <c r="AP36" s="52"/>
      <c r="AQ36" s="52"/>
      <c r="AR36" s="52"/>
      <c r="AS36" s="52"/>
    </row>
    <row r="37" spans="1:45" ht="13.2" x14ac:dyDescent="0.25">
      <c r="A37" s="16"/>
      <c r="B37" s="82"/>
      <c r="C37" s="52"/>
      <c r="D37" s="82"/>
      <c r="E37" s="91"/>
      <c r="F37" s="92"/>
      <c r="G37" s="35"/>
      <c r="H37" s="35"/>
      <c r="I37" s="35"/>
      <c r="J37" s="35"/>
      <c r="K37" s="35"/>
      <c r="L37" s="35"/>
      <c r="M37" s="35"/>
      <c r="N37" s="35"/>
      <c r="O37" s="35"/>
      <c r="P37" s="35"/>
      <c r="Q37" s="35"/>
      <c r="R37" s="35"/>
      <c r="S37" s="35"/>
      <c r="T37" s="35"/>
      <c r="U37" s="35"/>
      <c r="V37" s="35"/>
      <c r="W37" s="35"/>
      <c r="X37" s="35"/>
      <c r="Y37" s="35"/>
      <c r="Z37" s="35"/>
      <c r="AA37" s="35"/>
      <c r="AB37" s="50"/>
      <c r="AC37" s="93"/>
      <c r="AD37" s="94"/>
      <c r="AE37" s="51"/>
      <c r="AF37" s="35"/>
      <c r="AG37" s="82"/>
      <c r="AH37" s="52"/>
      <c r="AI37" s="52"/>
      <c r="AJ37" s="52"/>
      <c r="AK37" s="52"/>
      <c r="AL37" s="52"/>
      <c r="AM37" s="52"/>
      <c r="AN37" s="52"/>
      <c r="AO37" s="52"/>
      <c r="AP37" s="52"/>
      <c r="AQ37" s="52"/>
      <c r="AR37" s="52"/>
      <c r="AS37" s="52"/>
    </row>
    <row r="38" spans="1:45" ht="13.2" x14ac:dyDescent="0.25">
      <c r="A38" s="16"/>
      <c r="B38" s="82"/>
      <c r="C38" s="52"/>
      <c r="D38" s="82"/>
      <c r="E38" s="91"/>
      <c r="F38" s="92"/>
      <c r="G38" s="35"/>
      <c r="H38" s="35"/>
      <c r="I38" s="35"/>
      <c r="J38" s="35"/>
      <c r="K38" s="35"/>
      <c r="L38" s="35"/>
      <c r="M38" s="35"/>
      <c r="N38" s="35"/>
      <c r="O38" s="35"/>
      <c r="P38" s="35"/>
      <c r="Q38" s="35"/>
      <c r="R38" s="35"/>
      <c r="S38" s="35"/>
      <c r="T38" s="35"/>
      <c r="U38" s="35"/>
      <c r="V38" s="35"/>
      <c r="W38" s="35"/>
      <c r="X38" s="35"/>
      <c r="Y38" s="35"/>
      <c r="Z38" s="35"/>
      <c r="AA38" s="35"/>
      <c r="AB38" s="50"/>
      <c r="AC38" s="93"/>
      <c r="AD38" s="94"/>
      <c r="AE38" s="51"/>
      <c r="AF38" s="35"/>
      <c r="AG38" s="82"/>
      <c r="AH38" s="52"/>
      <c r="AI38" s="52"/>
      <c r="AJ38" s="52"/>
      <c r="AK38" s="52"/>
      <c r="AL38" s="52"/>
      <c r="AM38" s="52"/>
      <c r="AN38" s="52"/>
      <c r="AO38" s="52"/>
      <c r="AP38" s="52"/>
      <c r="AQ38" s="52"/>
      <c r="AR38" s="52"/>
      <c r="AS38" s="52"/>
    </row>
    <row r="39" spans="1:45" ht="13.2" x14ac:dyDescent="0.25">
      <c r="A39" s="16"/>
      <c r="B39" s="82"/>
      <c r="C39" s="52"/>
      <c r="D39" s="82"/>
      <c r="E39" s="91"/>
      <c r="F39" s="92"/>
      <c r="G39" s="35"/>
      <c r="H39" s="35"/>
      <c r="I39" s="35"/>
      <c r="J39" s="35"/>
      <c r="K39" s="35"/>
      <c r="L39" s="35"/>
      <c r="M39" s="35"/>
      <c r="N39" s="35"/>
      <c r="O39" s="35"/>
      <c r="P39" s="35"/>
      <c r="Q39" s="35"/>
      <c r="R39" s="35"/>
      <c r="S39" s="35"/>
      <c r="T39" s="35"/>
      <c r="U39" s="35"/>
      <c r="V39" s="35"/>
      <c r="W39" s="35"/>
      <c r="X39" s="35"/>
      <c r="Y39" s="35"/>
      <c r="Z39" s="35"/>
      <c r="AA39" s="35"/>
      <c r="AB39" s="50"/>
      <c r="AC39" s="93"/>
      <c r="AD39" s="94"/>
      <c r="AE39" s="51"/>
      <c r="AF39" s="35"/>
      <c r="AG39" s="82"/>
      <c r="AH39" s="52"/>
      <c r="AI39" s="52"/>
      <c r="AJ39" s="52"/>
      <c r="AK39" s="52"/>
      <c r="AL39" s="52"/>
      <c r="AM39" s="52"/>
      <c r="AN39" s="52"/>
      <c r="AO39" s="52"/>
      <c r="AP39" s="52"/>
      <c r="AQ39" s="52"/>
      <c r="AR39" s="52"/>
      <c r="AS39" s="52"/>
    </row>
    <row r="40" spans="1:45" ht="13.2" x14ac:dyDescent="0.25">
      <c r="A40" s="16"/>
      <c r="B40" s="82"/>
      <c r="C40" s="52"/>
      <c r="D40" s="82"/>
      <c r="E40" s="91"/>
      <c r="F40" s="92"/>
      <c r="G40" s="35"/>
      <c r="H40" s="35"/>
      <c r="I40" s="35"/>
      <c r="J40" s="35"/>
      <c r="K40" s="35"/>
      <c r="L40" s="35"/>
      <c r="M40" s="35"/>
      <c r="N40" s="35"/>
      <c r="O40" s="35"/>
      <c r="P40" s="35"/>
      <c r="Q40" s="35"/>
      <c r="R40" s="35"/>
      <c r="S40" s="35"/>
      <c r="T40" s="35"/>
      <c r="U40" s="35"/>
      <c r="V40" s="35"/>
      <c r="W40" s="35"/>
      <c r="X40" s="35"/>
      <c r="Y40" s="35"/>
      <c r="Z40" s="35"/>
      <c r="AA40" s="35"/>
      <c r="AB40" s="50"/>
      <c r="AC40" s="93"/>
      <c r="AD40" s="94"/>
      <c r="AE40" s="51"/>
      <c r="AF40" s="35"/>
      <c r="AG40" s="82"/>
      <c r="AH40" s="52"/>
      <c r="AI40" s="52"/>
      <c r="AJ40" s="52"/>
      <c r="AK40" s="52"/>
      <c r="AL40" s="52"/>
      <c r="AM40" s="52"/>
      <c r="AN40" s="52"/>
      <c r="AO40" s="52"/>
      <c r="AP40" s="52"/>
      <c r="AQ40" s="52"/>
      <c r="AR40" s="52"/>
      <c r="AS40" s="52"/>
    </row>
    <row r="41" spans="1:45" ht="13.2" x14ac:dyDescent="0.25">
      <c r="A41" s="16"/>
      <c r="B41" s="82"/>
      <c r="C41" s="52"/>
      <c r="D41" s="82"/>
      <c r="E41" s="91"/>
      <c r="F41" s="92"/>
      <c r="G41" s="35"/>
      <c r="H41" s="35"/>
      <c r="I41" s="35"/>
      <c r="J41" s="35"/>
      <c r="K41" s="35"/>
      <c r="L41" s="35"/>
      <c r="M41" s="35"/>
      <c r="N41" s="35"/>
      <c r="O41" s="35"/>
      <c r="P41" s="35"/>
      <c r="Q41" s="35"/>
      <c r="R41" s="35"/>
      <c r="S41" s="35"/>
      <c r="T41" s="35"/>
      <c r="U41" s="35"/>
      <c r="V41" s="35"/>
      <c r="W41" s="35"/>
      <c r="X41" s="35"/>
      <c r="Y41" s="35"/>
      <c r="Z41" s="35"/>
      <c r="AA41" s="35"/>
      <c r="AB41" s="50"/>
      <c r="AC41" s="93"/>
      <c r="AD41" s="94"/>
      <c r="AE41" s="51"/>
      <c r="AF41" s="35"/>
      <c r="AG41" s="82"/>
      <c r="AH41" s="52"/>
      <c r="AI41" s="52"/>
      <c r="AJ41" s="52"/>
      <c r="AK41" s="52"/>
      <c r="AL41" s="52"/>
      <c r="AM41" s="52"/>
      <c r="AN41" s="52"/>
      <c r="AO41" s="52"/>
      <c r="AP41" s="52"/>
      <c r="AQ41" s="52"/>
      <c r="AR41" s="52"/>
      <c r="AS41" s="52"/>
    </row>
    <row r="42" spans="1:45" ht="13.2" x14ac:dyDescent="0.25">
      <c r="A42" s="16"/>
      <c r="B42" s="82"/>
      <c r="C42" s="52"/>
      <c r="D42" s="82"/>
      <c r="E42" s="91"/>
      <c r="F42" s="92"/>
      <c r="G42" s="35"/>
      <c r="H42" s="35"/>
      <c r="I42" s="35"/>
      <c r="J42" s="35"/>
      <c r="K42" s="35"/>
      <c r="L42" s="35"/>
      <c r="M42" s="35"/>
      <c r="N42" s="35"/>
      <c r="O42" s="35"/>
      <c r="P42" s="35"/>
      <c r="Q42" s="35"/>
      <c r="R42" s="35"/>
      <c r="S42" s="35"/>
      <c r="T42" s="35"/>
      <c r="U42" s="35"/>
      <c r="V42" s="35"/>
      <c r="W42" s="35"/>
      <c r="X42" s="35"/>
      <c r="Y42" s="35"/>
      <c r="Z42" s="35"/>
      <c r="AA42" s="35"/>
      <c r="AB42" s="50"/>
      <c r="AC42" s="93"/>
      <c r="AD42" s="94"/>
      <c r="AE42" s="51"/>
      <c r="AF42" s="35"/>
      <c r="AG42" s="82"/>
      <c r="AH42" s="52"/>
      <c r="AI42" s="52"/>
      <c r="AJ42" s="52"/>
      <c r="AK42" s="52"/>
      <c r="AL42" s="52"/>
      <c r="AM42" s="52"/>
      <c r="AN42" s="52"/>
      <c r="AO42" s="52"/>
      <c r="AP42" s="52"/>
      <c r="AQ42" s="52"/>
      <c r="AR42" s="52"/>
      <c r="AS42" s="52"/>
    </row>
    <row r="43" spans="1:45" ht="13.2" x14ac:dyDescent="0.25">
      <c r="A43" s="16"/>
      <c r="B43" s="82"/>
      <c r="C43" s="52"/>
      <c r="D43" s="82"/>
      <c r="E43" s="91"/>
      <c r="F43" s="92"/>
      <c r="G43" s="35"/>
      <c r="H43" s="35"/>
      <c r="I43" s="35"/>
      <c r="J43" s="35"/>
      <c r="K43" s="35"/>
      <c r="L43" s="35"/>
      <c r="M43" s="35"/>
      <c r="N43" s="35"/>
      <c r="O43" s="35"/>
      <c r="P43" s="35"/>
      <c r="Q43" s="35"/>
      <c r="R43" s="35"/>
      <c r="S43" s="35"/>
      <c r="T43" s="35"/>
      <c r="U43" s="35"/>
      <c r="V43" s="35"/>
      <c r="W43" s="35"/>
      <c r="X43" s="35"/>
      <c r="Y43" s="35"/>
      <c r="Z43" s="35"/>
      <c r="AA43" s="35"/>
      <c r="AB43" s="50"/>
      <c r="AC43" s="93"/>
      <c r="AD43" s="94"/>
      <c r="AE43" s="51"/>
      <c r="AF43" s="35"/>
      <c r="AG43" s="82"/>
      <c r="AH43" s="52"/>
      <c r="AI43" s="52"/>
      <c r="AJ43" s="52"/>
      <c r="AK43" s="52"/>
      <c r="AL43" s="52"/>
      <c r="AM43" s="52"/>
      <c r="AN43" s="52"/>
      <c r="AO43" s="52"/>
      <c r="AP43" s="52"/>
      <c r="AQ43" s="52"/>
      <c r="AR43" s="52"/>
      <c r="AS43" s="52"/>
    </row>
    <row r="44" spans="1:45" ht="13.2" x14ac:dyDescent="0.25">
      <c r="A44" s="16"/>
      <c r="B44" s="82"/>
      <c r="C44" s="52"/>
      <c r="D44" s="82"/>
      <c r="E44" s="91"/>
      <c r="F44" s="92"/>
      <c r="G44" s="35"/>
      <c r="H44" s="35"/>
      <c r="I44" s="35"/>
      <c r="J44" s="35"/>
      <c r="K44" s="35"/>
      <c r="L44" s="35"/>
      <c r="M44" s="35"/>
      <c r="N44" s="35"/>
      <c r="O44" s="35"/>
      <c r="P44" s="35"/>
      <c r="Q44" s="35"/>
      <c r="R44" s="35"/>
      <c r="S44" s="35"/>
      <c r="T44" s="35"/>
      <c r="U44" s="35"/>
      <c r="V44" s="35"/>
      <c r="W44" s="35"/>
      <c r="X44" s="35"/>
      <c r="Y44" s="35"/>
      <c r="Z44" s="35"/>
      <c r="AA44" s="35"/>
      <c r="AB44" s="50"/>
      <c r="AC44" s="93"/>
      <c r="AD44" s="94"/>
      <c r="AE44" s="51"/>
      <c r="AF44" s="35"/>
      <c r="AG44" s="82"/>
      <c r="AH44" s="52"/>
      <c r="AI44" s="52"/>
      <c r="AJ44" s="52"/>
      <c r="AK44" s="52"/>
      <c r="AL44" s="52"/>
      <c r="AM44" s="52"/>
      <c r="AN44" s="52"/>
      <c r="AO44" s="52"/>
      <c r="AP44" s="52"/>
      <c r="AQ44" s="52"/>
      <c r="AR44" s="52"/>
      <c r="AS44" s="52"/>
    </row>
    <row r="45" spans="1:45" ht="13.2" x14ac:dyDescent="0.25">
      <c r="A45" s="16"/>
      <c r="B45" s="82"/>
      <c r="C45" s="52"/>
      <c r="D45" s="82"/>
      <c r="E45" s="91"/>
      <c r="F45" s="92"/>
      <c r="G45" s="35"/>
      <c r="H45" s="35"/>
      <c r="I45" s="35"/>
      <c r="J45" s="35"/>
      <c r="K45" s="35"/>
      <c r="L45" s="35"/>
      <c r="M45" s="35"/>
      <c r="N45" s="35"/>
      <c r="O45" s="35"/>
      <c r="P45" s="35"/>
      <c r="Q45" s="35"/>
      <c r="R45" s="35"/>
      <c r="S45" s="35"/>
      <c r="T45" s="35"/>
      <c r="U45" s="35"/>
      <c r="V45" s="35"/>
      <c r="W45" s="35"/>
      <c r="X45" s="35"/>
      <c r="Y45" s="35"/>
      <c r="Z45" s="35"/>
      <c r="AA45" s="35"/>
      <c r="AB45" s="50"/>
      <c r="AC45" s="93"/>
      <c r="AD45" s="94"/>
      <c r="AE45" s="51"/>
      <c r="AF45" s="35"/>
      <c r="AG45" s="82"/>
      <c r="AH45" s="52"/>
      <c r="AI45" s="52"/>
      <c r="AJ45" s="52"/>
      <c r="AK45" s="52"/>
      <c r="AL45" s="52"/>
      <c r="AM45" s="52"/>
      <c r="AN45" s="52"/>
      <c r="AO45" s="52"/>
      <c r="AP45" s="52"/>
      <c r="AQ45" s="52"/>
      <c r="AR45" s="52"/>
      <c r="AS45" s="52"/>
    </row>
    <row r="46" spans="1:45" ht="13.2" x14ac:dyDescent="0.25">
      <c r="A46" s="16"/>
      <c r="B46" s="82"/>
      <c r="C46" s="52"/>
      <c r="D46" s="82"/>
      <c r="E46" s="91"/>
      <c r="F46" s="92"/>
      <c r="G46" s="35"/>
      <c r="H46" s="35"/>
      <c r="I46" s="35"/>
      <c r="J46" s="35"/>
      <c r="K46" s="35"/>
      <c r="L46" s="35"/>
      <c r="M46" s="35"/>
      <c r="N46" s="35"/>
      <c r="O46" s="35"/>
      <c r="P46" s="35"/>
      <c r="Q46" s="35"/>
      <c r="R46" s="35"/>
      <c r="S46" s="35"/>
      <c r="T46" s="35"/>
      <c r="U46" s="35"/>
      <c r="V46" s="35"/>
      <c r="W46" s="35"/>
      <c r="X46" s="35"/>
      <c r="Y46" s="35"/>
      <c r="Z46" s="35"/>
      <c r="AA46" s="35"/>
      <c r="AB46" s="50"/>
      <c r="AC46" s="93"/>
      <c r="AD46" s="94"/>
      <c r="AE46" s="51"/>
      <c r="AF46" s="35"/>
      <c r="AG46" s="82"/>
      <c r="AH46" s="52"/>
      <c r="AI46" s="52"/>
      <c r="AJ46" s="52"/>
      <c r="AK46" s="52"/>
      <c r="AL46" s="52"/>
      <c r="AM46" s="52"/>
      <c r="AN46" s="52"/>
      <c r="AO46" s="52"/>
      <c r="AP46" s="52"/>
      <c r="AQ46" s="52"/>
      <c r="AR46" s="52"/>
      <c r="AS46" s="52"/>
    </row>
    <row r="47" spans="1:45" ht="13.2" x14ac:dyDescent="0.25">
      <c r="A47" s="16"/>
      <c r="B47" s="82"/>
      <c r="C47" s="52"/>
      <c r="D47" s="82"/>
      <c r="E47" s="91"/>
      <c r="F47" s="92"/>
      <c r="G47" s="35"/>
      <c r="H47" s="35"/>
      <c r="I47" s="35"/>
      <c r="J47" s="35"/>
      <c r="K47" s="35"/>
      <c r="L47" s="35"/>
      <c r="M47" s="35"/>
      <c r="N47" s="35"/>
      <c r="O47" s="35"/>
      <c r="P47" s="35"/>
      <c r="Q47" s="35"/>
      <c r="R47" s="35"/>
      <c r="S47" s="35"/>
      <c r="T47" s="35"/>
      <c r="U47" s="35"/>
      <c r="V47" s="35"/>
      <c r="W47" s="35"/>
      <c r="X47" s="35"/>
      <c r="Y47" s="35"/>
      <c r="Z47" s="35"/>
      <c r="AA47" s="35"/>
      <c r="AB47" s="50"/>
      <c r="AC47" s="93"/>
      <c r="AD47" s="94"/>
      <c r="AE47" s="51"/>
      <c r="AF47" s="35"/>
      <c r="AG47" s="82"/>
      <c r="AH47" s="52"/>
      <c r="AI47" s="52"/>
      <c r="AJ47" s="52"/>
      <c r="AK47" s="52"/>
      <c r="AL47" s="52"/>
      <c r="AM47" s="52"/>
      <c r="AN47" s="52"/>
      <c r="AO47" s="52"/>
      <c r="AP47" s="52"/>
      <c r="AQ47" s="52"/>
      <c r="AR47" s="52"/>
      <c r="AS47" s="52"/>
    </row>
    <row r="48" spans="1:45" ht="13.2" x14ac:dyDescent="0.25">
      <c r="A48" s="16"/>
      <c r="B48" s="82"/>
      <c r="C48" s="52"/>
      <c r="D48" s="82"/>
      <c r="E48" s="91"/>
      <c r="F48" s="92"/>
      <c r="G48" s="35"/>
      <c r="H48" s="35"/>
      <c r="I48" s="35"/>
      <c r="J48" s="35"/>
      <c r="K48" s="35"/>
      <c r="L48" s="35"/>
      <c r="M48" s="35"/>
      <c r="N48" s="35"/>
      <c r="O48" s="35"/>
      <c r="P48" s="35"/>
      <c r="Q48" s="35"/>
      <c r="R48" s="35"/>
      <c r="S48" s="35"/>
      <c r="T48" s="35"/>
      <c r="U48" s="35"/>
      <c r="V48" s="35"/>
      <c r="W48" s="35"/>
      <c r="X48" s="35"/>
      <c r="Y48" s="35"/>
      <c r="Z48" s="35"/>
      <c r="AA48" s="35"/>
      <c r="AB48" s="50"/>
      <c r="AC48" s="93"/>
      <c r="AD48" s="94"/>
      <c r="AE48" s="51"/>
      <c r="AF48" s="35"/>
      <c r="AG48" s="82"/>
      <c r="AH48" s="52"/>
      <c r="AI48" s="52"/>
      <c r="AJ48" s="52"/>
      <c r="AK48" s="52"/>
      <c r="AL48" s="52"/>
      <c r="AM48" s="52"/>
      <c r="AN48" s="52"/>
      <c r="AO48" s="52"/>
      <c r="AP48" s="52"/>
      <c r="AQ48" s="52"/>
      <c r="AR48" s="52"/>
      <c r="AS48" s="52"/>
    </row>
    <row r="49" spans="1:45" ht="13.2" x14ac:dyDescent="0.25">
      <c r="A49" s="16"/>
      <c r="B49" s="82"/>
      <c r="C49" s="52"/>
      <c r="D49" s="82"/>
      <c r="E49" s="91"/>
      <c r="F49" s="92"/>
      <c r="G49" s="35"/>
      <c r="H49" s="35"/>
      <c r="I49" s="35"/>
      <c r="J49" s="35"/>
      <c r="K49" s="35"/>
      <c r="L49" s="35"/>
      <c r="M49" s="35"/>
      <c r="N49" s="35"/>
      <c r="O49" s="35"/>
      <c r="P49" s="35"/>
      <c r="Q49" s="35"/>
      <c r="R49" s="35"/>
      <c r="S49" s="35"/>
      <c r="T49" s="35"/>
      <c r="U49" s="35"/>
      <c r="V49" s="35"/>
      <c r="W49" s="35"/>
      <c r="X49" s="35"/>
      <c r="Y49" s="35"/>
      <c r="Z49" s="35"/>
      <c r="AA49" s="35"/>
      <c r="AB49" s="50"/>
      <c r="AC49" s="93"/>
      <c r="AD49" s="94"/>
      <c r="AE49" s="51"/>
      <c r="AF49" s="35"/>
      <c r="AG49" s="82"/>
      <c r="AH49" s="52"/>
      <c r="AI49" s="52"/>
      <c r="AJ49" s="52"/>
      <c r="AK49" s="52"/>
      <c r="AL49" s="52"/>
      <c r="AM49" s="52"/>
      <c r="AN49" s="52"/>
      <c r="AO49" s="52"/>
      <c r="AP49" s="52"/>
      <c r="AQ49" s="52"/>
      <c r="AR49" s="52"/>
      <c r="AS49" s="52"/>
    </row>
    <row r="50" spans="1:45" ht="13.2" x14ac:dyDescent="0.25">
      <c r="A50" s="16"/>
      <c r="B50" s="82"/>
      <c r="C50" s="52"/>
      <c r="D50" s="82"/>
      <c r="E50" s="91"/>
      <c r="F50" s="92"/>
      <c r="G50" s="35"/>
      <c r="H50" s="35"/>
      <c r="I50" s="35"/>
      <c r="J50" s="35"/>
      <c r="K50" s="35"/>
      <c r="L50" s="35"/>
      <c r="M50" s="35"/>
      <c r="N50" s="35"/>
      <c r="O50" s="35"/>
      <c r="P50" s="35"/>
      <c r="Q50" s="35"/>
      <c r="R50" s="35"/>
      <c r="S50" s="35"/>
      <c r="T50" s="35"/>
      <c r="U50" s="35"/>
      <c r="V50" s="35"/>
      <c r="W50" s="35"/>
      <c r="X50" s="35"/>
      <c r="Y50" s="35"/>
      <c r="Z50" s="35"/>
      <c r="AA50" s="35"/>
      <c r="AB50" s="50"/>
      <c r="AC50" s="93"/>
      <c r="AD50" s="94"/>
      <c r="AE50" s="51"/>
      <c r="AF50" s="35"/>
      <c r="AG50" s="82"/>
      <c r="AH50" s="52"/>
      <c r="AI50" s="52"/>
      <c r="AJ50" s="52"/>
      <c r="AK50" s="52"/>
      <c r="AL50" s="52"/>
      <c r="AM50" s="52"/>
      <c r="AN50" s="52"/>
      <c r="AO50" s="52"/>
      <c r="AP50" s="52"/>
      <c r="AQ50" s="52"/>
      <c r="AR50" s="52"/>
      <c r="AS50" s="52"/>
    </row>
    <row r="51" spans="1:45" ht="13.2" x14ac:dyDescent="0.25">
      <c r="A51" s="16"/>
      <c r="B51" s="82"/>
      <c r="C51" s="52"/>
      <c r="D51" s="82"/>
      <c r="E51" s="91"/>
      <c r="F51" s="92"/>
      <c r="G51" s="35"/>
      <c r="H51" s="35"/>
      <c r="I51" s="35"/>
      <c r="J51" s="35"/>
      <c r="K51" s="35"/>
      <c r="L51" s="35"/>
      <c r="M51" s="35"/>
      <c r="N51" s="35"/>
      <c r="O51" s="35"/>
      <c r="P51" s="35"/>
      <c r="Q51" s="35"/>
      <c r="R51" s="35"/>
      <c r="S51" s="35"/>
      <c r="T51" s="35"/>
      <c r="U51" s="35"/>
      <c r="V51" s="35"/>
      <c r="W51" s="35"/>
      <c r="X51" s="35"/>
      <c r="Y51" s="35"/>
      <c r="Z51" s="35"/>
      <c r="AA51" s="35"/>
      <c r="AB51" s="50"/>
      <c r="AC51" s="93"/>
      <c r="AD51" s="94"/>
      <c r="AE51" s="51"/>
      <c r="AF51" s="35"/>
      <c r="AG51" s="82"/>
      <c r="AH51" s="52"/>
      <c r="AI51" s="52"/>
      <c r="AJ51" s="52"/>
      <c r="AK51" s="52"/>
      <c r="AL51" s="52"/>
      <c r="AM51" s="52"/>
      <c r="AN51" s="52"/>
      <c r="AO51" s="52"/>
      <c r="AP51" s="52"/>
      <c r="AQ51" s="52"/>
      <c r="AR51" s="52"/>
      <c r="AS51" s="52"/>
    </row>
    <row r="52" spans="1:45" ht="13.2" x14ac:dyDescent="0.25">
      <c r="A52" s="16"/>
      <c r="B52" s="82"/>
      <c r="C52" s="52"/>
      <c r="D52" s="82"/>
      <c r="E52" s="91"/>
      <c r="F52" s="92"/>
      <c r="G52" s="35"/>
      <c r="H52" s="35"/>
      <c r="I52" s="35"/>
      <c r="J52" s="35"/>
      <c r="K52" s="35"/>
      <c r="L52" s="35"/>
      <c r="M52" s="35"/>
      <c r="N52" s="35"/>
      <c r="O52" s="35"/>
      <c r="P52" s="35"/>
      <c r="Q52" s="35"/>
      <c r="R52" s="35"/>
      <c r="S52" s="35"/>
      <c r="T52" s="35"/>
      <c r="U52" s="35"/>
      <c r="V52" s="35"/>
      <c r="W52" s="35"/>
      <c r="X52" s="35"/>
      <c r="Y52" s="35"/>
      <c r="Z52" s="35"/>
      <c r="AA52" s="35"/>
      <c r="AB52" s="50"/>
      <c r="AC52" s="93"/>
      <c r="AD52" s="94"/>
      <c r="AE52" s="51"/>
      <c r="AF52" s="35"/>
      <c r="AG52" s="82"/>
      <c r="AH52" s="52"/>
      <c r="AI52" s="52"/>
      <c r="AJ52" s="52"/>
      <c r="AK52" s="52"/>
      <c r="AL52" s="52"/>
      <c r="AM52" s="52"/>
      <c r="AN52" s="52"/>
      <c r="AO52" s="52"/>
      <c r="AP52" s="52"/>
      <c r="AQ52" s="52"/>
      <c r="AR52" s="52"/>
      <c r="AS52" s="52"/>
    </row>
    <row r="53" spans="1:45" ht="13.2" x14ac:dyDescent="0.25">
      <c r="A53" s="16"/>
      <c r="B53" s="82"/>
      <c r="C53" s="52"/>
      <c r="D53" s="82"/>
      <c r="E53" s="91"/>
      <c r="F53" s="92"/>
      <c r="G53" s="35"/>
      <c r="H53" s="35"/>
      <c r="I53" s="35"/>
      <c r="J53" s="35"/>
      <c r="K53" s="35"/>
      <c r="L53" s="35"/>
      <c r="M53" s="35"/>
      <c r="N53" s="35"/>
      <c r="O53" s="35"/>
      <c r="P53" s="35"/>
      <c r="Q53" s="35"/>
      <c r="R53" s="35"/>
      <c r="S53" s="35"/>
      <c r="T53" s="35"/>
      <c r="U53" s="35"/>
      <c r="V53" s="35"/>
      <c r="W53" s="35"/>
      <c r="X53" s="35"/>
      <c r="Y53" s="35"/>
      <c r="Z53" s="35"/>
      <c r="AA53" s="35"/>
      <c r="AB53" s="50"/>
      <c r="AC53" s="93"/>
      <c r="AD53" s="94"/>
      <c r="AE53" s="51"/>
      <c r="AF53" s="35"/>
      <c r="AG53" s="82"/>
      <c r="AH53" s="52"/>
      <c r="AI53" s="52"/>
      <c r="AJ53" s="52"/>
      <c r="AK53" s="52"/>
      <c r="AL53" s="52"/>
      <c r="AM53" s="52"/>
      <c r="AN53" s="52"/>
      <c r="AO53" s="52"/>
      <c r="AP53" s="52"/>
      <c r="AQ53" s="52"/>
      <c r="AR53" s="52"/>
      <c r="AS53" s="52"/>
    </row>
    <row r="54" spans="1:45" ht="13.2" x14ac:dyDescent="0.25">
      <c r="A54" s="16"/>
      <c r="B54" s="82"/>
      <c r="C54" s="52"/>
      <c r="D54" s="82"/>
      <c r="E54" s="91"/>
      <c r="F54" s="92"/>
      <c r="G54" s="35"/>
      <c r="H54" s="35"/>
      <c r="I54" s="35"/>
      <c r="J54" s="35"/>
      <c r="K54" s="35"/>
      <c r="L54" s="35"/>
      <c r="M54" s="35"/>
      <c r="N54" s="35"/>
      <c r="O54" s="35"/>
      <c r="P54" s="35"/>
      <c r="Q54" s="35"/>
      <c r="R54" s="35"/>
      <c r="S54" s="35"/>
      <c r="T54" s="35"/>
      <c r="U54" s="35"/>
      <c r="V54" s="35"/>
      <c r="W54" s="35"/>
      <c r="X54" s="35"/>
      <c r="Y54" s="35"/>
      <c r="Z54" s="35"/>
      <c r="AA54" s="35"/>
      <c r="AB54" s="50"/>
      <c r="AC54" s="93"/>
      <c r="AD54" s="94"/>
      <c r="AE54" s="51"/>
      <c r="AF54" s="35"/>
      <c r="AG54" s="82"/>
      <c r="AH54" s="52"/>
      <c r="AI54" s="52"/>
      <c r="AJ54" s="52"/>
      <c r="AK54" s="52"/>
      <c r="AL54" s="52"/>
      <c r="AM54" s="52"/>
      <c r="AN54" s="52"/>
      <c r="AO54" s="52"/>
      <c r="AP54" s="52"/>
      <c r="AQ54" s="52"/>
      <c r="AR54" s="52"/>
      <c r="AS54" s="52"/>
    </row>
    <row r="55" spans="1:45" ht="13.2" x14ac:dyDescent="0.25">
      <c r="A55" s="16"/>
      <c r="B55" s="82"/>
      <c r="C55" s="52"/>
      <c r="D55" s="82"/>
      <c r="E55" s="91"/>
      <c r="F55" s="92"/>
      <c r="G55" s="35"/>
      <c r="H55" s="35"/>
      <c r="I55" s="35"/>
      <c r="J55" s="35"/>
      <c r="K55" s="35"/>
      <c r="L55" s="35"/>
      <c r="M55" s="35"/>
      <c r="N55" s="35"/>
      <c r="O55" s="35"/>
      <c r="P55" s="35"/>
      <c r="Q55" s="35"/>
      <c r="R55" s="35"/>
      <c r="S55" s="35"/>
      <c r="T55" s="35"/>
      <c r="U55" s="35"/>
      <c r="V55" s="35"/>
      <c r="W55" s="35"/>
      <c r="X55" s="35"/>
      <c r="Y55" s="35"/>
      <c r="Z55" s="35"/>
      <c r="AA55" s="35"/>
      <c r="AB55" s="50"/>
      <c r="AC55" s="93"/>
      <c r="AD55" s="94"/>
      <c r="AE55" s="51"/>
      <c r="AF55" s="35"/>
      <c r="AG55" s="82"/>
      <c r="AH55" s="52"/>
      <c r="AI55" s="52"/>
      <c r="AJ55" s="52"/>
      <c r="AK55" s="52"/>
      <c r="AL55" s="52"/>
      <c r="AM55" s="52"/>
      <c r="AN55" s="52"/>
      <c r="AO55" s="52"/>
      <c r="AP55" s="52"/>
      <c r="AQ55" s="52"/>
      <c r="AR55" s="52"/>
      <c r="AS55" s="52"/>
    </row>
    <row r="56" spans="1:45" ht="13.2" x14ac:dyDescent="0.25">
      <c r="A56" s="16"/>
      <c r="B56" s="82"/>
      <c r="C56" s="52"/>
      <c r="D56" s="82"/>
      <c r="E56" s="91"/>
      <c r="F56" s="92"/>
      <c r="G56" s="35"/>
      <c r="H56" s="35"/>
      <c r="I56" s="35"/>
      <c r="J56" s="35"/>
      <c r="K56" s="35"/>
      <c r="L56" s="35"/>
      <c r="M56" s="35"/>
      <c r="N56" s="35"/>
      <c r="O56" s="35"/>
      <c r="P56" s="35"/>
      <c r="Q56" s="35"/>
      <c r="R56" s="35"/>
      <c r="S56" s="35"/>
      <c r="T56" s="35"/>
      <c r="U56" s="35"/>
      <c r="V56" s="35"/>
      <c r="W56" s="35"/>
      <c r="X56" s="35"/>
      <c r="Y56" s="35"/>
      <c r="Z56" s="35"/>
      <c r="AA56" s="35"/>
      <c r="AB56" s="50"/>
      <c r="AC56" s="93"/>
      <c r="AD56" s="94"/>
      <c r="AE56" s="51"/>
      <c r="AF56" s="35"/>
      <c r="AG56" s="82"/>
      <c r="AH56" s="52"/>
      <c r="AI56" s="52"/>
      <c r="AJ56" s="52"/>
      <c r="AK56" s="52"/>
      <c r="AL56" s="52"/>
      <c r="AM56" s="52"/>
      <c r="AN56" s="52"/>
      <c r="AO56" s="52"/>
      <c r="AP56" s="52"/>
      <c r="AQ56" s="52"/>
      <c r="AR56" s="52"/>
      <c r="AS56" s="52"/>
    </row>
    <row r="57" spans="1:45" ht="13.2" x14ac:dyDescent="0.25">
      <c r="A57" s="16"/>
      <c r="B57" s="82"/>
      <c r="C57" s="52"/>
      <c r="D57" s="82"/>
      <c r="E57" s="91"/>
      <c r="F57" s="92"/>
      <c r="G57" s="35"/>
      <c r="H57" s="35"/>
      <c r="I57" s="35"/>
      <c r="J57" s="35"/>
      <c r="K57" s="35"/>
      <c r="L57" s="35"/>
      <c r="M57" s="35"/>
      <c r="N57" s="35"/>
      <c r="O57" s="35"/>
      <c r="P57" s="35"/>
      <c r="Q57" s="35"/>
      <c r="R57" s="35"/>
      <c r="S57" s="35"/>
      <c r="T57" s="35"/>
      <c r="U57" s="35"/>
      <c r="V57" s="35"/>
      <c r="W57" s="35"/>
      <c r="X57" s="35"/>
      <c r="Y57" s="35"/>
      <c r="Z57" s="35"/>
      <c r="AA57" s="35"/>
      <c r="AB57" s="50"/>
      <c r="AC57" s="93"/>
      <c r="AD57" s="94"/>
      <c r="AE57" s="51"/>
      <c r="AF57" s="35"/>
      <c r="AG57" s="82"/>
      <c r="AH57" s="52"/>
      <c r="AI57" s="52"/>
      <c r="AJ57" s="52"/>
      <c r="AK57" s="52"/>
      <c r="AL57" s="52"/>
      <c r="AM57" s="52"/>
      <c r="AN57" s="52"/>
      <c r="AO57" s="52"/>
      <c r="AP57" s="52"/>
      <c r="AQ57" s="52"/>
      <c r="AR57" s="52"/>
      <c r="AS57" s="52"/>
    </row>
    <row r="58" spans="1:45" ht="13.2" x14ac:dyDescent="0.25">
      <c r="A58" s="16"/>
      <c r="B58" s="82"/>
      <c r="C58" s="52"/>
      <c r="D58" s="82"/>
      <c r="E58" s="91"/>
      <c r="F58" s="92"/>
      <c r="G58" s="35"/>
      <c r="H58" s="35"/>
      <c r="I58" s="35"/>
      <c r="J58" s="35"/>
      <c r="K58" s="35"/>
      <c r="L58" s="35"/>
      <c r="M58" s="35"/>
      <c r="N58" s="35"/>
      <c r="O58" s="35"/>
      <c r="P58" s="35"/>
      <c r="Q58" s="35"/>
      <c r="R58" s="35"/>
      <c r="S58" s="35"/>
      <c r="T58" s="35"/>
      <c r="U58" s="35"/>
      <c r="V58" s="35"/>
      <c r="W58" s="35"/>
      <c r="X58" s="35"/>
      <c r="Y58" s="35"/>
      <c r="Z58" s="35"/>
      <c r="AA58" s="35"/>
      <c r="AB58" s="50"/>
      <c r="AC58" s="93"/>
      <c r="AD58" s="94"/>
      <c r="AE58" s="51"/>
      <c r="AF58" s="35"/>
      <c r="AG58" s="82"/>
      <c r="AH58" s="52"/>
      <c r="AI58" s="52"/>
      <c r="AJ58" s="52"/>
      <c r="AK58" s="52"/>
      <c r="AL58" s="52"/>
      <c r="AM58" s="52"/>
      <c r="AN58" s="52"/>
      <c r="AO58" s="52"/>
      <c r="AP58" s="52"/>
      <c r="AQ58" s="52"/>
      <c r="AR58" s="52"/>
      <c r="AS58" s="52"/>
    </row>
    <row r="59" spans="1:45" ht="13.2" x14ac:dyDescent="0.25">
      <c r="A59" s="16"/>
      <c r="B59" s="82"/>
      <c r="C59" s="52"/>
      <c r="D59" s="82"/>
      <c r="E59" s="91"/>
      <c r="F59" s="92"/>
      <c r="G59" s="35"/>
      <c r="H59" s="35"/>
      <c r="I59" s="35"/>
      <c r="J59" s="35"/>
      <c r="K59" s="35"/>
      <c r="L59" s="35"/>
      <c r="M59" s="35"/>
      <c r="N59" s="35"/>
      <c r="O59" s="35"/>
      <c r="P59" s="35"/>
      <c r="Q59" s="35"/>
      <c r="R59" s="35"/>
      <c r="S59" s="35"/>
      <c r="T59" s="35"/>
      <c r="U59" s="35"/>
      <c r="V59" s="35"/>
      <c r="W59" s="35"/>
      <c r="X59" s="35"/>
      <c r="Y59" s="35"/>
      <c r="Z59" s="35"/>
      <c r="AA59" s="35"/>
      <c r="AB59" s="50"/>
      <c r="AC59" s="93"/>
      <c r="AD59" s="94"/>
      <c r="AE59" s="51"/>
      <c r="AF59" s="35"/>
      <c r="AG59" s="82"/>
      <c r="AH59" s="52"/>
      <c r="AI59" s="52"/>
      <c r="AJ59" s="52"/>
      <c r="AK59" s="52"/>
      <c r="AL59" s="52"/>
      <c r="AM59" s="52"/>
      <c r="AN59" s="52"/>
      <c r="AO59" s="52"/>
      <c r="AP59" s="52"/>
      <c r="AQ59" s="52"/>
      <c r="AR59" s="52"/>
      <c r="AS59" s="52"/>
    </row>
    <row r="60" spans="1:45" ht="13.2" x14ac:dyDescent="0.25">
      <c r="A60" s="16"/>
      <c r="B60" s="82"/>
      <c r="C60" s="52"/>
      <c r="D60" s="82"/>
      <c r="E60" s="91"/>
      <c r="F60" s="92"/>
      <c r="G60" s="35"/>
      <c r="H60" s="35"/>
      <c r="I60" s="35"/>
      <c r="J60" s="35"/>
      <c r="K60" s="35"/>
      <c r="L60" s="35"/>
      <c r="M60" s="35"/>
      <c r="N60" s="35"/>
      <c r="O60" s="35"/>
      <c r="P60" s="35"/>
      <c r="Q60" s="35"/>
      <c r="R60" s="35"/>
      <c r="S60" s="35"/>
      <c r="T60" s="35"/>
      <c r="U60" s="35"/>
      <c r="V60" s="35"/>
      <c r="W60" s="35"/>
      <c r="X60" s="35"/>
      <c r="Y60" s="35"/>
      <c r="Z60" s="35"/>
      <c r="AA60" s="35"/>
      <c r="AB60" s="50"/>
      <c r="AC60" s="93"/>
      <c r="AD60" s="94"/>
      <c r="AE60" s="51"/>
      <c r="AF60" s="35"/>
      <c r="AG60" s="82"/>
      <c r="AH60" s="52"/>
      <c r="AI60" s="52"/>
      <c r="AJ60" s="52"/>
      <c r="AK60" s="52"/>
      <c r="AL60" s="52"/>
      <c r="AM60" s="52"/>
      <c r="AN60" s="52"/>
      <c r="AO60" s="52"/>
      <c r="AP60" s="52"/>
      <c r="AQ60" s="52"/>
      <c r="AR60" s="52"/>
      <c r="AS60" s="52"/>
    </row>
    <row r="61" spans="1:45" ht="13.2" x14ac:dyDescent="0.25">
      <c r="A61" s="16"/>
      <c r="B61" s="82"/>
      <c r="C61" s="52"/>
      <c r="D61" s="82"/>
      <c r="E61" s="91"/>
      <c r="F61" s="92"/>
      <c r="G61" s="35"/>
      <c r="H61" s="35"/>
      <c r="I61" s="35"/>
      <c r="J61" s="35"/>
      <c r="K61" s="35"/>
      <c r="L61" s="35"/>
      <c r="M61" s="35"/>
      <c r="N61" s="35"/>
      <c r="O61" s="35"/>
      <c r="P61" s="35"/>
      <c r="Q61" s="35"/>
      <c r="R61" s="35"/>
      <c r="S61" s="35"/>
      <c r="T61" s="35"/>
      <c r="U61" s="35"/>
      <c r="V61" s="35"/>
      <c r="W61" s="35"/>
      <c r="X61" s="35"/>
      <c r="Y61" s="35"/>
      <c r="Z61" s="35"/>
      <c r="AA61" s="35"/>
      <c r="AB61" s="50"/>
      <c r="AC61" s="93"/>
      <c r="AD61" s="94"/>
      <c r="AE61" s="51"/>
      <c r="AF61" s="35"/>
      <c r="AG61" s="82"/>
      <c r="AH61" s="52"/>
      <c r="AI61" s="52"/>
      <c r="AJ61" s="52"/>
      <c r="AK61" s="52"/>
      <c r="AL61" s="52"/>
      <c r="AM61" s="52"/>
      <c r="AN61" s="52"/>
      <c r="AO61" s="52"/>
      <c r="AP61" s="52"/>
      <c r="AQ61" s="52"/>
      <c r="AR61" s="52"/>
      <c r="AS61" s="52"/>
    </row>
    <row r="62" spans="1:45" ht="13.2" x14ac:dyDescent="0.25">
      <c r="A62" s="16"/>
      <c r="B62" s="82"/>
      <c r="C62" s="52"/>
      <c r="D62" s="82"/>
      <c r="E62" s="91"/>
      <c r="F62" s="92"/>
      <c r="G62" s="35"/>
      <c r="H62" s="35"/>
      <c r="I62" s="35"/>
      <c r="J62" s="35"/>
      <c r="K62" s="35"/>
      <c r="L62" s="35"/>
      <c r="M62" s="35"/>
      <c r="N62" s="35"/>
      <c r="O62" s="35"/>
      <c r="P62" s="35"/>
      <c r="Q62" s="35"/>
      <c r="R62" s="35"/>
      <c r="S62" s="35"/>
      <c r="T62" s="35"/>
      <c r="U62" s="35"/>
      <c r="V62" s="35"/>
      <c r="W62" s="35"/>
      <c r="X62" s="35"/>
      <c r="Y62" s="35"/>
      <c r="Z62" s="35"/>
      <c r="AA62" s="35"/>
      <c r="AB62" s="50"/>
      <c r="AC62" s="93"/>
      <c r="AD62" s="94"/>
      <c r="AE62" s="51"/>
      <c r="AF62" s="35"/>
      <c r="AG62" s="82"/>
      <c r="AH62" s="52"/>
      <c r="AI62" s="52"/>
      <c r="AJ62" s="52"/>
      <c r="AK62" s="52"/>
      <c r="AL62" s="52"/>
      <c r="AM62" s="52"/>
      <c r="AN62" s="52"/>
      <c r="AO62" s="52"/>
      <c r="AP62" s="52"/>
      <c r="AQ62" s="52"/>
      <c r="AR62" s="52"/>
      <c r="AS62" s="52"/>
    </row>
    <row r="63" spans="1:45" ht="13.2" x14ac:dyDescent="0.25">
      <c r="A63" s="16"/>
      <c r="B63" s="82"/>
      <c r="C63" s="52"/>
      <c r="D63" s="82"/>
      <c r="E63" s="91"/>
      <c r="F63" s="92"/>
      <c r="G63" s="35"/>
      <c r="H63" s="35"/>
      <c r="I63" s="35"/>
      <c r="J63" s="35"/>
      <c r="K63" s="35"/>
      <c r="L63" s="35"/>
      <c r="M63" s="35"/>
      <c r="N63" s="35"/>
      <c r="O63" s="35"/>
      <c r="P63" s="35"/>
      <c r="Q63" s="35"/>
      <c r="R63" s="35"/>
      <c r="S63" s="35"/>
      <c r="T63" s="35"/>
      <c r="U63" s="35"/>
      <c r="V63" s="35"/>
      <c r="W63" s="35"/>
      <c r="X63" s="35"/>
      <c r="Y63" s="35"/>
      <c r="Z63" s="35"/>
      <c r="AA63" s="35"/>
      <c r="AB63" s="50"/>
      <c r="AC63" s="93"/>
      <c r="AD63" s="94"/>
      <c r="AE63" s="51"/>
      <c r="AF63" s="35"/>
      <c r="AG63" s="82"/>
      <c r="AH63" s="52"/>
      <c r="AI63" s="52"/>
      <c r="AJ63" s="52"/>
      <c r="AK63" s="52"/>
      <c r="AL63" s="52"/>
      <c r="AM63" s="52"/>
      <c r="AN63" s="52"/>
      <c r="AO63" s="52"/>
      <c r="AP63" s="52"/>
      <c r="AQ63" s="52"/>
      <c r="AR63" s="52"/>
      <c r="AS63" s="52"/>
    </row>
    <row r="64" spans="1:45" ht="13.2" x14ac:dyDescent="0.25">
      <c r="A64" s="16"/>
      <c r="B64" s="82"/>
      <c r="C64" s="52"/>
      <c r="D64" s="82"/>
      <c r="E64" s="91"/>
      <c r="F64" s="92"/>
      <c r="G64" s="35"/>
      <c r="H64" s="35"/>
      <c r="I64" s="35"/>
      <c r="J64" s="35"/>
      <c r="K64" s="35"/>
      <c r="L64" s="35"/>
      <c r="M64" s="35"/>
      <c r="N64" s="35"/>
      <c r="O64" s="35"/>
      <c r="P64" s="35"/>
      <c r="Q64" s="35"/>
      <c r="R64" s="35"/>
      <c r="S64" s="35"/>
      <c r="T64" s="35"/>
      <c r="U64" s="35"/>
      <c r="V64" s="35"/>
      <c r="W64" s="35"/>
      <c r="X64" s="35"/>
      <c r="Y64" s="35"/>
      <c r="Z64" s="35"/>
      <c r="AA64" s="35"/>
      <c r="AB64" s="50"/>
      <c r="AC64" s="93"/>
      <c r="AD64" s="94"/>
      <c r="AE64" s="51"/>
      <c r="AF64" s="35"/>
      <c r="AG64" s="82"/>
      <c r="AH64" s="52"/>
      <c r="AI64" s="52"/>
      <c r="AJ64" s="52"/>
      <c r="AK64" s="52"/>
      <c r="AL64" s="52"/>
      <c r="AM64" s="52"/>
      <c r="AN64" s="52"/>
      <c r="AO64" s="52"/>
      <c r="AP64" s="52"/>
      <c r="AQ64" s="52"/>
      <c r="AR64" s="52"/>
      <c r="AS64" s="52"/>
    </row>
    <row r="65" spans="1:45" ht="13.2" x14ac:dyDescent="0.25">
      <c r="A65" s="16"/>
      <c r="B65" s="82"/>
      <c r="C65" s="52"/>
      <c r="D65" s="82"/>
      <c r="E65" s="91"/>
      <c r="F65" s="92"/>
      <c r="G65" s="35"/>
      <c r="H65" s="35"/>
      <c r="I65" s="35"/>
      <c r="J65" s="35"/>
      <c r="K65" s="35"/>
      <c r="L65" s="35"/>
      <c r="M65" s="35"/>
      <c r="N65" s="35"/>
      <c r="O65" s="35"/>
      <c r="P65" s="35"/>
      <c r="Q65" s="35"/>
      <c r="R65" s="35"/>
      <c r="S65" s="35"/>
      <c r="T65" s="35"/>
      <c r="U65" s="35"/>
      <c r="V65" s="35"/>
      <c r="W65" s="35"/>
      <c r="X65" s="35"/>
      <c r="Y65" s="35"/>
      <c r="Z65" s="35"/>
      <c r="AA65" s="35"/>
      <c r="AB65" s="50"/>
      <c r="AC65" s="93"/>
      <c r="AD65" s="94"/>
      <c r="AE65" s="51"/>
      <c r="AF65" s="35"/>
      <c r="AG65" s="82"/>
      <c r="AH65" s="52"/>
      <c r="AI65" s="52"/>
      <c r="AJ65" s="52"/>
      <c r="AK65" s="52"/>
      <c r="AL65" s="52"/>
      <c r="AM65" s="52"/>
      <c r="AN65" s="52"/>
      <c r="AO65" s="52"/>
      <c r="AP65" s="52"/>
      <c r="AQ65" s="52"/>
      <c r="AR65" s="52"/>
      <c r="AS65" s="52"/>
    </row>
    <row r="66" spans="1:45" ht="13.2" x14ac:dyDescent="0.25">
      <c r="A66" s="16"/>
      <c r="B66" s="82"/>
      <c r="C66" s="52"/>
      <c r="D66" s="82"/>
      <c r="E66" s="91"/>
      <c r="F66" s="92"/>
      <c r="G66" s="35"/>
      <c r="H66" s="35"/>
      <c r="I66" s="35"/>
      <c r="J66" s="35"/>
      <c r="K66" s="35"/>
      <c r="L66" s="35"/>
      <c r="M66" s="35"/>
      <c r="N66" s="35"/>
      <c r="O66" s="35"/>
      <c r="P66" s="35"/>
      <c r="Q66" s="35"/>
      <c r="R66" s="35"/>
      <c r="S66" s="35"/>
      <c r="T66" s="35"/>
      <c r="U66" s="35"/>
      <c r="V66" s="35"/>
      <c r="W66" s="35"/>
      <c r="X66" s="35"/>
      <c r="Y66" s="35"/>
      <c r="Z66" s="35"/>
      <c r="AA66" s="35"/>
      <c r="AB66" s="50"/>
      <c r="AC66" s="93"/>
      <c r="AD66" s="94"/>
      <c r="AE66" s="51"/>
      <c r="AF66" s="35"/>
      <c r="AG66" s="82"/>
      <c r="AH66" s="52"/>
      <c r="AI66" s="52"/>
      <c r="AJ66" s="52"/>
      <c r="AK66" s="52"/>
      <c r="AL66" s="52"/>
      <c r="AM66" s="52"/>
      <c r="AN66" s="52"/>
      <c r="AO66" s="52"/>
      <c r="AP66" s="52"/>
      <c r="AQ66" s="52"/>
      <c r="AR66" s="52"/>
      <c r="AS66" s="52"/>
    </row>
    <row r="67" spans="1:45" ht="13.2" x14ac:dyDescent="0.25">
      <c r="A67" s="16"/>
      <c r="B67" s="82"/>
      <c r="C67" s="52"/>
      <c r="D67" s="82"/>
      <c r="E67" s="91"/>
      <c r="F67" s="92"/>
      <c r="G67" s="35"/>
      <c r="H67" s="35"/>
      <c r="I67" s="35"/>
      <c r="J67" s="35"/>
      <c r="K67" s="35"/>
      <c r="L67" s="35"/>
      <c r="M67" s="35"/>
      <c r="N67" s="35"/>
      <c r="O67" s="35"/>
      <c r="P67" s="35"/>
      <c r="Q67" s="35"/>
      <c r="R67" s="35"/>
      <c r="S67" s="35"/>
      <c r="T67" s="35"/>
      <c r="U67" s="35"/>
      <c r="V67" s="35"/>
      <c r="W67" s="35"/>
      <c r="X67" s="35"/>
      <c r="Y67" s="35"/>
      <c r="Z67" s="35"/>
      <c r="AA67" s="35"/>
      <c r="AB67" s="50"/>
      <c r="AC67" s="93"/>
      <c r="AD67" s="94"/>
      <c r="AE67" s="51"/>
      <c r="AF67" s="35"/>
      <c r="AG67" s="82"/>
      <c r="AH67" s="52"/>
      <c r="AI67" s="52"/>
      <c r="AJ67" s="52"/>
      <c r="AK67" s="52"/>
      <c r="AL67" s="52"/>
      <c r="AM67" s="52"/>
      <c r="AN67" s="52"/>
      <c r="AO67" s="52"/>
      <c r="AP67" s="52"/>
      <c r="AQ67" s="52"/>
      <c r="AR67" s="52"/>
      <c r="AS67" s="52"/>
    </row>
    <row r="68" spans="1:45" ht="13.2" x14ac:dyDescent="0.25">
      <c r="A68" s="16"/>
      <c r="B68" s="82"/>
      <c r="C68" s="52"/>
      <c r="D68" s="82"/>
      <c r="E68" s="91"/>
      <c r="F68" s="92"/>
      <c r="G68" s="35"/>
      <c r="H68" s="35"/>
      <c r="I68" s="35"/>
      <c r="J68" s="35"/>
      <c r="K68" s="35"/>
      <c r="L68" s="35"/>
      <c r="M68" s="35"/>
      <c r="N68" s="35"/>
      <c r="O68" s="35"/>
      <c r="P68" s="35"/>
      <c r="Q68" s="35"/>
      <c r="R68" s="35"/>
      <c r="S68" s="35"/>
      <c r="T68" s="35"/>
      <c r="U68" s="35"/>
      <c r="V68" s="35"/>
      <c r="W68" s="35"/>
      <c r="X68" s="35"/>
      <c r="Y68" s="35"/>
      <c r="Z68" s="35"/>
      <c r="AA68" s="35"/>
      <c r="AB68" s="50"/>
      <c r="AC68" s="93"/>
      <c r="AD68" s="94"/>
      <c r="AE68" s="51"/>
      <c r="AF68" s="35"/>
      <c r="AG68" s="82"/>
      <c r="AH68" s="52"/>
      <c r="AI68" s="52"/>
      <c r="AJ68" s="52"/>
      <c r="AK68" s="52"/>
      <c r="AL68" s="52"/>
      <c r="AM68" s="52"/>
      <c r="AN68" s="52"/>
      <c r="AO68" s="52"/>
      <c r="AP68" s="52"/>
      <c r="AQ68" s="52"/>
      <c r="AR68" s="52"/>
      <c r="AS68" s="52"/>
    </row>
    <row r="69" spans="1:45" ht="13.2" x14ac:dyDescent="0.25">
      <c r="A69" s="16"/>
      <c r="B69" s="82"/>
      <c r="C69" s="52"/>
      <c r="D69" s="82"/>
      <c r="E69" s="91"/>
      <c r="F69" s="92"/>
      <c r="G69" s="35"/>
      <c r="H69" s="35"/>
      <c r="I69" s="35"/>
      <c r="J69" s="35"/>
      <c r="K69" s="35"/>
      <c r="L69" s="35"/>
      <c r="M69" s="35"/>
      <c r="N69" s="35"/>
      <c r="O69" s="35"/>
      <c r="P69" s="35"/>
      <c r="Q69" s="35"/>
      <c r="R69" s="35"/>
      <c r="S69" s="35"/>
      <c r="T69" s="35"/>
      <c r="U69" s="35"/>
      <c r="V69" s="35"/>
      <c r="W69" s="35"/>
      <c r="X69" s="35"/>
      <c r="Y69" s="35"/>
      <c r="Z69" s="35"/>
      <c r="AA69" s="35"/>
      <c r="AB69" s="50"/>
      <c r="AC69" s="93"/>
      <c r="AD69" s="94"/>
      <c r="AE69" s="51"/>
      <c r="AF69" s="35"/>
      <c r="AG69" s="82"/>
      <c r="AH69" s="52"/>
      <c r="AI69" s="52"/>
      <c r="AJ69" s="52"/>
      <c r="AK69" s="52"/>
      <c r="AL69" s="52"/>
      <c r="AM69" s="52"/>
      <c r="AN69" s="52"/>
      <c r="AO69" s="52"/>
      <c r="AP69" s="52"/>
      <c r="AQ69" s="52"/>
      <c r="AR69" s="52"/>
      <c r="AS69" s="52"/>
    </row>
    <row r="70" spans="1:45" ht="13.2" x14ac:dyDescent="0.25">
      <c r="A70" s="16"/>
      <c r="B70" s="82"/>
      <c r="C70" s="52"/>
      <c r="D70" s="82"/>
      <c r="E70" s="91"/>
      <c r="F70" s="92"/>
      <c r="G70" s="35"/>
      <c r="H70" s="35"/>
      <c r="I70" s="35"/>
      <c r="J70" s="35"/>
      <c r="K70" s="35"/>
      <c r="L70" s="35"/>
      <c r="M70" s="35"/>
      <c r="N70" s="35"/>
      <c r="O70" s="35"/>
      <c r="P70" s="35"/>
      <c r="Q70" s="35"/>
      <c r="R70" s="35"/>
      <c r="S70" s="35"/>
      <c r="T70" s="35"/>
      <c r="U70" s="35"/>
      <c r="V70" s="35"/>
      <c r="W70" s="35"/>
      <c r="X70" s="35"/>
      <c r="Y70" s="35"/>
      <c r="Z70" s="35"/>
      <c r="AA70" s="35"/>
      <c r="AB70" s="50"/>
      <c r="AC70" s="93"/>
      <c r="AD70" s="94"/>
      <c r="AE70" s="51"/>
      <c r="AF70" s="35"/>
      <c r="AG70" s="82"/>
      <c r="AH70" s="52"/>
      <c r="AI70" s="52"/>
      <c r="AJ70" s="52"/>
      <c r="AK70" s="52"/>
      <c r="AL70" s="52"/>
      <c r="AM70" s="52"/>
      <c r="AN70" s="52"/>
      <c r="AO70" s="52"/>
      <c r="AP70" s="52"/>
      <c r="AQ70" s="52"/>
      <c r="AR70" s="52"/>
      <c r="AS70" s="52"/>
    </row>
    <row r="71" spans="1:45" ht="13.2" x14ac:dyDescent="0.25">
      <c r="A71" s="16"/>
      <c r="B71" s="82"/>
      <c r="C71" s="52"/>
      <c r="D71" s="82"/>
      <c r="E71" s="91"/>
      <c r="F71" s="92"/>
      <c r="G71" s="35"/>
      <c r="H71" s="35"/>
      <c r="I71" s="35"/>
      <c r="J71" s="35"/>
      <c r="K71" s="35"/>
      <c r="L71" s="35"/>
      <c r="M71" s="35"/>
      <c r="N71" s="35"/>
      <c r="O71" s="35"/>
      <c r="P71" s="35"/>
      <c r="Q71" s="35"/>
      <c r="R71" s="35"/>
      <c r="S71" s="35"/>
      <c r="T71" s="35"/>
      <c r="U71" s="35"/>
      <c r="V71" s="35"/>
      <c r="W71" s="35"/>
      <c r="X71" s="35"/>
      <c r="Y71" s="35"/>
      <c r="Z71" s="35"/>
      <c r="AA71" s="35"/>
      <c r="AB71" s="50"/>
      <c r="AC71" s="93"/>
      <c r="AD71" s="94"/>
      <c r="AE71" s="51"/>
      <c r="AF71" s="35"/>
      <c r="AG71" s="82"/>
      <c r="AH71" s="52"/>
      <c r="AI71" s="52"/>
      <c r="AJ71" s="52"/>
      <c r="AK71" s="52"/>
      <c r="AL71" s="52"/>
      <c r="AM71" s="52"/>
      <c r="AN71" s="52"/>
      <c r="AO71" s="52"/>
      <c r="AP71" s="52"/>
      <c r="AQ71" s="52"/>
      <c r="AR71" s="52"/>
      <c r="AS71" s="52"/>
    </row>
    <row r="72" spans="1:45" ht="13.2" x14ac:dyDescent="0.25">
      <c r="A72" s="16"/>
      <c r="B72" s="82"/>
      <c r="C72" s="52"/>
      <c r="D72" s="82"/>
      <c r="E72" s="91"/>
      <c r="F72" s="92"/>
      <c r="G72" s="35"/>
      <c r="H72" s="35"/>
      <c r="I72" s="35"/>
      <c r="J72" s="35"/>
      <c r="K72" s="35"/>
      <c r="L72" s="35"/>
      <c r="M72" s="35"/>
      <c r="N72" s="35"/>
      <c r="O72" s="35"/>
      <c r="P72" s="35"/>
      <c r="Q72" s="35"/>
      <c r="R72" s="35"/>
      <c r="S72" s="35"/>
      <c r="T72" s="35"/>
      <c r="U72" s="35"/>
      <c r="V72" s="35"/>
      <c r="W72" s="35"/>
      <c r="X72" s="35"/>
      <c r="Y72" s="35"/>
      <c r="Z72" s="35"/>
      <c r="AA72" s="35"/>
      <c r="AB72" s="50"/>
      <c r="AC72" s="93"/>
      <c r="AD72" s="94"/>
      <c r="AE72" s="51"/>
      <c r="AF72" s="35"/>
      <c r="AG72" s="82"/>
      <c r="AH72" s="52"/>
      <c r="AI72" s="52"/>
      <c r="AJ72" s="52"/>
      <c r="AK72" s="52"/>
      <c r="AL72" s="52"/>
      <c r="AM72" s="52"/>
      <c r="AN72" s="52"/>
      <c r="AO72" s="52"/>
      <c r="AP72" s="52"/>
      <c r="AQ72" s="52"/>
      <c r="AR72" s="52"/>
      <c r="AS72" s="52"/>
    </row>
    <row r="73" spans="1:45" ht="13.2" x14ac:dyDescent="0.25">
      <c r="A73" s="16"/>
      <c r="B73" s="82"/>
      <c r="C73" s="52"/>
      <c r="D73" s="82"/>
      <c r="E73" s="91"/>
      <c r="F73" s="92"/>
      <c r="G73" s="35"/>
      <c r="H73" s="35"/>
      <c r="I73" s="35"/>
      <c r="J73" s="35"/>
      <c r="K73" s="35"/>
      <c r="L73" s="35"/>
      <c r="M73" s="35"/>
      <c r="N73" s="35"/>
      <c r="O73" s="35"/>
      <c r="P73" s="35"/>
      <c r="Q73" s="35"/>
      <c r="R73" s="35"/>
      <c r="S73" s="35"/>
      <c r="T73" s="35"/>
      <c r="U73" s="35"/>
      <c r="V73" s="35"/>
      <c r="W73" s="35"/>
      <c r="X73" s="35"/>
      <c r="Y73" s="35"/>
      <c r="Z73" s="35"/>
      <c r="AA73" s="35"/>
      <c r="AB73" s="50"/>
      <c r="AC73" s="93"/>
      <c r="AD73" s="94"/>
      <c r="AE73" s="51"/>
      <c r="AF73" s="35"/>
      <c r="AG73" s="82"/>
      <c r="AH73" s="52"/>
      <c r="AI73" s="52"/>
      <c r="AJ73" s="52"/>
      <c r="AK73" s="52"/>
      <c r="AL73" s="52"/>
      <c r="AM73" s="52"/>
      <c r="AN73" s="52"/>
      <c r="AO73" s="52"/>
      <c r="AP73" s="52"/>
      <c r="AQ73" s="52"/>
      <c r="AR73" s="52"/>
      <c r="AS73" s="52"/>
    </row>
    <row r="74" spans="1:45" ht="13.2" x14ac:dyDescent="0.25">
      <c r="A74" s="16"/>
      <c r="B74" s="82"/>
      <c r="C74" s="52"/>
      <c r="D74" s="82"/>
      <c r="E74" s="91"/>
      <c r="F74" s="92"/>
      <c r="G74" s="35"/>
      <c r="H74" s="35"/>
      <c r="I74" s="35"/>
      <c r="J74" s="35"/>
      <c r="K74" s="35"/>
      <c r="L74" s="35"/>
      <c r="M74" s="35"/>
      <c r="N74" s="35"/>
      <c r="O74" s="35"/>
      <c r="P74" s="35"/>
      <c r="Q74" s="35"/>
      <c r="R74" s="35"/>
      <c r="S74" s="35"/>
      <c r="T74" s="35"/>
      <c r="U74" s="35"/>
      <c r="V74" s="35"/>
      <c r="W74" s="35"/>
      <c r="X74" s="35"/>
      <c r="Y74" s="35"/>
      <c r="Z74" s="35"/>
      <c r="AA74" s="35"/>
      <c r="AB74" s="50"/>
      <c r="AC74" s="93"/>
      <c r="AD74" s="94"/>
      <c r="AE74" s="51"/>
      <c r="AF74" s="35"/>
      <c r="AG74" s="82"/>
      <c r="AH74" s="52"/>
      <c r="AI74" s="52"/>
      <c r="AJ74" s="52"/>
      <c r="AK74" s="52"/>
      <c r="AL74" s="52"/>
      <c r="AM74" s="52"/>
      <c r="AN74" s="52"/>
      <c r="AO74" s="52"/>
      <c r="AP74" s="52"/>
      <c r="AQ74" s="52"/>
      <c r="AR74" s="52"/>
      <c r="AS74" s="52"/>
    </row>
    <row r="75" spans="1:45" ht="13.2" x14ac:dyDescent="0.25">
      <c r="A75" s="16"/>
      <c r="B75" s="82"/>
      <c r="C75" s="52"/>
      <c r="D75" s="82"/>
      <c r="E75" s="91"/>
      <c r="F75" s="92"/>
      <c r="G75" s="35"/>
      <c r="H75" s="35"/>
      <c r="I75" s="35"/>
      <c r="J75" s="35"/>
      <c r="K75" s="35"/>
      <c r="L75" s="35"/>
      <c r="M75" s="35"/>
      <c r="N75" s="35"/>
      <c r="O75" s="35"/>
      <c r="P75" s="35"/>
      <c r="Q75" s="35"/>
      <c r="R75" s="35"/>
      <c r="S75" s="35"/>
      <c r="T75" s="35"/>
      <c r="U75" s="35"/>
      <c r="V75" s="35"/>
      <c r="W75" s="35"/>
      <c r="X75" s="35"/>
      <c r="Y75" s="35"/>
      <c r="Z75" s="35"/>
      <c r="AA75" s="35"/>
      <c r="AB75" s="50"/>
      <c r="AC75" s="93"/>
      <c r="AD75" s="94"/>
      <c r="AE75" s="51"/>
      <c r="AF75" s="35"/>
      <c r="AG75" s="82"/>
      <c r="AH75" s="52"/>
      <c r="AI75" s="52"/>
      <c r="AJ75" s="52"/>
      <c r="AK75" s="52"/>
      <c r="AL75" s="52"/>
      <c r="AM75" s="52"/>
      <c r="AN75" s="52"/>
      <c r="AO75" s="52"/>
      <c r="AP75" s="52"/>
      <c r="AQ75" s="52"/>
      <c r="AR75" s="52"/>
      <c r="AS75" s="52"/>
    </row>
    <row r="76" spans="1:45" ht="13.2" x14ac:dyDescent="0.25">
      <c r="A76" s="16"/>
      <c r="B76" s="82"/>
      <c r="C76" s="52"/>
      <c r="D76" s="82"/>
      <c r="E76" s="91"/>
      <c r="F76" s="92"/>
      <c r="G76" s="35"/>
      <c r="H76" s="35"/>
      <c r="I76" s="35"/>
      <c r="J76" s="35"/>
      <c r="K76" s="35"/>
      <c r="L76" s="35"/>
      <c r="M76" s="35"/>
      <c r="N76" s="35"/>
      <c r="O76" s="35"/>
      <c r="P76" s="35"/>
      <c r="Q76" s="35"/>
      <c r="R76" s="35"/>
      <c r="S76" s="35"/>
      <c r="T76" s="35"/>
      <c r="U76" s="35"/>
      <c r="V76" s="35"/>
      <c r="W76" s="35"/>
      <c r="X76" s="35"/>
      <c r="Y76" s="35"/>
      <c r="Z76" s="35"/>
      <c r="AA76" s="35"/>
      <c r="AB76" s="50"/>
      <c r="AC76" s="93"/>
      <c r="AD76" s="94"/>
      <c r="AE76" s="51"/>
      <c r="AF76" s="35"/>
      <c r="AG76" s="82"/>
      <c r="AH76" s="52"/>
      <c r="AI76" s="52"/>
      <c r="AJ76" s="52"/>
      <c r="AK76" s="52"/>
      <c r="AL76" s="52"/>
      <c r="AM76" s="52"/>
      <c r="AN76" s="52"/>
      <c r="AO76" s="52"/>
      <c r="AP76" s="52"/>
      <c r="AQ76" s="52"/>
      <c r="AR76" s="52"/>
      <c r="AS76" s="52"/>
    </row>
    <row r="77" spans="1:45" ht="13.2" x14ac:dyDescent="0.25">
      <c r="A77" s="16"/>
      <c r="B77" s="82"/>
      <c r="C77" s="52"/>
      <c r="D77" s="82"/>
      <c r="E77" s="91"/>
      <c r="F77" s="92"/>
      <c r="G77" s="35"/>
      <c r="H77" s="35"/>
      <c r="I77" s="35"/>
      <c r="J77" s="35"/>
      <c r="K77" s="35"/>
      <c r="L77" s="35"/>
      <c r="M77" s="35"/>
      <c r="N77" s="35"/>
      <c r="O77" s="35"/>
      <c r="P77" s="35"/>
      <c r="Q77" s="35"/>
      <c r="R77" s="35"/>
      <c r="S77" s="35"/>
      <c r="T77" s="35"/>
      <c r="U77" s="35"/>
      <c r="V77" s="35"/>
      <c r="W77" s="35"/>
      <c r="X77" s="35"/>
      <c r="Y77" s="35"/>
      <c r="Z77" s="35"/>
      <c r="AA77" s="35"/>
      <c r="AB77" s="50"/>
      <c r="AC77" s="93"/>
      <c r="AD77" s="94"/>
      <c r="AE77" s="51"/>
      <c r="AF77" s="35"/>
      <c r="AG77" s="82"/>
      <c r="AH77" s="52"/>
      <c r="AI77" s="52"/>
      <c r="AJ77" s="52"/>
      <c r="AK77" s="52"/>
      <c r="AL77" s="52"/>
      <c r="AM77" s="52"/>
      <c r="AN77" s="52"/>
      <c r="AO77" s="52"/>
      <c r="AP77" s="52"/>
      <c r="AQ77" s="52"/>
      <c r="AR77" s="52"/>
      <c r="AS77" s="52"/>
    </row>
    <row r="78" spans="1:45" ht="13.2" x14ac:dyDescent="0.25">
      <c r="A78" s="16"/>
      <c r="B78" s="82"/>
      <c r="C78" s="52"/>
      <c r="D78" s="82"/>
      <c r="E78" s="91"/>
      <c r="F78" s="92"/>
      <c r="G78" s="35"/>
      <c r="H78" s="35"/>
      <c r="I78" s="35"/>
      <c r="J78" s="35"/>
      <c r="K78" s="35"/>
      <c r="L78" s="35"/>
      <c r="M78" s="35"/>
      <c r="N78" s="35"/>
      <c r="O78" s="35"/>
      <c r="P78" s="35"/>
      <c r="Q78" s="35"/>
      <c r="R78" s="35"/>
      <c r="S78" s="35"/>
      <c r="T78" s="35"/>
      <c r="U78" s="35"/>
      <c r="V78" s="35"/>
      <c r="W78" s="35"/>
      <c r="X78" s="35"/>
      <c r="Y78" s="35"/>
      <c r="Z78" s="35"/>
      <c r="AA78" s="35"/>
      <c r="AB78" s="50"/>
      <c r="AC78" s="93"/>
      <c r="AD78" s="94"/>
      <c r="AE78" s="51"/>
      <c r="AF78" s="35"/>
      <c r="AG78" s="82"/>
      <c r="AH78" s="52"/>
      <c r="AI78" s="52"/>
      <c r="AJ78" s="52"/>
      <c r="AK78" s="52"/>
      <c r="AL78" s="52"/>
      <c r="AM78" s="52"/>
      <c r="AN78" s="52"/>
      <c r="AO78" s="52"/>
      <c r="AP78" s="52"/>
      <c r="AQ78" s="52"/>
      <c r="AR78" s="52"/>
      <c r="AS78" s="52"/>
    </row>
    <row r="79" spans="1:45" ht="13.2" x14ac:dyDescent="0.25">
      <c r="A79" s="16"/>
      <c r="B79" s="82"/>
      <c r="C79" s="52"/>
      <c r="D79" s="82"/>
      <c r="E79" s="91"/>
      <c r="F79" s="92"/>
      <c r="G79" s="35"/>
      <c r="H79" s="35"/>
      <c r="I79" s="35"/>
      <c r="J79" s="35"/>
      <c r="K79" s="35"/>
      <c r="L79" s="35"/>
      <c r="M79" s="35"/>
      <c r="N79" s="35"/>
      <c r="O79" s="35"/>
      <c r="P79" s="35"/>
      <c r="Q79" s="35"/>
      <c r="R79" s="35"/>
      <c r="S79" s="35"/>
      <c r="T79" s="35"/>
      <c r="U79" s="35"/>
      <c r="V79" s="35"/>
      <c r="W79" s="35"/>
      <c r="X79" s="35"/>
      <c r="Y79" s="35"/>
      <c r="Z79" s="35"/>
      <c r="AA79" s="35"/>
      <c r="AB79" s="50"/>
      <c r="AC79" s="93"/>
      <c r="AD79" s="94"/>
      <c r="AE79" s="51"/>
      <c r="AF79" s="35"/>
      <c r="AG79" s="82"/>
      <c r="AH79" s="52"/>
      <c r="AI79" s="52"/>
      <c r="AJ79" s="52"/>
      <c r="AK79" s="52"/>
      <c r="AL79" s="52"/>
      <c r="AM79" s="52"/>
      <c r="AN79" s="52"/>
      <c r="AO79" s="52"/>
      <c r="AP79" s="52"/>
      <c r="AQ79" s="52"/>
      <c r="AR79" s="52"/>
      <c r="AS79" s="52"/>
    </row>
    <row r="80" spans="1:45" ht="13.2" x14ac:dyDescent="0.25">
      <c r="A80" s="16"/>
      <c r="B80" s="82"/>
      <c r="C80" s="52"/>
      <c r="D80" s="82"/>
      <c r="E80" s="91"/>
      <c r="F80" s="92"/>
      <c r="G80" s="35"/>
      <c r="H80" s="35"/>
      <c r="I80" s="35"/>
      <c r="J80" s="35"/>
      <c r="K80" s="35"/>
      <c r="L80" s="35"/>
      <c r="M80" s="35"/>
      <c r="N80" s="35"/>
      <c r="O80" s="35"/>
      <c r="P80" s="35"/>
      <c r="Q80" s="35"/>
      <c r="R80" s="35"/>
      <c r="S80" s="35"/>
      <c r="T80" s="35"/>
      <c r="U80" s="35"/>
      <c r="V80" s="35"/>
      <c r="W80" s="35"/>
      <c r="X80" s="35"/>
      <c r="Y80" s="35"/>
      <c r="Z80" s="35"/>
      <c r="AA80" s="35"/>
      <c r="AB80" s="50"/>
      <c r="AC80" s="93"/>
      <c r="AD80" s="94"/>
      <c r="AE80" s="51"/>
      <c r="AF80" s="35"/>
      <c r="AG80" s="82"/>
      <c r="AH80" s="52"/>
      <c r="AI80" s="52"/>
      <c r="AJ80" s="52"/>
      <c r="AK80" s="52"/>
      <c r="AL80" s="52"/>
      <c r="AM80" s="52"/>
      <c r="AN80" s="52"/>
      <c r="AO80" s="52"/>
      <c r="AP80" s="52"/>
      <c r="AQ80" s="52"/>
      <c r="AR80" s="52"/>
      <c r="AS80" s="52"/>
    </row>
    <row r="81" spans="1:45" ht="13.2" x14ac:dyDescent="0.25">
      <c r="A81" s="16"/>
      <c r="B81" s="82"/>
      <c r="C81" s="52"/>
      <c r="D81" s="82"/>
      <c r="E81" s="91"/>
      <c r="F81" s="92"/>
      <c r="G81" s="35"/>
      <c r="H81" s="35"/>
      <c r="I81" s="35"/>
      <c r="J81" s="35"/>
      <c r="K81" s="35"/>
      <c r="L81" s="35"/>
      <c r="M81" s="35"/>
      <c r="N81" s="35"/>
      <c r="O81" s="35"/>
      <c r="P81" s="35"/>
      <c r="Q81" s="35"/>
      <c r="R81" s="35"/>
      <c r="S81" s="35"/>
      <c r="T81" s="35"/>
      <c r="U81" s="35"/>
      <c r="V81" s="35"/>
      <c r="W81" s="35"/>
      <c r="X81" s="35"/>
      <c r="Y81" s="35"/>
      <c r="Z81" s="35"/>
      <c r="AA81" s="35"/>
      <c r="AB81" s="50"/>
      <c r="AC81" s="93"/>
      <c r="AD81" s="94"/>
      <c r="AE81" s="51"/>
      <c r="AF81" s="35"/>
      <c r="AG81" s="82"/>
      <c r="AH81" s="52"/>
      <c r="AI81" s="52"/>
      <c r="AJ81" s="52"/>
      <c r="AK81" s="52"/>
      <c r="AL81" s="52"/>
      <c r="AM81" s="52"/>
      <c r="AN81" s="52"/>
      <c r="AO81" s="52"/>
      <c r="AP81" s="52"/>
      <c r="AQ81" s="52"/>
      <c r="AR81" s="52"/>
      <c r="AS81" s="52"/>
    </row>
    <row r="82" spans="1:45" ht="13.2" x14ac:dyDescent="0.25">
      <c r="A82" s="16"/>
      <c r="B82" s="82"/>
      <c r="C82" s="52"/>
      <c r="D82" s="82"/>
      <c r="E82" s="91"/>
      <c r="F82" s="92"/>
      <c r="G82" s="35"/>
      <c r="H82" s="35"/>
      <c r="I82" s="35"/>
      <c r="J82" s="35"/>
      <c r="K82" s="35"/>
      <c r="L82" s="35"/>
      <c r="M82" s="35"/>
      <c r="N82" s="35"/>
      <c r="O82" s="35"/>
      <c r="P82" s="35"/>
      <c r="Q82" s="35"/>
      <c r="R82" s="35"/>
      <c r="S82" s="35"/>
      <c r="T82" s="35"/>
      <c r="U82" s="35"/>
      <c r="V82" s="35"/>
      <c r="W82" s="35"/>
      <c r="X82" s="35"/>
      <c r="Y82" s="35"/>
      <c r="Z82" s="35"/>
      <c r="AA82" s="35"/>
      <c r="AB82" s="50"/>
      <c r="AC82" s="93"/>
      <c r="AD82" s="94"/>
      <c r="AE82" s="51"/>
      <c r="AF82" s="35"/>
      <c r="AG82" s="82"/>
      <c r="AH82" s="52"/>
      <c r="AI82" s="52"/>
      <c r="AJ82" s="52"/>
      <c r="AK82" s="52"/>
      <c r="AL82" s="52"/>
      <c r="AM82" s="52"/>
      <c r="AN82" s="52"/>
      <c r="AO82" s="52"/>
      <c r="AP82" s="52"/>
      <c r="AQ82" s="52"/>
      <c r="AR82" s="52"/>
      <c r="AS82" s="52"/>
    </row>
    <row r="83" spans="1:45" ht="13.2" x14ac:dyDescent="0.25">
      <c r="A83" s="16"/>
      <c r="B83" s="82"/>
      <c r="C83" s="52"/>
      <c r="D83" s="82"/>
      <c r="E83" s="91"/>
      <c r="F83" s="92"/>
      <c r="G83" s="35"/>
      <c r="H83" s="35"/>
      <c r="I83" s="35"/>
      <c r="J83" s="35"/>
      <c r="K83" s="35"/>
      <c r="L83" s="35"/>
      <c r="M83" s="35"/>
      <c r="N83" s="35"/>
      <c r="O83" s="35"/>
      <c r="P83" s="35"/>
      <c r="Q83" s="35"/>
      <c r="R83" s="35"/>
      <c r="S83" s="35"/>
      <c r="T83" s="35"/>
      <c r="U83" s="35"/>
      <c r="V83" s="35"/>
      <c r="W83" s="35"/>
      <c r="X83" s="35"/>
      <c r="Y83" s="35"/>
      <c r="Z83" s="35"/>
      <c r="AA83" s="35"/>
      <c r="AB83" s="50"/>
      <c r="AC83" s="93"/>
      <c r="AD83" s="94"/>
      <c r="AE83" s="51"/>
      <c r="AF83" s="35"/>
      <c r="AG83" s="82"/>
      <c r="AH83" s="52"/>
      <c r="AI83" s="52"/>
      <c r="AJ83" s="52"/>
      <c r="AK83" s="52"/>
      <c r="AL83" s="52"/>
      <c r="AM83" s="52"/>
      <c r="AN83" s="52"/>
      <c r="AO83" s="52"/>
      <c r="AP83" s="52"/>
      <c r="AQ83" s="52"/>
      <c r="AR83" s="52"/>
      <c r="AS83" s="52"/>
    </row>
    <row r="84" spans="1:45" ht="13.2" x14ac:dyDescent="0.25">
      <c r="A84" s="16"/>
      <c r="B84" s="82"/>
      <c r="C84" s="52"/>
      <c r="D84" s="82"/>
      <c r="E84" s="91"/>
      <c r="F84" s="92"/>
      <c r="G84" s="35"/>
      <c r="H84" s="35"/>
      <c r="I84" s="35"/>
      <c r="J84" s="35"/>
      <c r="K84" s="35"/>
      <c r="L84" s="35"/>
      <c r="M84" s="35"/>
      <c r="N84" s="35"/>
      <c r="O84" s="35"/>
      <c r="P84" s="35"/>
      <c r="Q84" s="35"/>
      <c r="R84" s="35"/>
      <c r="S84" s="35"/>
      <c r="T84" s="35"/>
      <c r="U84" s="35"/>
      <c r="V84" s="35"/>
      <c r="W84" s="35"/>
      <c r="X84" s="35"/>
      <c r="Y84" s="35"/>
      <c r="Z84" s="35"/>
      <c r="AA84" s="35"/>
      <c r="AB84" s="50"/>
      <c r="AC84" s="93"/>
      <c r="AD84" s="94"/>
      <c r="AE84" s="51"/>
      <c r="AF84" s="35"/>
      <c r="AG84" s="82"/>
      <c r="AH84" s="52"/>
      <c r="AI84" s="52"/>
      <c r="AJ84" s="52"/>
      <c r="AK84" s="52"/>
      <c r="AL84" s="52"/>
      <c r="AM84" s="52"/>
      <c r="AN84" s="52"/>
      <c r="AO84" s="52"/>
      <c r="AP84" s="52"/>
      <c r="AQ84" s="52"/>
      <c r="AR84" s="52"/>
      <c r="AS84" s="52"/>
    </row>
    <row r="85" spans="1:45" ht="13.2" x14ac:dyDescent="0.25">
      <c r="A85" s="16"/>
      <c r="B85" s="82"/>
      <c r="C85" s="52"/>
      <c r="D85" s="82"/>
      <c r="E85" s="91"/>
      <c r="F85" s="92"/>
      <c r="G85" s="35"/>
      <c r="H85" s="35"/>
      <c r="I85" s="35"/>
      <c r="J85" s="35"/>
      <c r="K85" s="35"/>
      <c r="L85" s="35"/>
      <c r="M85" s="35"/>
      <c r="N85" s="35"/>
      <c r="O85" s="35"/>
      <c r="P85" s="35"/>
      <c r="Q85" s="35"/>
      <c r="R85" s="35"/>
      <c r="S85" s="35"/>
      <c r="T85" s="35"/>
      <c r="U85" s="35"/>
      <c r="V85" s="35"/>
      <c r="W85" s="35"/>
      <c r="X85" s="35"/>
      <c r="Y85" s="35"/>
      <c r="Z85" s="35"/>
      <c r="AA85" s="35"/>
      <c r="AB85" s="50"/>
      <c r="AC85" s="93"/>
      <c r="AD85" s="94"/>
      <c r="AE85" s="51"/>
      <c r="AF85" s="35"/>
      <c r="AG85" s="82"/>
      <c r="AH85" s="52"/>
      <c r="AI85" s="52"/>
      <c r="AJ85" s="52"/>
      <c r="AK85" s="52"/>
      <c r="AL85" s="52"/>
      <c r="AM85" s="52"/>
      <c r="AN85" s="52"/>
      <c r="AO85" s="52"/>
      <c r="AP85" s="52"/>
      <c r="AQ85" s="52"/>
      <c r="AR85" s="52"/>
      <c r="AS85" s="52"/>
    </row>
    <row r="86" spans="1:45" ht="13.2" x14ac:dyDescent="0.25">
      <c r="A86" s="16"/>
      <c r="B86" s="82"/>
      <c r="C86" s="52"/>
      <c r="D86" s="82"/>
      <c r="E86" s="91"/>
      <c r="F86" s="92"/>
      <c r="G86" s="35"/>
      <c r="H86" s="35"/>
      <c r="I86" s="35"/>
      <c r="J86" s="35"/>
      <c r="K86" s="35"/>
      <c r="L86" s="35"/>
      <c r="M86" s="35"/>
      <c r="N86" s="35"/>
      <c r="O86" s="35"/>
      <c r="P86" s="35"/>
      <c r="Q86" s="35"/>
      <c r="R86" s="35"/>
      <c r="S86" s="35"/>
      <c r="T86" s="35"/>
      <c r="U86" s="35"/>
      <c r="V86" s="35"/>
      <c r="W86" s="35"/>
      <c r="X86" s="35"/>
      <c r="Y86" s="35"/>
      <c r="Z86" s="35"/>
      <c r="AA86" s="35"/>
      <c r="AB86" s="50"/>
      <c r="AC86" s="93"/>
      <c r="AD86" s="94"/>
      <c r="AE86" s="51"/>
      <c r="AF86" s="35"/>
      <c r="AG86" s="82"/>
      <c r="AH86" s="52"/>
      <c r="AI86" s="52"/>
      <c r="AJ86" s="52"/>
      <c r="AK86" s="52"/>
      <c r="AL86" s="52"/>
      <c r="AM86" s="52"/>
      <c r="AN86" s="52"/>
      <c r="AO86" s="52"/>
      <c r="AP86" s="52"/>
      <c r="AQ86" s="52"/>
      <c r="AR86" s="52"/>
      <c r="AS86" s="52"/>
    </row>
    <row r="87" spans="1:45" ht="13.2" x14ac:dyDescent="0.25">
      <c r="A87" s="16"/>
      <c r="B87" s="82"/>
      <c r="C87" s="52"/>
      <c r="D87" s="82"/>
      <c r="E87" s="91"/>
      <c r="F87" s="92"/>
      <c r="G87" s="35"/>
      <c r="H87" s="35"/>
      <c r="I87" s="35"/>
      <c r="J87" s="35"/>
      <c r="K87" s="35"/>
      <c r="L87" s="35"/>
      <c r="M87" s="35"/>
      <c r="N87" s="35"/>
      <c r="O87" s="35"/>
      <c r="P87" s="35"/>
      <c r="Q87" s="35"/>
      <c r="R87" s="35"/>
      <c r="S87" s="35"/>
      <c r="T87" s="35"/>
      <c r="U87" s="35"/>
      <c r="V87" s="35"/>
      <c r="W87" s="35"/>
      <c r="X87" s="35"/>
      <c r="Y87" s="35"/>
      <c r="Z87" s="35"/>
      <c r="AA87" s="35"/>
      <c r="AB87" s="50"/>
      <c r="AC87" s="93"/>
      <c r="AD87" s="94"/>
      <c r="AE87" s="51"/>
      <c r="AF87" s="35"/>
      <c r="AG87" s="82"/>
      <c r="AH87" s="52"/>
      <c r="AI87" s="52"/>
      <c r="AJ87" s="52"/>
      <c r="AK87" s="52"/>
      <c r="AL87" s="52"/>
      <c r="AM87" s="52"/>
      <c r="AN87" s="52"/>
      <c r="AO87" s="52"/>
      <c r="AP87" s="52"/>
      <c r="AQ87" s="52"/>
      <c r="AR87" s="52"/>
      <c r="AS87" s="52"/>
    </row>
    <row r="88" spans="1:45" ht="13.2" x14ac:dyDescent="0.25">
      <c r="A88" s="16"/>
      <c r="B88" s="82"/>
      <c r="C88" s="52"/>
      <c r="D88" s="82"/>
      <c r="E88" s="91"/>
      <c r="F88" s="92"/>
      <c r="G88" s="35"/>
      <c r="H88" s="35"/>
      <c r="I88" s="35"/>
      <c r="J88" s="35"/>
      <c r="K88" s="35"/>
      <c r="L88" s="35"/>
      <c r="M88" s="35"/>
      <c r="N88" s="35"/>
      <c r="O88" s="35"/>
      <c r="P88" s="35"/>
      <c r="Q88" s="35"/>
      <c r="R88" s="35"/>
      <c r="S88" s="35"/>
      <c r="T88" s="35"/>
      <c r="U88" s="35"/>
      <c r="V88" s="35"/>
      <c r="W88" s="35"/>
      <c r="X88" s="35"/>
      <c r="Y88" s="35"/>
      <c r="Z88" s="35"/>
      <c r="AA88" s="35"/>
      <c r="AB88" s="50"/>
      <c r="AC88" s="93"/>
      <c r="AD88" s="94"/>
      <c r="AE88" s="51"/>
      <c r="AF88" s="35"/>
      <c r="AG88" s="82"/>
      <c r="AH88" s="52"/>
      <c r="AI88" s="52"/>
      <c r="AJ88" s="52"/>
      <c r="AK88" s="52"/>
      <c r="AL88" s="52"/>
      <c r="AM88" s="52"/>
      <c r="AN88" s="52"/>
      <c r="AO88" s="52"/>
      <c r="AP88" s="52"/>
      <c r="AQ88" s="52"/>
      <c r="AR88" s="52"/>
      <c r="AS88" s="52"/>
    </row>
    <row r="89" spans="1:45" ht="13.2" x14ac:dyDescent="0.25">
      <c r="A89" s="16"/>
      <c r="B89" s="82"/>
      <c r="C89" s="52"/>
      <c r="D89" s="82"/>
      <c r="E89" s="91"/>
      <c r="F89" s="92"/>
      <c r="G89" s="35"/>
      <c r="H89" s="35"/>
      <c r="I89" s="35"/>
      <c r="J89" s="35"/>
      <c r="K89" s="35"/>
      <c r="L89" s="35"/>
      <c r="M89" s="35"/>
      <c r="N89" s="35"/>
      <c r="O89" s="35"/>
      <c r="P89" s="35"/>
      <c r="Q89" s="35"/>
      <c r="R89" s="35"/>
      <c r="S89" s="35"/>
      <c r="T89" s="35"/>
      <c r="U89" s="35"/>
      <c r="V89" s="35"/>
      <c r="W89" s="35"/>
      <c r="X89" s="35"/>
      <c r="Y89" s="35"/>
      <c r="Z89" s="35"/>
      <c r="AA89" s="35"/>
      <c r="AB89" s="50"/>
      <c r="AC89" s="93"/>
      <c r="AD89" s="94"/>
      <c r="AE89" s="51"/>
      <c r="AF89" s="35"/>
      <c r="AG89" s="82"/>
      <c r="AH89" s="52"/>
      <c r="AI89" s="52"/>
      <c r="AJ89" s="52"/>
      <c r="AK89" s="52"/>
      <c r="AL89" s="52"/>
      <c r="AM89" s="52"/>
      <c r="AN89" s="52"/>
      <c r="AO89" s="52"/>
      <c r="AP89" s="52"/>
      <c r="AQ89" s="52"/>
      <c r="AR89" s="52"/>
      <c r="AS89" s="52"/>
    </row>
    <row r="90" spans="1:45" ht="13.2" x14ac:dyDescent="0.25">
      <c r="A90" s="16"/>
      <c r="B90" s="82"/>
      <c r="C90" s="52"/>
      <c r="D90" s="82"/>
      <c r="E90" s="91"/>
      <c r="F90" s="92"/>
      <c r="G90" s="35"/>
      <c r="H90" s="35"/>
      <c r="I90" s="35"/>
      <c r="J90" s="35"/>
      <c r="K90" s="35"/>
      <c r="L90" s="35"/>
      <c r="M90" s="35"/>
      <c r="N90" s="35"/>
      <c r="O90" s="35"/>
      <c r="P90" s="35"/>
      <c r="Q90" s="35"/>
      <c r="R90" s="35"/>
      <c r="S90" s="35"/>
      <c r="T90" s="35"/>
      <c r="U90" s="35"/>
      <c r="V90" s="35"/>
      <c r="W90" s="35"/>
      <c r="X90" s="35"/>
      <c r="Y90" s="35"/>
      <c r="Z90" s="35"/>
      <c r="AA90" s="35"/>
      <c r="AB90" s="50"/>
      <c r="AC90" s="93"/>
      <c r="AD90" s="94"/>
      <c r="AE90" s="51"/>
      <c r="AF90" s="35"/>
      <c r="AG90" s="82"/>
      <c r="AH90" s="52"/>
      <c r="AI90" s="52"/>
      <c r="AJ90" s="52"/>
      <c r="AK90" s="52"/>
      <c r="AL90" s="52"/>
      <c r="AM90" s="52"/>
      <c r="AN90" s="52"/>
      <c r="AO90" s="52"/>
      <c r="AP90" s="52"/>
      <c r="AQ90" s="52"/>
      <c r="AR90" s="52"/>
      <c r="AS90" s="52"/>
    </row>
    <row r="91" spans="1:45" ht="13.2" x14ac:dyDescent="0.25">
      <c r="A91" s="16"/>
      <c r="B91" s="82"/>
      <c r="C91" s="52"/>
      <c r="D91" s="82"/>
      <c r="E91" s="91"/>
      <c r="F91" s="92"/>
      <c r="G91" s="35"/>
      <c r="H91" s="35"/>
      <c r="I91" s="35"/>
      <c r="J91" s="35"/>
      <c r="K91" s="35"/>
      <c r="L91" s="35"/>
      <c r="M91" s="35"/>
      <c r="N91" s="35"/>
      <c r="O91" s="35"/>
      <c r="P91" s="35"/>
      <c r="Q91" s="35"/>
      <c r="R91" s="35"/>
      <c r="S91" s="35"/>
      <c r="T91" s="35"/>
      <c r="U91" s="35"/>
      <c r="V91" s="35"/>
      <c r="W91" s="35"/>
      <c r="X91" s="35"/>
      <c r="Y91" s="35"/>
      <c r="Z91" s="35"/>
      <c r="AA91" s="35"/>
      <c r="AB91" s="50"/>
      <c r="AC91" s="93"/>
      <c r="AD91" s="94"/>
      <c r="AE91" s="51"/>
      <c r="AF91" s="35"/>
      <c r="AG91" s="82"/>
      <c r="AH91" s="52"/>
      <c r="AI91" s="52"/>
      <c r="AJ91" s="52"/>
      <c r="AK91" s="52"/>
      <c r="AL91" s="52"/>
      <c r="AM91" s="52"/>
      <c r="AN91" s="52"/>
      <c r="AO91" s="52"/>
      <c r="AP91" s="52"/>
      <c r="AQ91" s="52"/>
      <c r="AR91" s="52"/>
      <c r="AS91" s="52"/>
    </row>
    <row r="92" spans="1:45" ht="13.2" x14ac:dyDescent="0.25">
      <c r="A92" s="16"/>
      <c r="B92" s="82"/>
      <c r="C92" s="52"/>
      <c r="D92" s="82"/>
      <c r="E92" s="91"/>
      <c r="F92" s="92"/>
      <c r="G92" s="35"/>
      <c r="H92" s="35"/>
      <c r="I92" s="35"/>
      <c r="J92" s="35"/>
      <c r="K92" s="35"/>
      <c r="L92" s="35"/>
      <c r="M92" s="35"/>
      <c r="N92" s="35"/>
      <c r="O92" s="35"/>
      <c r="P92" s="35"/>
      <c r="Q92" s="35"/>
      <c r="R92" s="35"/>
      <c r="S92" s="35"/>
      <c r="T92" s="35"/>
      <c r="U92" s="35"/>
      <c r="V92" s="35"/>
      <c r="W92" s="35"/>
      <c r="X92" s="35"/>
      <c r="Y92" s="35"/>
      <c r="Z92" s="35"/>
      <c r="AA92" s="35"/>
      <c r="AB92" s="50"/>
      <c r="AC92" s="93"/>
      <c r="AD92" s="94"/>
      <c r="AE92" s="51"/>
      <c r="AF92" s="35"/>
      <c r="AG92" s="82"/>
      <c r="AH92" s="52"/>
      <c r="AI92" s="52"/>
      <c r="AJ92" s="52"/>
      <c r="AK92" s="52"/>
      <c r="AL92" s="52"/>
      <c r="AM92" s="52"/>
      <c r="AN92" s="52"/>
      <c r="AO92" s="52"/>
      <c r="AP92" s="52"/>
      <c r="AQ92" s="52"/>
      <c r="AR92" s="52"/>
      <c r="AS92" s="52"/>
    </row>
    <row r="93" spans="1:45" ht="13.2" x14ac:dyDescent="0.25">
      <c r="A93" s="16"/>
      <c r="B93" s="82"/>
      <c r="C93" s="52"/>
      <c r="D93" s="82"/>
      <c r="E93" s="91"/>
      <c r="F93" s="92"/>
      <c r="G93" s="35"/>
      <c r="H93" s="35"/>
      <c r="I93" s="35"/>
      <c r="J93" s="35"/>
      <c r="K93" s="35"/>
      <c r="L93" s="35"/>
      <c r="M93" s="35"/>
      <c r="N93" s="35"/>
      <c r="O93" s="35"/>
      <c r="P93" s="35"/>
      <c r="Q93" s="35"/>
      <c r="R93" s="35"/>
      <c r="S93" s="35"/>
      <c r="T93" s="35"/>
      <c r="U93" s="35"/>
      <c r="V93" s="35"/>
      <c r="W93" s="35"/>
      <c r="X93" s="35"/>
      <c r="Y93" s="35"/>
      <c r="Z93" s="35"/>
      <c r="AA93" s="35"/>
      <c r="AB93" s="50"/>
      <c r="AC93" s="93"/>
      <c r="AD93" s="94"/>
      <c r="AE93" s="51"/>
      <c r="AF93" s="35"/>
      <c r="AG93" s="82"/>
      <c r="AH93" s="52"/>
      <c r="AI93" s="52"/>
      <c r="AJ93" s="52"/>
      <c r="AK93" s="52"/>
      <c r="AL93" s="52"/>
      <c r="AM93" s="52"/>
      <c r="AN93" s="52"/>
      <c r="AO93" s="52"/>
      <c r="AP93" s="52"/>
      <c r="AQ93" s="52"/>
      <c r="AR93" s="52"/>
      <c r="AS93" s="52"/>
    </row>
    <row r="94" spans="1:45" ht="13.2" x14ac:dyDescent="0.25">
      <c r="A94" s="16"/>
      <c r="B94" s="82"/>
      <c r="C94" s="52"/>
      <c r="D94" s="82"/>
      <c r="E94" s="91"/>
      <c r="F94" s="92"/>
      <c r="G94" s="35"/>
      <c r="H94" s="35"/>
      <c r="I94" s="35"/>
      <c r="J94" s="35"/>
      <c r="K94" s="35"/>
      <c r="L94" s="35"/>
      <c r="M94" s="35"/>
      <c r="N94" s="35"/>
      <c r="O94" s="35"/>
      <c r="P94" s="35"/>
      <c r="Q94" s="35"/>
      <c r="R94" s="35"/>
      <c r="S94" s="35"/>
      <c r="T94" s="35"/>
      <c r="U94" s="35"/>
      <c r="V94" s="35"/>
      <c r="W94" s="35"/>
      <c r="X94" s="35"/>
      <c r="Y94" s="35"/>
      <c r="Z94" s="35"/>
      <c r="AA94" s="35"/>
      <c r="AB94" s="50"/>
      <c r="AC94" s="93"/>
      <c r="AD94" s="94"/>
      <c r="AE94" s="51"/>
      <c r="AF94" s="35"/>
      <c r="AG94" s="82"/>
      <c r="AH94" s="52"/>
      <c r="AI94" s="52"/>
      <c r="AJ94" s="52"/>
      <c r="AK94" s="52"/>
      <c r="AL94" s="52"/>
      <c r="AM94" s="52"/>
      <c r="AN94" s="52"/>
      <c r="AO94" s="52"/>
      <c r="AP94" s="52"/>
      <c r="AQ94" s="52"/>
      <c r="AR94" s="52"/>
      <c r="AS94" s="52"/>
    </row>
    <row r="95" spans="1:45" ht="13.2" x14ac:dyDescent="0.25">
      <c r="A95" s="16"/>
      <c r="B95" s="82"/>
      <c r="C95" s="52"/>
      <c r="D95" s="82"/>
      <c r="E95" s="91"/>
      <c r="F95" s="92"/>
      <c r="G95" s="35"/>
      <c r="H95" s="35"/>
      <c r="I95" s="35"/>
      <c r="J95" s="35"/>
      <c r="K95" s="35"/>
      <c r="L95" s="35"/>
      <c r="M95" s="35"/>
      <c r="N95" s="35"/>
      <c r="O95" s="35"/>
      <c r="P95" s="35"/>
      <c r="Q95" s="35"/>
      <c r="R95" s="35"/>
      <c r="S95" s="35"/>
      <c r="T95" s="35"/>
      <c r="U95" s="35"/>
      <c r="V95" s="35"/>
      <c r="W95" s="35"/>
      <c r="X95" s="35"/>
      <c r="Y95" s="35"/>
      <c r="Z95" s="35"/>
      <c r="AA95" s="35"/>
      <c r="AB95" s="50"/>
      <c r="AC95" s="93"/>
      <c r="AD95" s="94"/>
      <c r="AE95" s="51"/>
      <c r="AF95" s="35"/>
      <c r="AG95" s="82"/>
      <c r="AH95" s="52"/>
      <c r="AI95" s="52"/>
      <c r="AJ95" s="52"/>
      <c r="AK95" s="52"/>
      <c r="AL95" s="52"/>
      <c r="AM95" s="52"/>
      <c r="AN95" s="52"/>
      <c r="AO95" s="52"/>
      <c r="AP95" s="52"/>
      <c r="AQ95" s="52"/>
      <c r="AR95" s="52"/>
      <c r="AS95" s="52"/>
    </row>
    <row r="96" spans="1:45" ht="13.2" x14ac:dyDescent="0.25">
      <c r="A96" s="16"/>
      <c r="B96" s="82"/>
      <c r="C96" s="52"/>
      <c r="D96" s="82"/>
      <c r="E96" s="91"/>
      <c r="F96" s="92"/>
      <c r="G96" s="35"/>
      <c r="H96" s="35"/>
      <c r="I96" s="35"/>
      <c r="J96" s="35"/>
      <c r="K96" s="35"/>
      <c r="L96" s="35"/>
      <c r="M96" s="35"/>
      <c r="N96" s="35"/>
      <c r="O96" s="35"/>
      <c r="P96" s="35"/>
      <c r="Q96" s="35"/>
      <c r="R96" s="35"/>
      <c r="S96" s="35"/>
      <c r="T96" s="35"/>
      <c r="U96" s="35"/>
      <c r="V96" s="35"/>
      <c r="W96" s="35"/>
      <c r="X96" s="35"/>
      <c r="Y96" s="35"/>
      <c r="Z96" s="35"/>
      <c r="AA96" s="35"/>
      <c r="AB96" s="50"/>
      <c r="AC96" s="93"/>
      <c r="AD96" s="94"/>
      <c r="AE96" s="51"/>
      <c r="AF96" s="35"/>
      <c r="AG96" s="82"/>
      <c r="AH96" s="52"/>
      <c r="AI96" s="52"/>
      <c r="AJ96" s="52"/>
      <c r="AK96" s="52"/>
      <c r="AL96" s="52"/>
      <c r="AM96" s="52"/>
      <c r="AN96" s="52"/>
      <c r="AO96" s="52"/>
      <c r="AP96" s="52"/>
      <c r="AQ96" s="52"/>
      <c r="AR96" s="52"/>
      <c r="AS96" s="52"/>
    </row>
    <row r="97" spans="1:45" ht="13.2" x14ac:dyDescent="0.25">
      <c r="A97" s="16"/>
      <c r="B97" s="82"/>
      <c r="C97" s="52"/>
      <c r="D97" s="82"/>
      <c r="E97" s="91"/>
      <c r="F97" s="92"/>
      <c r="G97" s="35"/>
      <c r="H97" s="35"/>
      <c r="I97" s="35"/>
      <c r="J97" s="35"/>
      <c r="K97" s="35"/>
      <c r="L97" s="35"/>
      <c r="M97" s="35"/>
      <c r="N97" s="35"/>
      <c r="O97" s="35"/>
      <c r="P97" s="35"/>
      <c r="Q97" s="35"/>
      <c r="R97" s="35"/>
      <c r="S97" s="35"/>
      <c r="T97" s="35"/>
      <c r="U97" s="35"/>
      <c r="V97" s="35"/>
      <c r="W97" s="35"/>
      <c r="X97" s="35"/>
      <c r="Y97" s="35"/>
      <c r="Z97" s="35"/>
      <c r="AA97" s="35"/>
      <c r="AB97" s="50"/>
      <c r="AC97" s="93"/>
      <c r="AD97" s="94"/>
      <c r="AE97" s="51"/>
      <c r="AF97" s="35"/>
      <c r="AG97" s="82"/>
      <c r="AH97" s="52"/>
      <c r="AI97" s="52"/>
      <c r="AJ97" s="52"/>
      <c r="AK97" s="52"/>
      <c r="AL97" s="52"/>
      <c r="AM97" s="52"/>
      <c r="AN97" s="52"/>
      <c r="AO97" s="52"/>
      <c r="AP97" s="52"/>
      <c r="AQ97" s="52"/>
      <c r="AR97" s="52"/>
      <c r="AS97" s="52"/>
    </row>
    <row r="98" spans="1:45" ht="13.2" x14ac:dyDescent="0.25">
      <c r="A98" s="16"/>
      <c r="B98" s="82"/>
      <c r="C98" s="52"/>
      <c r="D98" s="82"/>
      <c r="E98" s="91"/>
      <c r="F98" s="92"/>
      <c r="G98" s="35"/>
      <c r="H98" s="35"/>
      <c r="I98" s="35"/>
      <c r="J98" s="35"/>
      <c r="K98" s="35"/>
      <c r="L98" s="35"/>
      <c r="M98" s="35"/>
      <c r="N98" s="35"/>
      <c r="O98" s="35"/>
      <c r="P98" s="35"/>
      <c r="Q98" s="35"/>
      <c r="R98" s="35"/>
      <c r="S98" s="35"/>
      <c r="T98" s="35"/>
      <c r="U98" s="35"/>
      <c r="V98" s="35"/>
      <c r="W98" s="35"/>
      <c r="X98" s="35"/>
      <c r="Y98" s="35"/>
      <c r="Z98" s="35"/>
      <c r="AA98" s="35"/>
      <c r="AB98" s="50"/>
      <c r="AC98" s="93"/>
      <c r="AD98" s="94"/>
      <c r="AE98" s="51"/>
      <c r="AF98" s="35"/>
      <c r="AG98" s="82"/>
      <c r="AH98" s="52"/>
      <c r="AI98" s="52"/>
      <c r="AJ98" s="52"/>
      <c r="AK98" s="52"/>
      <c r="AL98" s="52"/>
      <c r="AM98" s="52"/>
      <c r="AN98" s="52"/>
      <c r="AO98" s="52"/>
      <c r="AP98" s="52"/>
      <c r="AQ98" s="52"/>
      <c r="AR98" s="52"/>
      <c r="AS98" s="52"/>
    </row>
    <row r="99" spans="1:45" ht="13.2" x14ac:dyDescent="0.25">
      <c r="A99" s="16"/>
      <c r="B99" s="82"/>
      <c r="C99" s="52"/>
      <c r="D99" s="82"/>
      <c r="E99" s="91"/>
      <c r="F99" s="92"/>
      <c r="G99" s="35"/>
      <c r="H99" s="35"/>
      <c r="I99" s="35"/>
      <c r="J99" s="35"/>
      <c r="K99" s="35"/>
      <c r="L99" s="35"/>
      <c r="M99" s="35"/>
      <c r="N99" s="35"/>
      <c r="O99" s="35"/>
      <c r="P99" s="35"/>
      <c r="Q99" s="35"/>
      <c r="R99" s="35"/>
      <c r="S99" s="35"/>
      <c r="T99" s="35"/>
      <c r="U99" s="35"/>
      <c r="V99" s="35"/>
      <c r="W99" s="35"/>
      <c r="X99" s="35"/>
      <c r="Y99" s="35"/>
      <c r="Z99" s="35"/>
      <c r="AA99" s="35"/>
      <c r="AB99" s="50"/>
      <c r="AC99" s="93"/>
      <c r="AD99" s="94"/>
      <c r="AE99" s="51"/>
      <c r="AF99" s="35"/>
      <c r="AG99" s="82"/>
      <c r="AH99" s="52"/>
      <c r="AI99" s="52"/>
      <c r="AJ99" s="52"/>
      <c r="AK99" s="52"/>
      <c r="AL99" s="52"/>
      <c r="AM99" s="52"/>
      <c r="AN99" s="52"/>
      <c r="AO99" s="52"/>
      <c r="AP99" s="52"/>
      <c r="AQ99" s="52"/>
      <c r="AR99" s="52"/>
      <c r="AS99" s="52"/>
    </row>
    <row r="100" spans="1:45" ht="13.2" x14ac:dyDescent="0.25">
      <c r="A100" s="16"/>
      <c r="B100" s="82"/>
      <c r="C100" s="52"/>
      <c r="D100" s="82"/>
      <c r="E100" s="91"/>
      <c r="F100" s="95"/>
      <c r="G100" s="96"/>
      <c r="H100" s="96"/>
      <c r="I100" s="35"/>
      <c r="J100" s="35"/>
      <c r="K100" s="35"/>
      <c r="L100" s="35"/>
      <c r="M100" s="35"/>
      <c r="N100" s="35"/>
      <c r="O100" s="35"/>
      <c r="P100" s="35"/>
      <c r="Q100" s="35"/>
      <c r="R100" s="35"/>
      <c r="S100" s="35"/>
      <c r="T100" s="35"/>
      <c r="U100" s="35"/>
      <c r="V100" s="35"/>
      <c r="W100" s="35"/>
      <c r="X100" s="35"/>
      <c r="Y100" s="35"/>
      <c r="Z100" s="35"/>
      <c r="AA100" s="35"/>
      <c r="AB100" s="50"/>
      <c r="AC100" s="97"/>
      <c r="AD100" s="98"/>
      <c r="AE100" s="51"/>
      <c r="AF100" s="35"/>
      <c r="AG100" s="82"/>
      <c r="AH100" s="52"/>
      <c r="AI100" s="52"/>
      <c r="AJ100" s="52"/>
      <c r="AK100" s="52"/>
      <c r="AL100" s="52"/>
      <c r="AM100" s="52"/>
      <c r="AN100" s="52"/>
      <c r="AO100" s="52"/>
      <c r="AP100" s="52"/>
      <c r="AQ100" s="52"/>
      <c r="AR100" s="52"/>
      <c r="AS100" s="52"/>
    </row>
  </sheetData>
  <mergeCells count="2">
    <mergeCell ref="G1:Q1"/>
    <mergeCell ref="R1:AA1"/>
  </mergeCells>
  <pageMargins left="0.75" right="0.75" top="1" bottom="1" header="0.5" footer="0.5"/>
  <pageSetup paperSize="9"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29"/>
  <sheetViews>
    <sheetView workbookViewId="0">
      <pane ySplit="1" topLeftCell="A2" activePane="bottomLeft" state="frozen"/>
      <selection pane="bottomLeft" activeCell="A2" sqref="A2"/>
    </sheetView>
  </sheetViews>
  <sheetFormatPr defaultColWidth="17.109375" defaultRowHeight="12.75" customHeight="1" x14ac:dyDescent="0.25"/>
  <cols>
    <col min="1" max="1" width="66" customWidth="1"/>
    <col min="2" max="2" width="17.109375" customWidth="1"/>
    <col min="3" max="3" width="10.109375" customWidth="1"/>
    <col min="4" max="4" width="46.6640625" customWidth="1"/>
    <col min="5" max="5" width="17.109375" customWidth="1"/>
    <col min="6" max="6" width="29.44140625" customWidth="1"/>
    <col min="7" max="7" width="17.109375" customWidth="1"/>
    <col min="8" max="8" width="49.44140625" customWidth="1"/>
    <col min="9" max="23" width="17.109375" customWidth="1"/>
  </cols>
  <sheetData>
    <row r="1" spans="1:23" ht="13.2" x14ac:dyDescent="0.25">
      <c r="A1" s="16" t="s">
        <v>186</v>
      </c>
      <c r="B1" s="16" t="s">
        <v>174</v>
      </c>
      <c r="C1" s="16" t="s">
        <v>87</v>
      </c>
      <c r="D1" s="16" t="s">
        <v>56</v>
      </c>
      <c r="E1" s="16"/>
      <c r="F1" s="25"/>
      <c r="G1" s="25"/>
      <c r="H1" s="25"/>
      <c r="I1" s="25"/>
      <c r="J1" s="25"/>
      <c r="K1" s="25"/>
      <c r="L1" s="25"/>
      <c r="M1" s="25"/>
      <c r="N1" s="25"/>
      <c r="O1" s="25"/>
      <c r="P1" s="25"/>
      <c r="Q1" s="25"/>
      <c r="R1" s="25"/>
      <c r="S1" s="25"/>
      <c r="T1" s="25"/>
      <c r="U1" s="25"/>
      <c r="V1" s="25"/>
      <c r="W1" s="25"/>
    </row>
    <row r="2" spans="1:23" ht="26.4" x14ac:dyDescent="0.25">
      <c r="A2" s="52" t="s">
        <v>59</v>
      </c>
      <c r="B2" s="52"/>
      <c r="C2" s="52"/>
      <c r="D2" s="52" t="s">
        <v>71</v>
      </c>
      <c r="E2" s="52"/>
      <c r="J2" s="47"/>
      <c r="K2" s="47"/>
      <c r="L2" s="47"/>
      <c r="M2" s="47"/>
      <c r="N2" s="47"/>
      <c r="O2" s="47"/>
      <c r="P2" s="47"/>
      <c r="Q2" s="47"/>
      <c r="R2" s="47"/>
      <c r="S2" s="47"/>
      <c r="T2" s="47"/>
      <c r="U2" s="47"/>
      <c r="V2" s="47"/>
      <c r="W2" s="47"/>
    </row>
    <row r="3" spans="1:23" ht="158.4" x14ac:dyDescent="0.25">
      <c r="A3" s="52" t="s">
        <v>157</v>
      </c>
      <c r="B3" s="52" t="s">
        <v>67</v>
      </c>
      <c r="C3" s="52" t="s">
        <v>92</v>
      </c>
      <c r="D3" s="52" t="s">
        <v>146</v>
      </c>
      <c r="E3" s="52" t="s">
        <v>222</v>
      </c>
      <c r="F3" s="47"/>
      <c r="G3" s="47"/>
      <c r="H3" s="47"/>
      <c r="I3" s="47"/>
      <c r="J3" s="47"/>
      <c r="K3" s="47"/>
      <c r="L3" s="47"/>
      <c r="M3" s="47"/>
      <c r="N3" s="47"/>
      <c r="O3" s="47"/>
      <c r="P3" s="47"/>
      <c r="Q3" s="47"/>
      <c r="R3" s="47"/>
      <c r="S3" s="47"/>
      <c r="T3" s="47"/>
      <c r="U3" s="47"/>
      <c r="V3" s="47"/>
      <c r="W3" s="47"/>
    </row>
    <row r="5" spans="1:23" ht="26.4" x14ac:dyDescent="0.25">
      <c r="A5" s="99" t="s">
        <v>72</v>
      </c>
      <c r="B5" s="99" t="s">
        <v>99</v>
      </c>
      <c r="C5" s="99" t="s">
        <v>9</v>
      </c>
      <c r="D5" s="99" t="s">
        <v>90</v>
      </c>
    </row>
    <row r="7" spans="1:23" ht="39.6" x14ac:dyDescent="0.25">
      <c r="A7" s="99" t="s">
        <v>168</v>
      </c>
      <c r="B7" s="99" t="s">
        <v>116</v>
      </c>
      <c r="C7" s="99" t="s">
        <v>9</v>
      </c>
      <c r="D7" s="99" t="s">
        <v>220</v>
      </c>
    </row>
    <row r="9" spans="1:23" ht="52.8" x14ac:dyDescent="0.25">
      <c r="A9" s="99" t="s">
        <v>151</v>
      </c>
      <c r="B9" s="99" t="s">
        <v>150</v>
      </c>
      <c r="C9" s="99" t="s">
        <v>9</v>
      </c>
      <c r="D9" s="99" t="s">
        <v>220</v>
      </c>
    </row>
    <row r="11" spans="1:23" ht="39.6" x14ac:dyDescent="0.25">
      <c r="A11" s="99" t="s">
        <v>22</v>
      </c>
      <c r="B11" s="99" t="s">
        <v>126</v>
      </c>
      <c r="C11" s="99" t="s">
        <v>9</v>
      </c>
      <c r="D11" s="99" t="s">
        <v>220</v>
      </c>
    </row>
    <row r="13" spans="1:23" ht="118.8" x14ac:dyDescent="0.25">
      <c r="A13" s="99" t="s">
        <v>233</v>
      </c>
      <c r="B13" s="99">
        <v>0.65</v>
      </c>
      <c r="C13" s="99" t="s">
        <v>9</v>
      </c>
      <c r="D13" s="99" t="s">
        <v>220</v>
      </c>
    </row>
    <row r="15" spans="1:23" ht="79.2" x14ac:dyDescent="0.25">
      <c r="A15" s="99" t="s">
        <v>185</v>
      </c>
      <c r="C15" s="99" t="s">
        <v>9</v>
      </c>
      <c r="D15" s="99" t="s">
        <v>220</v>
      </c>
    </row>
    <row r="17" spans="1:23" ht="39.6" x14ac:dyDescent="0.25">
      <c r="A17" s="99" t="s">
        <v>35</v>
      </c>
      <c r="C17" s="99" t="s">
        <v>9</v>
      </c>
      <c r="D17" s="99" t="s">
        <v>220</v>
      </c>
    </row>
    <row r="19" spans="1:23" ht="26.4" x14ac:dyDescent="0.25">
      <c r="A19" s="47" t="s">
        <v>128</v>
      </c>
      <c r="B19" s="47" t="s">
        <v>231</v>
      </c>
      <c r="C19" s="47" t="s">
        <v>9</v>
      </c>
      <c r="D19" s="47" t="s">
        <v>93</v>
      </c>
      <c r="E19" s="47"/>
      <c r="F19" s="47"/>
      <c r="G19" s="47"/>
      <c r="H19" s="47"/>
      <c r="I19" s="47"/>
      <c r="J19" s="47"/>
      <c r="K19" s="47"/>
      <c r="L19" s="47"/>
      <c r="M19" s="47"/>
      <c r="N19" s="47"/>
      <c r="O19" s="47"/>
      <c r="P19" s="47"/>
      <c r="Q19" s="47"/>
      <c r="R19" s="47"/>
      <c r="S19" s="47"/>
      <c r="T19" s="47"/>
      <c r="U19" s="47"/>
      <c r="V19" s="47"/>
      <c r="W19" s="47"/>
    </row>
    <row r="20" spans="1:23" ht="13.2" x14ac:dyDescent="0.25">
      <c r="A20" s="47"/>
      <c r="B20" s="47"/>
      <c r="C20" s="47"/>
      <c r="D20" s="47"/>
      <c r="E20" s="47"/>
      <c r="F20" s="47"/>
      <c r="G20" s="47"/>
      <c r="H20" s="47"/>
      <c r="I20" s="47"/>
      <c r="J20" s="47"/>
      <c r="K20" s="47"/>
      <c r="L20" s="47"/>
      <c r="M20" s="47"/>
      <c r="N20" s="47"/>
      <c r="O20" s="47"/>
      <c r="P20" s="47"/>
      <c r="Q20" s="47"/>
      <c r="R20" s="47"/>
      <c r="S20" s="47"/>
      <c r="T20" s="47"/>
      <c r="U20" s="47"/>
      <c r="V20" s="47"/>
      <c r="W20" s="47"/>
    </row>
    <row r="21" spans="1:23" ht="26.4" x14ac:dyDescent="0.25">
      <c r="A21" s="47" t="s">
        <v>241</v>
      </c>
      <c r="B21" s="47"/>
      <c r="C21" s="47" t="s">
        <v>9</v>
      </c>
      <c r="D21" s="47" t="s">
        <v>93</v>
      </c>
      <c r="E21" s="47"/>
      <c r="F21" s="47"/>
      <c r="G21" s="47"/>
      <c r="H21" s="47"/>
      <c r="I21" s="47"/>
      <c r="J21" s="47"/>
      <c r="K21" s="47"/>
      <c r="L21" s="47"/>
      <c r="M21" s="47"/>
      <c r="N21" s="47"/>
      <c r="O21" s="47"/>
      <c r="P21" s="47"/>
      <c r="Q21" s="47"/>
      <c r="R21" s="47"/>
      <c r="S21" s="47"/>
      <c r="T21" s="47"/>
      <c r="U21" s="47"/>
      <c r="V21" s="47"/>
      <c r="W21" s="47"/>
    </row>
    <row r="22" spans="1:23" ht="13.2" x14ac:dyDescent="0.25">
      <c r="A22" s="47"/>
      <c r="B22" s="47"/>
      <c r="C22" s="47"/>
      <c r="D22" s="47"/>
      <c r="E22" s="47"/>
      <c r="F22" s="47"/>
      <c r="G22" s="47"/>
      <c r="H22" s="47"/>
      <c r="I22" s="47"/>
      <c r="J22" s="47"/>
      <c r="K22" s="47"/>
      <c r="L22" s="47"/>
      <c r="M22" s="47"/>
      <c r="N22" s="47"/>
      <c r="O22" s="47"/>
      <c r="P22" s="47"/>
      <c r="Q22" s="47"/>
      <c r="R22" s="47"/>
      <c r="S22" s="47"/>
      <c r="T22" s="47"/>
      <c r="U22" s="47"/>
      <c r="V22" s="47"/>
      <c r="W22" s="47"/>
    </row>
    <row r="23" spans="1:23" ht="52.8" x14ac:dyDescent="0.25">
      <c r="A23" s="47" t="s">
        <v>117</v>
      </c>
      <c r="B23" s="47" t="s">
        <v>197</v>
      </c>
      <c r="C23" s="47" t="s">
        <v>9</v>
      </c>
      <c r="D23" s="47" t="s">
        <v>93</v>
      </c>
      <c r="E23" s="47"/>
      <c r="F23" s="47"/>
      <c r="G23" s="47"/>
      <c r="H23" s="47"/>
      <c r="I23" s="47"/>
      <c r="J23" s="47"/>
      <c r="K23" s="47"/>
      <c r="L23" s="47"/>
      <c r="M23" s="47"/>
      <c r="N23" s="47"/>
      <c r="O23" s="47"/>
      <c r="P23" s="47"/>
      <c r="Q23" s="47"/>
      <c r="R23" s="47"/>
      <c r="S23" s="47"/>
      <c r="T23" s="47"/>
      <c r="U23" s="47"/>
      <c r="V23" s="47"/>
      <c r="W23" s="47"/>
    </row>
    <row r="25" spans="1:23" ht="39.6" x14ac:dyDescent="0.25">
      <c r="A25" s="99" t="s">
        <v>201</v>
      </c>
      <c r="B25" s="99">
        <v>220</v>
      </c>
      <c r="C25" s="99" t="s">
        <v>219</v>
      </c>
    </row>
    <row r="27" spans="1:23" ht="26.4" x14ac:dyDescent="0.25">
      <c r="A27" s="99" t="s">
        <v>187</v>
      </c>
      <c r="B27" s="99" t="s">
        <v>206</v>
      </c>
      <c r="C27" s="47" t="s">
        <v>9</v>
      </c>
      <c r="D27" s="47" t="s">
        <v>93</v>
      </c>
    </row>
    <row r="29" spans="1:23" ht="39.6" x14ac:dyDescent="0.25">
      <c r="A29" s="99" t="s">
        <v>162</v>
      </c>
      <c r="C29" s="99" t="s">
        <v>65</v>
      </c>
      <c r="D29" s="99" t="s">
        <v>103</v>
      </c>
    </row>
  </sheetData>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Data for Dashboard</vt:lpstr>
      <vt:lpstr>Assets</vt:lpstr>
      <vt:lpstr>datasheet</vt:lpstr>
      <vt:lpstr>Sheet1</vt:lpstr>
      <vt:lpstr>calculation sheet - minerals</vt:lpstr>
      <vt:lpstr>calc sheet - fossil fuels</vt:lpstr>
      <vt:lpstr>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turing</dc:creator>
  <cp:lastModifiedBy>D Matrix Soltuions</cp:lastModifiedBy>
  <dcterms:created xsi:type="dcterms:W3CDTF">2011-10-08T05:31:11Z</dcterms:created>
  <dcterms:modified xsi:type="dcterms:W3CDTF">2024-07-04T05:46:59Z</dcterms:modified>
</cp:coreProperties>
</file>