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Files\Models\"/>
    </mc:Choice>
  </mc:AlternateContent>
  <xr:revisionPtr revIDLastSave="0" documentId="13_ncr:1_{07363784-C3B6-49CD-9C6F-5AF29FA9A150}" xr6:coauthVersionLast="45" xr6:coauthVersionMax="45" xr10:uidLastSave="{00000000-0000-0000-0000-000000000000}"/>
  <bookViews>
    <workbookView xWindow="-120" yWindow="-120" windowWidth="20730" windowHeight="11310" firstSheet="2" activeTab="6" xr2:uid="{D61B8AA0-12F9-4919-B9A8-AEB40E3EC4FD}"/>
  </bookViews>
  <sheets>
    <sheet name="Assumptions" sheetId="3" r:id="rId1"/>
    <sheet name="1.Project cost" sheetId="1" r:id="rId2"/>
    <sheet name="2.Rev. Working Cap" sheetId="2" r:id="rId3"/>
    <sheet name="3.Depreciation" sheetId="5" r:id="rId4"/>
    <sheet name="4.sc term loan" sheetId="7" r:id="rId5"/>
    <sheet name="5.P &amp; L Account" sheetId="8" r:id="rId6"/>
    <sheet name="6.Balance Sheet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6" l="1"/>
  <c r="D6" i="6"/>
  <c r="C14" i="6"/>
  <c r="D14" i="6" s="1"/>
  <c r="E19" i="8"/>
  <c r="F19" i="8" s="1"/>
  <c r="G19" i="8" s="1"/>
  <c r="H6" i="6" s="1"/>
  <c r="D19" i="8"/>
  <c r="E14" i="6" l="1"/>
  <c r="G6" i="6"/>
  <c r="F6" i="6"/>
  <c r="H2" i="7"/>
  <c r="H1" i="7"/>
  <c r="F14" i="6" l="1"/>
  <c r="C10" i="5"/>
  <c r="C11" i="5"/>
  <c r="C12" i="5"/>
  <c r="C13" i="5"/>
  <c r="C3" i="5"/>
  <c r="C4" i="5"/>
  <c r="E29" i="1"/>
  <c r="C8" i="6" s="1"/>
  <c r="E17" i="2"/>
  <c r="E16" i="2"/>
  <c r="E15" i="2"/>
  <c r="E14" i="2"/>
  <c r="D12" i="2"/>
  <c r="E12" i="2" s="1"/>
  <c r="D11" i="2"/>
  <c r="E11" i="2" s="1"/>
  <c r="C8" i="2"/>
  <c r="D5" i="2"/>
  <c r="D8" i="2" s="1"/>
  <c r="C5" i="2"/>
  <c r="E21" i="1"/>
  <c r="E15" i="1"/>
  <c r="J23" i="1"/>
  <c r="J22" i="1"/>
  <c r="J21" i="1"/>
  <c r="J20" i="1"/>
  <c r="J19" i="1"/>
  <c r="J18" i="1"/>
  <c r="J17" i="1"/>
  <c r="J16" i="1"/>
  <c r="J24" i="1" s="1"/>
  <c r="E10" i="1" s="1"/>
  <c r="C6" i="5" s="1"/>
  <c r="J12" i="1"/>
  <c r="J11" i="1"/>
  <c r="J10" i="1"/>
  <c r="J9" i="1"/>
  <c r="J13" i="1" s="1"/>
  <c r="E9" i="1" s="1"/>
  <c r="J8" i="1"/>
  <c r="J7" i="1"/>
  <c r="C5" i="5" l="1"/>
  <c r="E12" i="1"/>
  <c r="C17" i="6" s="1"/>
  <c r="C7" i="5"/>
  <c r="E13" i="2"/>
  <c r="E18" i="2" s="1"/>
  <c r="E5" i="2"/>
  <c r="C5" i="8" s="1"/>
  <c r="D5" i="8" s="1"/>
  <c r="D4" i="5"/>
  <c r="E4" i="5" s="1"/>
  <c r="D5" i="5"/>
  <c r="E5" i="5" s="1"/>
  <c r="C18" i="6"/>
  <c r="C10" i="8"/>
  <c r="E8" i="2"/>
  <c r="D4" i="6"/>
  <c r="D3" i="5"/>
  <c r="D6" i="5"/>
  <c r="E6" i="5" s="1"/>
  <c r="G14" i="6"/>
  <c r="C8" i="8"/>
  <c r="E22" i="2"/>
  <c r="E3" i="5"/>
  <c r="F5" i="5"/>
  <c r="G5" i="5" s="1"/>
  <c r="F4" i="5"/>
  <c r="G4" i="5" s="1"/>
  <c r="F6" i="5"/>
  <c r="G6" i="5" s="1"/>
  <c r="C9" i="8" l="1"/>
  <c r="D9" i="8" s="1"/>
  <c r="E9" i="8" s="1"/>
  <c r="F9" i="8" s="1"/>
  <c r="G9" i="8" s="1"/>
  <c r="E23" i="2"/>
  <c r="C11" i="8"/>
  <c r="C12" i="8" s="1"/>
  <c r="D8" i="8"/>
  <c r="D7" i="5"/>
  <c r="F11" i="5" s="1"/>
  <c r="C13" i="8" s="1"/>
  <c r="H14" i="6"/>
  <c r="D10" i="8"/>
  <c r="C22" i="8"/>
  <c r="D27" i="6" s="1"/>
  <c r="E5" i="8"/>
  <c r="D15" i="6"/>
  <c r="E24" i="2"/>
  <c r="E23" i="1" s="1"/>
  <c r="D18" i="6"/>
  <c r="E18" i="6" s="1"/>
  <c r="E7" i="5"/>
  <c r="F3" i="5"/>
  <c r="H4" i="5"/>
  <c r="I4" i="5" s="1"/>
  <c r="H6" i="5"/>
  <c r="I6" i="5" s="1"/>
  <c r="H5" i="5"/>
  <c r="I5" i="5" s="1"/>
  <c r="F18" i="6" l="1"/>
  <c r="D22" i="8"/>
  <c r="E27" i="6" s="1"/>
  <c r="E10" i="8"/>
  <c r="F5" i="8"/>
  <c r="C14" i="8"/>
  <c r="E8" i="8"/>
  <c r="D11" i="8"/>
  <c r="D12" i="8" s="1"/>
  <c r="E26" i="1"/>
  <c r="E31" i="1" s="1"/>
  <c r="C30" i="6"/>
  <c r="D24" i="6" s="1"/>
  <c r="C19" i="6"/>
  <c r="C20" i="6" s="1"/>
  <c r="D17" i="6"/>
  <c r="C21" i="8"/>
  <c r="D26" i="6" s="1"/>
  <c r="D16" i="6"/>
  <c r="G3" i="5"/>
  <c r="F7" i="5"/>
  <c r="G11" i="5" s="1"/>
  <c r="D13" i="8" s="1"/>
  <c r="J5" i="5"/>
  <c r="K5" i="5" s="1"/>
  <c r="J6" i="5"/>
  <c r="K6" i="5" s="1"/>
  <c r="J4" i="5"/>
  <c r="K4" i="5" s="1"/>
  <c r="D14" i="8" l="1"/>
  <c r="F8" i="8"/>
  <c r="E11" i="8"/>
  <c r="E12" i="8" s="1"/>
  <c r="F10" i="8"/>
  <c r="E22" i="8"/>
  <c r="F27" i="6" s="1"/>
  <c r="E16" i="6"/>
  <c r="D21" i="8"/>
  <c r="E26" i="6" s="1"/>
  <c r="E15" i="6"/>
  <c r="E17" i="6" s="1"/>
  <c r="E30" i="1"/>
  <c r="C10" i="6"/>
  <c r="D10" i="6" s="1"/>
  <c r="E10" i="6" s="1"/>
  <c r="F10" i="6" s="1"/>
  <c r="G10" i="6" s="1"/>
  <c r="H10" i="6" s="1"/>
  <c r="G5" i="8"/>
  <c r="G7" i="5"/>
  <c r="H3" i="5"/>
  <c r="L4" i="5"/>
  <c r="M4" i="5" s="1"/>
  <c r="L6" i="5"/>
  <c r="M6" i="5" s="1"/>
  <c r="L5" i="5"/>
  <c r="M5" i="5" s="1"/>
  <c r="G10" i="8" l="1"/>
  <c r="G22" i="8" s="1"/>
  <c r="H27" i="6" s="1"/>
  <c r="F22" i="8"/>
  <c r="G27" i="6" s="1"/>
  <c r="G18" i="6"/>
  <c r="H3" i="7"/>
  <c r="C9" i="6"/>
  <c r="G8" i="8"/>
  <c r="G11" i="8" s="1"/>
  <c r="F11" i="8"/>
  <c r="F12" i="8" s="1"/>
  <c r="G12" i="8"/>
  <c r="F15" i="6"/>
  <c r="I3" i="5"/>
  <c r="H7" i="5"/>
  <c r="H11" i="5" s="1"/>
  <c r="E13" i="8" s="1"/>
  <c r="G53" i="7" l="1"/>
  <c r="F32" i="7"/>
  <c r="E11" i="7"/>
  <c r="G50" i="7"/>
  <c r="E57" i="7"/>
  <c r="G20" i="7"/>
  <c r="G48" i="7"/>
  <c r="G14" i="7"/>
  <c r="G39" i="7"/>
  <c r="F7" i="7"/>
  <c r="E16" i="7"/>
  <c r="E51" i="7"/>
  <c r="E64" i="7"/>
  <c r="G51" i="7"/>
  <c r="G32" i="7"/>
  <c r="G26" i="7"/>
  <c r="E28" i="7"/>
  <c r="F28" i="7"/>
  <c r="F52" i="7"/>
  <c r="E31" i="7"/>
  <c r="G9" i="7"/>
  <c r="F49" i="7"/>
  <c r="F54" i="7"/>
  <c r="G18" i="7"/>
  <c r="E46" i="7"/>
  <c r="E13" i="7"/>
  <c r="E37" i="7"/>
  <c r="F63" i="7"/>
  <c r="G12" i="7"/>
  <c r="G45" i="7"/>
  <c r="F8" i="7"/>
  <c r="E41" i="7"/>
  <c r="F43" i="7"/>
  <c r="F34" i="7"/>
  <c r="E9" i="7"/>
  <c r="G33" i="7"/>
  <c r="G46" i="7"/>
  <c r="F9" i="7"/>
  <c r="F57" i="7"/>
  <c r="E8" i="7"/>
  <c r="F17" i="7"/>
  <c r="E62" i="7"/>
  <c r="E50" i="7"/>
  <c r="F22" i="7"/>
  <c r="G10" i="7"/>
  <c r="E26" i="7"/>
  <c r="G64" i="7"/>
  <c r="G40" i="7"/>
  <c r="F26" i="7"/>
  <c r="D5" i="7"/>
  <c r="F48" i="7"/>
  <c r="E27" i="7"/>
  <c r="E6" i="7"/>
  <c r="F45" i="7"/>
  <c r="F46" i="7"/>
  <c r="F13" i="7"/>
  <c r="E38" i="7"/>
  <c r="G7" i="7"/>
  <c r="F30" i="7"/>
  <c r="G31" i="7"/>
  <c r="F47" i="7"/>
  <c r="F40" i="7"/>
  <c r="G58" i="7"/>
  <c r="E24" i="7"/>
  <c r="F18" i="7"/>
  <c r="F14" i="7"/>
  <c r="F60" i="7"/>
  <c r="G17" i="7"/>
  <c r="E47" i="7"/>
  <c r="G25" i="7"/>
  <c r="F5" i="7"/>
  <c r="E44" i="7"/>
  <c r="G43" i="7"/>
  <c r="G11" i="7"/>
  <c r="F35" i="7"/>
  <c r="F6" i="7"/>
  <c r="G28" i="7"/>
  <c r="G24" i="7"/>
  <c r="G36" i="7"/>
  <c r="E35" i="7"/>
  <c r="F53" i="7"/>
  <c r="F31" i="7"/>
  <c r="F25" i="7"/>
  <c r="E34" i="7"/>
  <c r="E12" i="7"/>
  <c r="E23" i="7"/>
  <c r="E49" i="7"/>
  <c r="E32" i="7"/>
  <c r="G62" i="7"/>
  <c r="G30" i="7"/>
  <c r="G22" i="7"/>
  <c r="G23" i="7"/>
  <c r="G8" i="7"/>
  <c r="F51" i="7"/>
  <c r="G19" i="7"/>
  <c r="E59" i="7"/>
  <c r="G37" i="7"/>
  <c r="E56" i="7"/>
  <c r="G27" i="7"/>
  <c r="E22" i="7"/>
  <c r="F50" i="7"/>
  <c r="F56" i="7"/>
  <c r="F37" i="7"/>
  <c r="E45" i="7"/>
  <c r="E39" i="7"/>
  <c r="F36" i="7"/>
  <c r="E15" i="7"/>
  <c r="F33" i="7"/>
  <c r="E20" i="7"/>
  <c r="E18" i="7"/>
  <c r="G61" i="7"/>
  <c r="F62" i="7"/>
  <c r="G60" i="7"/>
  <c r="E7" i="7"/>
  <c r="F38" i="7"/>
  <c r="F29" i="7"/>
  <c r="I40" i="7" s="1"/>
  <c r="L7" i="7" s="1"/>
  <c r="N13" i="7" s="1"/>
  <c r="E15" i="8" s="1"/>
  <c r="F42" i="7"/>
  <c r="F64" i="7"/>
  <c r="E43" i="7"/>
  <c r="G21" i="7"/>
  <c r="F61" i="7"/>
  <c r="E40" i="7"/>
  <c r="G35" i="7"/>
  <c r="G6" i="7"/>
  <c r="E29" i="7"/>
  <c r="E61" i="7"/>
  <c r="F55" i="7"/>
  <c r="E14" i="7"/>
  <c r="F19" i="7"/>
  <c r="F24" i="7"/>
  <c r="E48" i="7"/>
  <c r="E10" i="7"/>
  <c r="E5" i="7"/>
  <c r="E21" i="7"/>
  <c r="G49" i="7"/>
  <c r="E63" i="7"/>
  <c r="G41" i="7"/>
  <c r="F20" i="7"/>
  <c r="E60" i="7"/>
  <c r="G38" i="7"/>
  <c r="E33" i="7"/>
  <c r="G5" i="7"/>
  <c r="F27" i="7"/>
  <c r="F58" i="7"/>
  <c r="G44" i="7"/>
  <c r="F10" i="7"/>
  <c r="G15" i="7"/>
  <c r="G29" i="7"/>
  <c r="G42" i="7"/>
  <c r="E17" i="7"/>
  <c r="F11" i="7"/>
  <c r="G52" i="7"/>
  <c r="E55" i="7"/>
  <c r="F12" i="7"/>
  <c r="F15" i="7"/>
  <c r="E42" i="7"/>
  <c r="F41" i="7"/>
  <c r="G63" i="7"/>
  <c r="E36" i="7"/>
  <c r="E53" i="7"/>
  <c r="E52" i="7"/>
  <c r="G16" i="7"/>
  <c r="F16" i="7"/>
  <c r="G34" i="7"/>
  <c r="F59" i="7"/>
  <c r="F21" i="7"/>
  <c r="F39" i="7"/>
  <c r="G13" i="7"/>
  <c r="E54" i="7"/>
  <c r="F23" i="7"/>
  <c r="G57" i="7"/>
  <c r="G54" i="7"/>
  <c r="G56" i="7"/>
  <c r="G47" i="7"/>
  <c r="E30" i="7"/>
  <c r="E19" i="7"/>
  <c r="G55" i="7"/>
  <c r="F44" i="7"/>
  <c r="E58" i="7"/>
  <c r="E25" i="7"/>
  <c r="G59" i="7"/>
  <c r="H18" i="6"/>
  <c r="F16" i="6"/>
  <c r="F17" i="6" s="1"/>
  <c r="E21" i="8"/>
  <c r="F26" i="6" s="1"/>
  <c r="E14" i="8"/>
  <c r="C11" i="6"/>
  <c r="I7" i="5"/>
  <c r="J3" i="5"/>
  <c r="G15" i="6" l="1"/>
  <c r="J40" i="7"/>
  <c r="M7" i="7" s="1"/>
  <c r="N14" i="7" s="1"/>
  <c r="F28" i="6" s="1"/>
  <c r="J28" i="7"/>
  <c r="M6" i="7" s="1"/>
  <c r="M14" i="7" s="1"/>
  <c r="E28" i="6" s="1"/>
  <c r="I16" i="7"/>
  <c r="L5" i="7" s="1"/>
  <c r="L13" i="7" s="1"/>
  <c r="C15" i="8" s="1"/>
  <c r="C16" i="8" s="1"/>
  <c r="C17" i="8" s="1"/>
  <c r="C18" i="8" s="1"/>
  <c r="E16" i="8"/>
  <c r="J16" i="7"/>
  <c r="M5" i="7" s="1"/>
  <c r="L14" i="7" s="1"/>
  <c r="H5" i="7"/>
  <c r="D6" i="7" s="1"/>
  <c r="H6" i="7" s="1"/>
  <c r="D7" i="7" s="1"/>
  <c r="H7" i="7" s="1"/>
  <c r="D8" i="7" s="1"/>
  <c r="H8" i="7" s="1"/>
  <c r="D9" i="7" s="1"/>
  <c r="H9" i="7" s="1"/>
  <c r="D10" i="7" s="1"/>
  <c r="H10" i="7" s="1"/>
  <c r="D11" i="7" s="1"/>
  <c r="H11" i="7" s="1"/>
  <c r="D12" i="7" s="1"/>
  <c r="H12" i="7" s="1"/>
  <c r="D13" i="7" s="1"/>
  <c r="H13" i="7" s="1"/>
  <c r="D14" i="7" s="1"/>
  <c r="H14" i="7" s="1"/>
  <c r="D15" i="7" s="1"/>
  <c r="H15" i="7" s="1"/>
  <c r="D16" i="7" s="1"/>
  <c r="H16" i="7" s="1"/>
  <c r="D17" i="7" s="1"/>
  <c r="H17" i="7" s="1"/>
  <c r="D18" i="7" s="1"/>
  <c r="H18" i="7" s="1"/>
  <c r="D19" i="7" s="1"/>
  <c r="H19" i="7" s="1"/>
  <c r="D20" i="7" s="1"/>
  <c r="H20" i="7" s="1"/>
  <c r="D21" i="7" s="1"/>
  <c r="H21" i="7" s="1"/>
  <c r="D22" i="7" s="1"/>
  <c r="H22" i="7" s="1"/>
  <c r="D23" i="7" s="1"/>
  <c r="H23" i="7" s="1"/>
  <c r="D24" i="7" s="1"/>
  <c r="H24" i="7" s="1"/>
  <c r="D25" i="7" s="1"/>
  <c r="H25" i="7" s="1"/>
  <c r="D26" i="7" s="1"/>
  <c r="H26" i="7" s="1"/>
  <c r="D27" i="7" s="1"/>
  <c r="H27" i="7" s="1"/>
  <c r="D28" i="7" s="1"/>
  <c r="H28" i="7" s="1"/>
  <c r="D29" i="7" s="1"/>
  <c r="H29" i="7" s="1"/>
  <c r="D30" i="7" s="1"/>
  <c r="H30" i="7" s="1"/>
  <c r="D31" i="7" s="1"/>
  <c r="H31" i="7" s="1"/>
  <c r="D32" i="7" s="1"/>
  <c r="H32" i="7" s="1"/>
  <c r="D33" i="7" s="1"/>
  <c r="H33" i="7" s="1"/>
  <c r="D34" i="7" s="1"/>
  <c r="H34" i="7" s="1"/>
  <c r="D35" i="7" s="1"/>
  <c r="H35" i="7" s="1"/>
  <c r="D36" i="7" s="1"/>
  <c r="H36" i="7" s="1"/>
  <c r="D37" i="7" s="1"/>
  <c r="H37" i="7" s="1"/>
  <c r="D38" i="7" s="1"/>
  <c r="H38" i="7" s="1"/>
  <c r="D39" i="7" s="1"/>
  <c r="H39" i="7" s="1"/>
  <c r="D40" i="7" s="1"/>
  <c r="H40" i="7" s="1"/>
  <c r="D41" i="7" s="1"/>
  <c r="H41" i="7" s="1"/>
  <c r="D42" i="7" s="1"/>
  <c r="H42" i="7" s="1"/>
  <c r="D43" i="7" s="1"/>
  <c r="H43" i="7" s="1"/>
  <c r="D44" i="7" s="1"/>
  <c r="H44" i="7" s="1"/>
  <c r="D45" i="7" s="1"/>
  <c r="H45" i="7" s="1"/>
  <c r="D46" i="7" s="1"/>
  <c r="H46" i="7" s="1"/>
  <c r="D47" i="7" s="1"/>
  <c r="H47" i="7" s="1"/>
  <c r="D48" i="7" s="1"/>
  <c r="H48" i="7" s="1"/>
  <c r="D49" i="7" s="1"/>
  <c r="H49" i="7" s="1"/>
  <c r="D50" i="7" s="1"/>
  <c r="H50" i="7" s="1"/>
  <c r="D51" i="7" s="1"/>
  <c r="H51" i="7" s="1"/>
  <c r="D52" i="7" s="1"/>
  <c r="H52" i="7" s="1"/>
  <c r="D53" i="7" s="1"/>
  <c r="H53" i="7" s="1"/>
  <c r="D54" i="7" s="1"/>
  <c r="H54" i="7" s="1"/>
  <c r="D55" i="7" s="1"/>
  <c r="H55" i="7" s="1"/>
  <c r="D56" i="7" s="1"/>
  <c r="H56" i="7" s="1"/>
  <c r="D57" i="7" s="1"/>
  <c r="H57" i="7" s="1"/>
  <c r="D58" i="7" s="1"/>
  <c r="H58" i="7" s="1"/>
  <c r="D59" i="7" s="1"/>
  <c r="H59" i="7" s="1"/>
  <c r="D60" i="7" s="1"/>
  <c r="H60" i="7" s="1"/>
  <c r="D61" i="7" s="1"/>
  <c r="H61" i="7" s="1"/>
  <c r="D62" i="7" s="1"/>
  <c r="H62" i="7" s="1"/>
  <c r="D63" i="7" s="1"/>
  <c r="H63" i="7" s="1"/>
  <c r="D64" i="7" s="1"/>
  <c r="H64" i="7" s="1"/>
  <c r="I52" i="7"/>
  <c r="L8" i="7" s="1"/>
  <c r="O13" i="7" s="1"/>
  <c r="F15" i="8" s="1"/>
  <c r="J52" i="7"/>
  <c r="M8" i="7" s="1"/>
  <c r="O14" i="7" s="1"/>
  <c r="G28" i="6" s="1"/>
  <c r="I64" i="7"/>
  <c r="L9" i="7" s="1"/>
  <c r="P13" i="7" s="1"/>
  <c r="G15" i="8" s="1"/>
  <c r="I28" i="7"/>
  <c r="L6" i="7" s="1"/>
  <c r="M13" i="7" s="1"/>
  <c r="D15" i="8" s="1"/>
  <c r="D16" i="8" s="1"/>
  <c r="J64" i="7"/>
  <c r="M9" i="7" s="1"/>
  <c r="P14" i="7" s="1"/>
  <c r="H28" i="6" s="1"/>
  <c r="K3" i="5"/>
  <c r="J7" i="5"/>
  <c r="I11" i="5" s="1"/>
  <c r="F13" i="8" s="1"/>
  <c r="F21" i="8" l="1"/>
  <c r="G26" i="6" s="1"/>
  <c r="G16" i="6"/>
  <c r="F14" i="8"/>
  <c r="F16" i="8" s="1"/>
  <c r="D28" i="6"/>
  <c r="D9" i="6"/>
  <c r="E9" i="6" s="1"/>
  <c r="F9" i="6" s="1"/>
  <c r="G9" i="6" s="1"/>
  <c r="H9" i="6" s="1"/>
  <c r="D18" i="8"/>
  <c r="D17" i="8"/>
  <c r="E17" i="8"/>
  <c r="E18" i="8" s="1"/>
  <c r="C20" i="8"/>
  <c r="D5" i="6"/>
  <c r="G17" i="6"/>
  <c r="K7" i="5"/>
  <c r="L3" i="5"/>
  <c r="F5" i="6" l="1"/>
  <c r="E20" i="8"/>
  <c r="H15" i="6"/>
  <c r="F17" i="8"/>
  <c r="F18" i="8" s="1"/>
  <c r="C23" i="8"/>
  <c r="D7" i="6"/>
  <c r="D8" i="6" s="1"/>
  <c r="D25" i="6"/>
  <c r="D29" i="6" s="1"/>
  <c r="D30" i="6" s="1"/>
  <c r="E5" i="6"/>
  <c r="D20" i="8"/>
  <c r="M3" i="5"/>
  <c r="M7" i="5" s="1"/>
  <c r="L7" i="5"/>
  <c r="J11" i="5" s="1"/>
  <c r="G13" i="8" s="1"/>
  <c r="G5" i="6" l="1"/>
  <c r="F20" i="8"/>
  <c r="E4" i="6"/>
  <c r="E8" i="6" s="1"/>
  <c r="D11" i="6"/>
  <c r="E7" i="6"/>
  <c r="D23" i="8"/>
  <c r="E25" i="6"/>
  <c r="E29" i="6" s="1"/>
  <c r="F7" i="6"/>
  <c r="E23" i="8"/>
  <c r="F25" i="6"/>
  <c r="F29" i="6" s="1"/>
  <c r="H16" i="6"/>
  <c r="H17" i="6" s="1"/>
  <c r="G21" i="8"/>
  <c r="H26" i="6" s="1"/>
  <c r="G14" i="8"/>
  <c r="G16" i="8" s="1"/>
  <c r="D19" i="6"/>
  <c r="D20" i="6" s="1"/>
  <c r="E24" i="6"/>
  <c r="E30" i="6" s="1"/>
  <c r="F24" i="6" l="1"/>
  <c r="F30" i="6" s="1"/>
  <c r="E19" i="6"/>
  <c r="E20" i="6" s="1"/>
  <c r="E11" i="6"/>
  <c r="F4" i="6"/>
  <c r="F8" i="6" s="1"/>
  <c r="G17" i="8"/>
  <c r="G18" i="8" s="1"/>
  <c r="G25" i="6"/>
  <c r="G29" i="6" s="1"/>
  <c r="F23" i="8"/>
  <c r="G7" i="6"/>
  <c r="G20" i="8" l="1"/>
  <c r="H5" i="6"/>
  <c r="G24" i="6"/>
  <c r="G30" i="6" s="1"/>
  <c r="F19" i="6"/>
  <c r="F20" i="6" s="1"/>
  <c r="G4" i="6"/>
  <c r="G8" i="6" s="1"/>
  <c r="F11" i="6"/>
  <c r="H24" i="6" l="1"/>
  <c r="G19" i="6"/>
  <c r="G20" i="6" s="1"/>
  <c r="G11" i="6"/>
  <c r="H4" i="6"/>
  <c r="H8" i="6" s="1"/>
  <c r="H11" i="6" s="1"/>
  <c r="G23" i="8"/>
  <c r="H25" i="6"/>
  <c r="H29" i="6" s="1"/>
  <c r="H7" i="6"/>
  <c r="H30" i="6" l="1"/>
  <c r="H19" i="6" s="1"/>
  <c r="H20" i="6" s="1"/>
</calcChain>
</file>

<file path=xl/sharedStrings.xml><?xml version="1.0" encoding="utf-8"?>
<sst xmlns="http://schemas.openxmlformats.org/spreadsheetml/2006/main" count="271" uniqueCount="139">
  <si>
    <t>Item</t>
  </si>
  <si>
    <t>Rate/ Unit</t>
  </si>
  <si>
    <t>Units</t>
  </si>
  <si>
    <t>Amounts</t>
  </si>
  <si>
    <t>1. Land</t>
  </si>
  <si>
    <t>2. Depreciable Assets</t>
  </si>
  <si>
    <t>Factory Structure</t>
  </si>
  <si>
    <t>Plant and machinery</t>
  </si>
  <si>
    <t>Electronic / Electrical Equipments</t>
  </si>
  <si>
    <t>Furniture</t>
  </si>
  <si>
    <t>Items</t>
  </si>
  <si>
    <t>Rate / Unit</t>
  </si>
  <si>
    <t xml:space="preserve">Qty </t>
  </si>
  <si>
    <t>Amount</t>
  </si>
  <si>
    <t>Electrical / Electronic Equipments</t>
  </si>
  <si>
    <t>Ceiling Fans</t>
  </si>
  <si>
    <t>Exhaust Fans</t>
  </si>
  <si>
    <t>Tube lights</t>
  </si>
  <si>
    <t>Safety Equipments</t>
  </si>
  <si>
    <t>Water Pumps</t>
  </si>
  <si>
    <t>PC and others</t>
  </si>
  <si>
    <t>Tables</t>
  </si>
  <si>
    <t>Cupboards</t>
  </si>
  <si>
    <t>Sofa sets</t>
  </si>
  <si>
    <t>Chairs</t>
  </si>
  <si>
    <t>Partitions</t>
  </si>
  <si>
    <t>Computer Tables</t>
  </si>
  <si>
    <t>Cabins</t>
  </si>
  <si>
    <t>Lockers</t>
  </si>
  <si>
    <t>Stamp duty and registration charges ( 5 % )</t>
  </si>
  <si>
    <t>Site Development and Land preparation</t>
  </si>
  <si>
    <t>Legal charges</t>
  </si>
  <si>
    <t>Services- Constultants , advisors , Techinical report</t>
  </si>
  <si>
    <t>Electricity , Internet and Telephone</t>
  </si>
  <si>
    <t>Revenue</t>
  </si>
  <si>
    <t>Sales</t>
  </si>
  <si>
    <t>Expenses</t>
  </si>
  <si>
    <t>Raw material</t>
  </si>
  <si>
    <t>Assumption</t>
  </si>
  <si>
    <t>First year Total Sales</t>
  </si>
  <si>
    <t>Selling Price per unit</t>
  </si>
  <si>
    <t>Raw material cost per unit</t>
  </si>
  <si>
    <t>Operating Expenses</t>
  </si>
  <si>
    <t>Labour skilled</t>
  </si>
  <si>
    <t>Labour unskilled</t>
  </si>
  <si>
    <t>Labour - PF and Gratuity ( 15 % )</t>
  </si>
  <si>
    <t xml:space="preserve">Electricity </t>
  </si>
  <si>
    <t>Water utility</t>
  </si>
  <si>
    <t>Miscelleneous</t>
  </si>
  <si>
    <t>Marketing and Promotional expenses</t>
  </si>
  <si>
    <t>Working capital requirement</t>
  </si>
  <si>
    <t>1 month raw material</t>
  </si>
  <si>
    <t>12 months of Recurring expenses</t>
  </si>
  <si>
    <t>3. Preliminary and preoperative Expenses</t>
  </si>
  <si>
    <t>Total Project cost</t>
  </si>
  <si>
    <t>Means of Finance</t>
  </si>
  <si>
    <t>Own Capital</t>
  </si>
  <si>
    <t>Term loan</t>
  </si>
  <si>
    <t>Subsidy</t>
  </si>
  <si>
    <t>Subsidy @</t>
  </si>
  <si>
    <t>Captial cost</t>
  </si>
  <si>
    <t>Depriciation rate</t>
  </si>
  <si>
    <t>Depreciation</t>
  </si>
  <si>
    <t>WDV</t>
  </si>
  <si>
    <t>Year 1</t>
  </si>
  <si>
    <t>Year 2</t>
  </si>
  <si>
    <t>Year 3</t>
  </si>
  <si>
    <t>Year 4</t>
  </si>
  <si>
    <t>Year 5</t>
  </si>
  <si>
    <t>Rate of interest</t>
  </si>
  <si>
    <t>Sr.No.</t>
  </si>
  <si>
    <t>Month</t>
  </si>
  <si>
    <t>Principal</t>
  </si>
  <si>
    <t>EMI</t>
  </si>
  <si>
    <t>Interest Paid</t>
  </si>
  <si>
    <t>Principal Paid</t>
  </si>
  <si>
    <t>Balance Principal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</si>
  <si>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</si>
  <si>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</si>
  <si>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</si>
  <si>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</si>
  <si>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</si>
  <si>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</si>
  <si>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</si>
  <si>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</si>
  <si>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</si>
  <si>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</si>
  <si>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</si>
  <si>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</si>
  <si>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Rate</t>
  </si>
  <si>
    <t>Payment Periods</t>
  </si>
  <si>
    <t>Loan Amount</t>
  </si>
  <si>
    <t>nper</t>
  </si>
  <si>
    <t>pv</t>
  </si>
  <si>
    <t>Per</t>
  </si>
  <si>
    <t>Int</t>
  </si>
  <si>
    <t>Pri</t>
  </si>
  <si>
    <t>Interest</t>
  </si>
  <si>
    <t>Y1</t>
  </si>
  <si>
    <t>Y2</t>
  </si>
  <si>
    <t>Y3</t>
  </si>
  <si>
    <t>Y4</t>
  </si>
  <si>
    <t>Y5</t>
  </si>
  <si>
    <t>Payment Period ( Loan period months )</t>
  </si>
  <si>
    <t>Heads</t>
  </si>
  <si>
    <t>P &amp; P Expenses ( Amortized )</t>
  </si>
  <si>
    <t>Total Expenses</t>
  </si>
  <si>
    <t>Profit ( PBDIT)</t>
  </si>
  <si>
    <t>Profit ( PBIT)</t>
  </si>
  <si>
    <t>Interest on Term loans</t>
  </si>
  <si>
    <t>Profit ( PBT)</t>
  </si>
  <si>
    <t>Income Tax ( @ 30 % )</t>
  </si>
  <si>
    <t>PAT</t>
  </si>
  <si>
    <t>Drawings ( Amount Withdrawn )</t>
  </si>
  <si>
    <t>Retained Earning</t>
  </si>
  <si>
    <t>Cash Profit</t>
  </si>
  <si>
    <t>Add Depreciation</t>
  </si>
  <si>
    <t>Add P &amp; P Expenses ( Amortized )</t>
  </si>
  <si>
    <t>Liabilities</t>
  </si>
  <si>
    <t>Net Profit</t>
  </si>
  <si>
    <t>Less : drawings</t>
  </si>
  <si>
    <t>Retained Earnings</t>
  </si>
  <si>
    <t>Capital ( Opening Balance )</t>
  </si>
  <si>
    <t>Capital ( Closing Balance )</t>
  </si>
  <si>
    <t>Total Liabilities</t>
  </si>
  <si>
    <t>Assets</t>
  </si>
  <si>
    <t>4 . Working capital requirement ( Cash and Bank Balance )</t>
  </si>
  <si>
    <t>Land</t>
  </si>
  <si>
    <t>P &amp; P Expenses</t>
  </si>
  <si>
    <t>Cash and Bank balance</t>
  </si>
  <si>
    <t>Depreciable Assets ( Opening Balance )</t>
  </si>
  <si>
    <t>Written down value ( Closing Balance )</t>
  </si>
  <si>
    <t>Total Assets</t>
  </si>
  <si>
    <t>Oth Year</t>
  </si>
  <si>
    <t xml:space="preserve">Cash flow Statement </t>
  </si>
  <si>
    <t>Principal Repaid</t>
  </si>
  <si>
    <t>Net Cash inflow</t>
  </si>
  <si>
    <t>Opening Balance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</si>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</sst>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₹&quot;\ #,##0.00;[Red]&quot;₹&quot;\ \-#,##0.00"/>
    <numFmt numFmtId="165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1"/>
      <color rgb="FF002060"/>
      <name val="Times New Roman"/>
      <family val="1"/>
    </font>
    <font>
      <i/>
      <sz val="11"/>
      <color theme="0" tint="-0.499984740745262"/>
      <name val="Times New Roman"/>
      <family val="1"/>
    </font>
    <font>
      <b/>
      <sz val="11"/>
      <color rgb="FFC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165" fontId="3" fillId="2" borderId="0" xfId="1" applyFont="1" applyFill="1"/>
    <xf numFmtId="165" fontId="4" fillId="0" borderId="0" xfId="1" applyFont="1"/>
    <xf numFmtId="0" fontId="3" fillId="3" borderId="0" xfId="0" applyFont="1" applyFill="1"/>
    <xf numFmtId="165" fontId="3" fillId="3" borderId="0" xfId="1" applyFont="1" applyFill="1"/>
    <xf numFmtId="0" fontId="3" fillId="2" borderId="0" xfId="0" applyFont="1" applyFill="1" applyBorder="1"/>
    <xf numFmtId="165" fontId="3" fillId="2" borderId="0" xfId="1" applyFont="1" applyFill="1" applyBorder="1"/>
    <xf numFmtId="0" fontId="4" fillId="0" borderId="0" xfId="0" applyFont="1" applyBorder="1"/>
    <xf numFmtId="0" fontId="3" fillId="3" borderId="0" xfId="0" applyFont="1" applyFill="1" applyBorder="1"/>
    <xf numFmtId="0" fontId="4" fillId="3" borderId="0" xfId="0" applyFont="1" applyFill="1" applyBorder="1"/>
    <xf numFmtId="165" fontId="4" fillId="3" borderId="0" xfId="1" applyFon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4" fillId="0" borderId="0" xfId="0" applyFont="1" applyBorder="1" applyAlignment="1">
      <alignment horizontal="left" indent="1"/>
    </xf>
    <xf numFmtId="165" fontId="4" fillId="0" borderId="0" xfId="1" applyFont="1" applyBorder="1"/>
    <xf numFmtId="43" fontId="3" fillId="4" borderId="0" xfId="0" applyNumberFormat="1" applyFont="1" applyFill="1" applyBorder="1"/>
    <xf numFmtId="0" fontId="4" fillId="5" borderId="0" xfId="0" applyFont="1" applyFill="1"/>
    <xf numFmtId="165" fontId="4" fillId="5" borderId="0" xfId="1" applyFont="1" applyFill="1"/>
    <xf numFmtId="165" fontId="3" fillId="5" borderId="0" xfId="1" applyFont="1" applyFill="1"/>
    <xf numFmtId="0" fontId="3" fillId="5" borderId="0" xfId="0" applyFont="1" applyFill="1"/>
    <xf numFmtId="165" fontId="0" fillId="0" borderId="0" xfId="1" applyFont="1"/>
    <xf numFmtId="0" fontId="0" fillId="3" borderId="0" xfId="0" applyFill="1"/>
    <xf numFmtId="165" fontId="0" fillId="3" borderId="0" xfId="1" applyFont="1" applyFill="1"/>
    <xf numFmtId="165" fontId="2" fillId="2" borderId="0" xfId="1" applyFont="1" applyFill="1"/>
    <xf numFmtId="0" fontId="2" fillId="3" borderId="0" xfId="0" applyFont="1" applyFill="1"/>
    <xf numFmtId="0" fontId="2" fillId="0" borderId="0" xfId="0" applyFont="1"/>
    <xf numFmtId="9" fontId="0" fillId="0" borderId="0" xfId="0" applyNumberFormat="1"/>
    <xf numFmtId="165" fontId="0" fillId="0" borderId="0" xfId="0" applyNumberFormat="1"/>
    <xf numFmtId="0" fontId="5" fillId="6" borderId="0" xfId="0" applyFont="1" applyFill="1"/>
    <xf numFmtId="9" fontId="0" fillId="0" borderId="0" xfId="2" applyFont="1"/>
    <xf numFmtId="0" fontId="2" fillId="6" borderId="0" xfId="0" applyFont="1" applyFill="1"/>
    <xf numFmtId="165" fontId="2" fillId="3" borderId="0" xfId="0" applyNumberFormat="1" applyFont="1" applyFill="1"/>
    <xf numFmtId="0" fontId="2" fillId="6" borderId="1" xfId="0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3" fillId="7" borderId="0" xfId="0" applyFont="1" applyFill="1"/>
    <xf numFmtId="0" fontId="4" fillId="0" borderId="0" xfId="0" applyFont="1" applyAlignment="1">
      <alignment horizontal="center"/>
    </xf>
    <xf numFmtId="2" fontId="0" fillId="0" borderId="0" xfId="0" applyNumberFormat="1"/>
    <xf numFmtId="9" fontId="3" fillId="8" borderId="0" xfId="0" applyNumberFormat="1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64" fontId="4" fillId="0" borderId="0" xfId="0" applyNumberFormat="1" applyFont="1" applyAlignment="1">
      <alignment horizontal="center"/>
    </xf>
    <xf numFmtId="0" fontId="4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Font="1"/>
    <xf numFmtId="0" fontId="4" fillId="6" borderId="0" xfId="0" applyFont="1" applyFill="1"/>
    <xf numFmtId="165" fontId="4" fillId="6" borderId="0" xfId="0" applyNumberFormat="1" applyFont="1" applyFill="1" applyAlignment="1">
      <alignment horizontal="center"/>
    </xf>
    <xf numFmtId="0" fontId="3" fillId="6" borderId="0" xfId="0" applyFont="1" applyFill="1"/>
    <xf numFmtId="0" fontId="4" fillId="10" borderId="0" xfId="0" applyFont="1" applyFill="1"/>
    <xf numFmtId="0" fontId="4" fillId="3" borderId="0" xfId="0" applyFont="1" applyFill="1"/>
    <xf numFmtId="165" fontId="3" fillId="5" borderId="0" xfId="1" applyFont="1" applyFill="1" applyAlignment="1">
      <alignment horizontal="center"/>
    </xf>
    <xf numFmtId="165" fontId="4" fillId="0" borderId="0" xfId="1" applyFont="1" applyAlignment="1">
      <alignment horizontal="center"/>
    </xf>
    <xf numFmtId="165" fontId="3" fillId="6" borderId="0" xfId="1" applyFont="1" applyFill="1" applyAlignment="1">
      <alignment horizontal="center"/>
    </xf>
    <xf numFmtId="165" fontId="4" fillId="10" borderId="0" xfId="1" applyFont="1" applyFill="1" applyAlignment="1">
      <alignment horizontal="center"/>
    </xf>
    <xf numFmtId="165" fontId="4" fillId="3" borderId="0" xfId="1" applyFont="1" applyFill="1" applyAlignment="1">
      <alignment horizontal="center"/>
    </xf>
    <xf numFmtId="165" fontId="3" fillId="7" borderId="0" xfId="1" applyFont="1" applyFill="1" applyAlignment="1">
      <alignment horizontal="center"/>
    </xf>
    <xf numFmtId="0" fontId="3" fillId="4" borderId="0" xfId="0" applyFont="1" applyFill="1"/>
    <xf numFmtId="165" fontId="3" fillId="4" borderId="0" xfId="1" applyFont="1" applyFill="1" applyAlignment="1">
      <alignment horizontal="center"/>
    </xf>
    <xf numFmtId="0" fontId="0" fillId="0" borderId="0" xfId="0" applyAlignment="1">
      <alignment horizontal="center"/>
    </xf>
    <xf numFmtId="165" fontId="4" fillId="6" borderId="0" xfId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3" fillId="7" borderId="0" xfId="0" applyNumberFormat="1" applyFont="1" applyFill="1"/>
    <xf numFmtId="4" fontId="3" fillId="5" borderId="1" xfId="0" applyNumberFormat="1" applyFont="1" applyFill="1" applyBorder="1"/>
    <xf numFmtId="4" fontId="3" fillId="5" borderId="1" xfId="0" applyNumberFormat="1" applyFont="1" applyFill="1" applyBorder="1" applyAlignment="1">
      <alignment horizontal="center"/>
    </xf>
    <xf numFmtId="4" fontId="4" fillId="9" borderId="1" xfId="0" applyNumberFormat="1" applyFont="1" applyFill="1" applyBorder="1"/>
    <xf numFmtId="4" fontId="3" fillId="5" borderId="0" xfId="0" applyNumberFormat="1" applyFont="1" applyFill="1"/>
    <xf numFmtId="4" fontId="3" fillId="5" borderId="0" xfId="1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4" fontId="4" fillId="7" borderId="0" xfId="0" applyNumberFormat="1" applyFont="1" applyFill="1"/>
    <xf numFmtId="4" fontId="7" fillId="0" borderId="0" xfId="0" applyNumberFormat="1" applyFont="1"/>
    <xf numFmtId="4" fontId="3" fillId="3" borderId="0" xfId="0" applyNumberFormat="1" applyFont="1" applyFill="1"/>
    <xf numFmtId="4" fontId="8" fillId="0" borderId="0" xfId="0" applyNumberFormat="1" applyFont="1"/>
    <xf numFmtId="4" fontId="3" fillId="11" borderId="0" xfId="0" applyNumberFormat="1" applyFont="1" applyFill="1"/>
    <xf numFmtId="4" fontId="3" fillId="11" borderId="0" xfId="1" applyNumberFormat="1" applyFont="1" applyFill="1" applyAlignment="1">
      <alignment horizontal="center"/>
    </xf>
    <xf numFmtId="4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063C-8403-4F4A-88C7-40475E0E0046}">
  <dimension ref="B3:G21"/>
  <sheetViews>
    <sheetView topLeftCell="A4" zoomScale="115" zoomScaleNormal="115" workbookViewId="0">
      <selection activeCell="B23" sqref="B23"/>
    </sheetView>
  </sheetViews>
  <sheetFormatPr defaultRowHeight="15" x14ac:dyDescent="0.25"/>
  <cols>
    <col min="2" max="2" width="32.42578125" customWidth="1"/>
    <col min="3" max="3" width="13.42578125" bestFit="1" customWidth="1"/>
  </cols>
  <sheetData>
    <row r="3" spans="2:7" x14ac:dyDescent="0.25">
      <c r="B3" t="s">
        <v>38</v>
      </c>
    </row>
    <row r="4" spans="2:7" x14ac:dyDescent="0.25">
      <c r="D4" s="64" t="s">
        <v>99</v>
      </c>
      <c r="E4" s="64" t="s">
        <v>100</v>
      </c>
      <c r="F4" s="64" t="s">
        <v>101</v>
      </c>
      <c r="G4" s="64" t="s">
        <v>102</v>
      </c>
    </row>
    <row r="5" spans="2:7" x14ac:dyDescent="0.25">
      <c r="B5" t="s">
        <v>39</v>
      </c>
      <c r="C5" s="23">
        <v>70000</v>
      </c>
      <c r="D5" s="29">
        <v>0.1</v>
      </c>
      <c r="E5" s="29">
        <v>0.1</v>
      </c>
      <c r="F5" s="29">
        <v>0.1</v>
      </c>
      <c r="G5" s="29">
        <v>0.1</v>
      </c>
    </row>
    <row r="6" spans="2:7" x14ac:dyDescent="0.25">
      <c r="B6" t="s">
        <v>40</v>
      </c>
      <c r="C6">
        <v>50</v>
      </c>
    </row>
    <row r="7" spans="2:7" x14ac:dyDescent="0.25">
      <c r="B7" t="s">
        <v>41</v>
      </c>
      <c r="C7">
        <v>20</v>
      </c>
      <c r="D7" s="29">
        <v>0.05</v>
      </c>
      <c r="E7" s="29">
        <v>0.05</v>
      </c>
      <c r="F7" s="29">
        <v>0.05</v>
      </c>
      <c r="G7" s="29">
        <v>0.05</v>
      </c>
    </row>
    <row r="8" spans="2:7" x14ac:dyDescent="0.25">
      <c r="B8" t="s">
        <v>42</v>
      </c>
      <c r="D8" s="29">
        <v>7.0000000000000007E-2</v>
      </c>
      <c r="E8" s="29">
        <v>7.0000000000000007E-2</v>
      </c>
      <c r="F8" s="29">
        <v>7.0000000000000007E-2</v>
      </c>
      <c r="G8" s="29">
        <v>7.0000000000000007E-2</v>
      </c>
    </row>
    <row r="10" spans="2:7" x14ac:dyDescent="0.25">
      <c r="B10" t="s">
        <v>56</v>
      </c>
      <c r="C10" s="23">
        <v>1000000</v>
      </c>
    </row>
    <row r="11" spans="2:7" x14ac:dyDescent="0.25">
      <c r="B11" t="s">
        <v>59</v>
      </c>
      <c r="C11" s="29">
        <v>0.15</v>
      </c>
    </row>
    <row r="13" spans="2:7" x14ac:dyDescent="0.25">
      <c r="B13" t="s">
        <v>61</v>
      </c>
    </row>
    <row r="14" spans="2:7" x14ac:dyDescent="0.25">
      <c r="B14" s="3" t="s">
        <v>6</v>
      </c>
      <c r="C14" s="29">
        <v>0.15</v>
      </c>
    </row>
    <row r="15" spans="2:7" x14ac:dyDescent="0.25">
      <c r="B15" s="3" t="s">
        <v>7</v>
      </c>
      <c r="C15" s="32">
        <v>0.1</v>
      </c>
    </row>
    <row r="16" spans="2:7" x14ac:dyDescent="0.25">
      <c r="B16" s="3" t="s">
        <v>8</v>
      </c>
      <c r="C16" s="32">
        <v>0.15</v>
      </c>
    </row>
    <row r="17" spans="2:3" x14ac:dyDescent="0.25">
      <c r="B17" s="3" t="s">
        <v>9</v>
      </c>
      <c r="C17" s="32">
        <v>0.3</v>
      </c>
    </row>
    <row r="20" spans="2:3" x14ac:dyDescent="0.25">
      <c r="B20" s="3" t="s">
        <v>69</v>
      </c>
      <c r="C20" s="29">
        <v>0.11</v>
      </c>
    </row>
    <row r="21" spans="2:3" x14ac:dyDescent="0.25">
      <c r="B21" s="3" t="s">
        <v>103</v>
      </c>
      <c r="C21" s="39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0388-F2A4-440B-91BE-9F03A7575959}">
  <dimension ref="B2:J31"/>
  <sheetViews>
    <sheetView topLeftCell="A16" workbookViewId="0">
      <selection activeCell="E9" sqref="E9"/>
    </sheetView>
  </sheetViews>
  <sheetFormatPr defaultColWidth="8.85546875" defaultRowHeight="15" x14ac:dyDescent="0.25"/>
  <cols>
    <col min="1" max="1" width="8.85546875" style="3"/>
    <col min="2" max="2" width="38.5703125" style="3" customWidth="1"/>
    <col min="3" max="3" width="14.7109375" style="3" customWidth="1"/>
    <col min="4" max="4" width="11.28515625" style="3" customWidth="1"/>
    <col min="5" max="5" width="15.28515625" style="5" customWidth="1"/>
    <col min="6" max="6" width="8.85546875" style="3"/>
    <col min="7" max="7" width="24.42578125" style="3" customWidth="1"/>
    <col min="8" max="8" width="15.28515625" style="3" customWidth="1"/>
    <col min="9" max="9" width="9.7109375" style="3" customWidth="1"/>
    <col min="10" max="10" width="15" style="3" customWidth="1"/>
    <col min="11" max="16384" width="8.85546875" style="3"/>
  </cols>
  <sheetData>
    <row r="2" spans="2:10" x14ac:dyDescent="0.25">
      <c r="B2" s="2" t="s">
        <v>0</v>
      </c>
      <c r="C2" s="2" t="s">
        <v>1</v>
      </c>
      <c r="D2" s="2" t="s">
        <v>2</v>
      </c>
      <c r="E2" s="4" t="s">
        <v>3</v>
      </c>
      <c r="G2" s="8" t="s">
        <v>10</v>
      </c>
      <c r="H2" s="8" t="s">
        <v>11</v>
      </c>
      <c r="I2" s="8" t="s">
        <v>12</v>
      </c>
      <c r="J2" s="9" t="s">
        <v>13</v>
      </c>
    </row>
    <row r="3" spans="2:10" x14ac:dyDescent="0.25">
      <c r="G3" s="10"/>
      <c r="H3" s="10"/>
      <c r="I3" s="10"/>
      <c r="J3" s="10"/>
    </row>
    <row r="4" spans="2:10" x14ac:dyDescent="0.25">
      <c r="B4" s="6" t="s">
        <v>4</v>
      </c>
      <c r="C4" s="6"/>
      <c r="D4" s="6"/>
      <c r="E4" s="7">
        <v>600000</v>
      </c>
      <c r="G4" s="11"/>
      <c r="H4" s="12"/>
      <c r="I4" s="12"/>
      <c r="J4" s="13"/>
    </row>
    <row r="5" spans="2:10" x14ac:dyDescent="0.25">
      <c r="G5" s="10"/>
      <c r="H5" s="10"/>
      <c r="I5" s="10"/>
      <c r="J5" s="10"/>
    </row>
    <row r="6" spans="2:10" x14ac:dyDescent="0.25">
      <c r="B6" s="22" t="s">
        <v>5</v>
      </c>
      <c r="C6" s="19"/>
      <c r="D6" s="19"/>
      <c r="E6" s="20"/>
      <c r="G6" s="14" t="s">
        <v>14</v>
      </c>
      <c r="H6" s="15"/>
      <c r="I6" s="15"/>
      <c r="J6" s="15"/>
    </row>
    <row r="7" spans="2:10" x14ac:dyDescent="0.25">
      <c r="B7" s="3" t="s">
        <v>6</v>
      </c>
      <c r="E7" s="5">
        <v>450000</v>
      </c>
      <c r="G7" s="16" t="s">
        <v>15</v>
      </c>
      <c r="H7" s="10">
        <v>1200</v>
      </c>
      <c r="I7" s="10">
        <v>25</v>
      </c>
      <c r="J7" s="17">
        <f>I7*H7</f>
        <v>30000</v>
      </c>
    </row>
    <row r="8" spans="2:10" x14ac:dyDescent="0.25">
      <c r="B8" s="3" t="s">
        <v>7</v>
      </c>
      <c r="E8" s="5">
        <v>175000</v>
      </c>
      <c r="G8" s="16" t="s">
        <v>16</v>
      </c>
      <c r="H8" s="10">
        <v>500</v>
      </c>
      <c r="I8" s="10">
        <v>15</v>
      </c>
      <c r="J8" s="17">
        <f t="shared" ref="J8:J12" si="0">I8*H8</f>
        <v>7500</v>
      </c>
    </row>
    <row r="9" spans="2:10" x14ac:dyDescent="0.25">
      <c r="B9" s="3" t="s">
        <v>8</v>
      </c>
      <c r="E9" s="5">
        <f>J13</f>
        <v>211000</v>
      </c>
      <c r="G9" s="16" t="s">
        <v>17</v>
      </c>
      <c r="H9" s="10">
        <v>350</v>
      </c>
      <c r="I9" s="10">
        <v>50</v>
      </c>
      <c r="J9" s="17">
        <f t="shared" si="0"/>
        <v>17500</v>
      </c>
    </row>
    <row r="10" spans="2:10" x14ac:dyDescent="0.25">
      <c r="B10" s="3" t="s">
        <v>9</v>
      </c>
      <c r="E10" s="5">
        <f>J24</f>
        <v>163500</v>
      </c>
      <c r="G10" s="16" t="s">
        <v>18</v>
      </c>
      <c r="H10" s="10">
        <v>2000</v>
      </c>
      <c r="I10" s="10">
        <v>1</v>
      </c>
      <c r="J10" s="17">
        <f t="shared" si="0"/>
        <v>2000</v>
      </c>
    </row>
    <row r="11" spans="2:10" x14ac:dyDescent="0.25">
      <c r="G11" s="16" t="s">
        <v>19</v>
      </c>
      <c r="H11" s="10">
        <v>4000</v>
      </c>
      <c r="I11" s="10">
        <v>1</v>
      </c>
      <c r="J11" s="17">
        <f t="shared" si="0"/>
        <v>4000</v>
      </c>
    </row>
    <row r="12" spans="2:10" x14ac:dyDescent="0.25">
      <c r="E12" s="21">
        <f>SUM(E7:E11)</f>
        <v>999500</v>
      </c>
      <c r="G12" s="16" t="s">
        <v>20</v>
      </c>
      <c r="H12" s="10">
        <v>30000</v>
      </c>
      <c r="I12" s="10">
        <v>5</v>
      </c>
      <c r="J12" s="17">
        <f t="shared" si="0"/>
        <v>150000</v>
      </c>
    </row>
    <row r="13" spans="2:10" x14ac:dyDescent="0.25">
      <c r="G13" s="10"/>
      <c r="H13" s="10"/>
      <c r="I13" s="10"/>
      <c r="J13" s="18">
        <f>SUM(J7:J12)</f>
        <v>211000</v>
      </c>
    </row>
    <row r="14" spans="2:10" x14ac:dyDescent="0.25">
      <c r="B14" s="6" t="s">
        <v>53</v>
      </c>
      <c r="C14" s="6"/>
      <c r="D14" s="6"/>
      <c r="E14" s="7"/>
      <c r="G14" s="10"/>
      <c r="H14" s="10"/>
      <c r="I14" s="10"/>
      <c r="J14" s="17"/>
    </row>
    <row r="15" spans="2:10" x14ac:dyDescent="0.25">
      <c r="B15" s="3" t="s">
        <v>29</v>
      </c>
      <c r="E15" s="5">
        <f>E4*5%</f>
        <v>30000</v>
      </c>
      <c r="G15" s="14" t="s">
        <v>9</v>
      </c>
      <c r="H15" s="15"/>
      <c r="I15" s="15"/>
      <c r="J15" s="15"/>
    </row>
    <row r="16" spans="2:10" x14ac:dyDescent="0.25">
      <c r="B16" s="3" t="s">
        <v>30</v>
      </c>
      <c r="E16" s="5">
        <v>75000</v>
      </c>
      <c r="G16" s="16" t="s">
        <v>21</v>
      </c>
      <c r="H16" s="10">
        <v>2000</v>
      </c>
      <c r="I16" s="10">
        <v>20</v>
      </c>
      <c r="J16" s="17">
        <f t="shared" ref="J16:J23" si="1">I16*H16</f>
        <v>40000</v>
      </c>
    </row>
    <row r="17" spans="2:10" x14ac:dyDescent="0.25">
      <c r="B17" s="3" t="s">
        <v>31</v>
      </c>
      <c r="E17" s="5">
        <v>15000</v>
      </c>
      <c r="G17" s="16" t="s">
        <v>22</v>
      </c>
      <c r="H17" s="10">
        <v>2500</v>
      </c>
      <c r="I17" s="10">
        <v>10</v>
      </c>
      <c r="J17" s="17">
        <f t="shared" si="1"/>
        <v>25000</v>
      </c>
    </row>
    <row r="18" spans="2:10" x14ac:dyDescent="0.25">
      <c r="B18" s="3" t="s">
        <v>32</v>
      </c>
      <c r="E18" s="5">
        <v>25000</v>
      </c>
      <c r="G18" s="16" t="s">
        <v>23</v>
      </c>
      <c r="H18" s="10">
        <v>1500</v>
      </c>
      <c r="I18" s="10">
        <v>1</v>
      </c>
      <c r="J18" s="17">
        <f t="shared" si="1"/>
        <v>1500</v>
      </c>
    </row>
    <row r="19" spans="2:10" x14ac:dyDescent="0.25">
      <c r="B19" s="3" t="s">
        <v>33</v>
      </c>
      <c r="E19" s="5">
        <v>100000</v>
      </c>
      <c r="G19" s="16" t="s">
        <v>24</v>
      </c>
      <c r="H19" s="10">
        <v>275</v>
      </c>
      <c r="I19" s="10">
        <v>20</v>
      </c>
      <c r="J19" s="17">
        <f t="shared" si="1"/>
        <v>5500</v>
      </c>
    </row>
    <row r="20" spans="2:10" x14ac:dyDescent="0.25">
      <c r="G20" s="16" t="s">
        <v>25</v>
      </c>
      <c r="H20" s="10">
        <v>10000</v>
      </c>
      <c r="I20" s="10">
        <v>4</v>
      </c>
      <c r="J20" s="17">
        <f t="shared" si="1"/>
        <v>40000</v>
      </c>
    </row>
    <row r="21" spans="2:10" x14ac:dyDescent="0.25">
      <c r="E21" s="21">
        <f>SUM(E15:E20)</f>
        <v>245000</v>
      </c>
      <c r="G21" s="16" t="s">
        <v>26</v>
      </c>
      <c r="H21" s="10">
        <v>2500</v>
      </c>
      <c r="I21" s="10">
        <v>5</v>
      </c>
      <c r="J21" s="17">
        <f t="shared" si="1"/>
        <v>12500</v>
      </c>
    </row>
    <row r="22" spans="2:10" x14ac:dyDescent="0.25">
      <c r="G22" s="16" t="s">
        <v>27</v>
      </c>
      <c r="H22" s="10">
        <v>12000</v>
      </c>
      <c r="I22" s="10">
        <v>2</v>
      </c>
      <c r="J22" s="17">
        <f t="shared" si="1"/>
        <v>24000</v>
      </c>
    </row>
    <row r="23" spans="2:10" x14ac:dyDescent="0.25">
      <c r="B23" s="2" t="s">
        <v>126</v>
      </c>
      <c r="C23" s="2"/>
      <c r="D23" s="2"/>
      <c r="E23" s="4">
        <f>'2.Rev. Working Cap'!E24</f>
        <v>961922.66666666663</v>
      </c>
      <c r="G23" s="16" t="s">
        <v>28</v>
      </c>
      <c r="H23" s="10">
        <v>1000</v>
      </c>
      <c r="I23" s="10">
        <v>15</v>
      </c>
      <c r="J23" s="17">
        <f t="shared" si="1"/>
        <v>15000</v>
      </c>
    </row>
    <row r="24" spans="2:10" x14ac:dyDescent="0.25">
      <c r="G24" s="10"/>
      <c r="H24" s="10"/>
      <c r="I24" s="10"/>
      <c r="J24" s="18">
        <f>SUM(J16:J23)</f>
        <v>163500</v>
      </c>
    </row>
    <row r="25" spans="2:10" x14ac:dyDescent="0.25">
      <c r="G25" s="10"/>
      <c r="H25" s="10"/>
      <c r="I25" s="10"/>
      <c r="J25" s="10"/>
    </row>
    <row r="26" spans="2:10" x14ac:dyDescent="0.25">
      <c r="B26" s="22" t="s">
        <v>54</v>
      </c>
      <c r="C26" s="22"/>
      <c r="D26" s="22"/>
      <c r="E26" s="21">
        <f>E4+E12+E21+E23</f>
        <v>2806422.6666666665</v>
      </c>
      <c r="G26" s="10"/>
      <c r="H26" s="10"/>
      <c r="I26" s="10"/>
      <c r="J26" s="10"/>
    </row>
    <row r="27" spans="2:10" x14ac:dyDescent="0.25">
      <c r="G27" s="10"/>
      <c r="H27" s="10"/>
      <c r="I27" s="10"/>
      <c r="J27" s="10"/>
    </row>
    <row r="28" spans="2:10" x14ac:dyDescent="0.25">
      <c r="B28" s="22" t="s">
        <v>55</v>
      </c>
      <c r="C28" s="22"/>
      <c r="D28" s="22"/>
      <c r="E28" s="21"/>
      <c r="G28" s="10"/>
      <c r="H28" s="10"/>
      <c r="I28" s="10"/>
      <c r="J28" s="10"/>
    </row>
    <row r="29" spans="2:10" x14ac:dyDescent="0.25">
      <c r="B29" s="3" t="s">
        <v>56</v>
      </c>
      <c r="E29" s="5">
        <f>Assumptions!C10</f>
        <v>1000000</v>
      </c>
    </row>
    <row r="30" spans="2:10" x14ac:dyDescent="0.25">
      <c r="B30" s="3" t="s">
        <v>57</v>
      </c>
      <c r="E30" s="5">
        <f>E26-E29-E31</f>
        <v>1385459.2666666666</v>
      </c>
    </row>
    <row r="31" spans="2:10" x14ac:dyDescent="0.25">
      <c r="B31" s="3" t="s">
        <v>58</v>
      </c>
      <c r="E31" s="5">
        <f>Assumptions!C11*'1.Project cost'!E26</f>
        <v>420963.39999999997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CAFE-242F-47F7-940F-0EC8E6806E4F}">
  <dimension ref="B2:E24"/>
  <sheetViews>
    <sheetView topLeftCell="A13" workbookViewId="0">
      <selection activeCell="D17" sqref="D17"/>
    </sheetView>
  </sheetViews>
  <sheetFormatPr defaultRowHeight="15" x14ac:dyDescent="0.25"/>
  <cols>
    <col min="2" max="2" width="33.5703125" customWidth="1"/>
    <col min="3" max="3" width="13.85546875" customWidth="1"/>
    <col min="4" max="4" width="11.140625" customWidth="1"/>
    <col min="5" max="5" width="17.7109375" style="23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4" t="s">
        <v>3</v>
      </c>
    </row>
    <row r="4" spans="2:5" x14ac:dyDescent="0.25">
      <c r="B4" s="27" t="s">
        <v>34</v>
      </c>
      <c r="C4" s="24"/>
      <c r="D4" s="24"/>
      <c r="E4" s="25"/>
    </row>
    <row r="5" spans="2:5" x14ac:dyDescent="0.25">
      <c r="B5" t="s">
        <v>35</v>
      </c>
      <c r="C5">
        <f>Assumptions!C6</f>
        <v>50</v>
      </c>
      <c r="D5">
        <f>Assumptions!C5</f>
        <v>70000</v>
      </c>
      <c r="E5" s="23">
        <f>D5*C5</f>
        <v>3500000</v>
      </c>
    </row>
    <row r="7" spans="2:5" x14ac:dyDescent="0.25">
      <c r="B7" s="1" t="s">
        <v>36</v>
      </c>
      <c r="C7" s="1"/>
      <c r="D7" s="1"/>
      <c r="E7" s="26"/>
    </row>
    <row r="8" spans="2:5" x14ac:dyDescent="0.25">
      <c r="B8" t="s">
        <v>37</v>
      </c>
      <c r="C8">
        <f>Assumptions!C7</f>
        <v>20</v>
      </c>
      <c r="D8">
        <f>D5</f>
        <v>70000</v>
      </c>
      <c r="E8" s="23">
        <f>C8*D8</f>
        <v>1400000</v>
      </c>
    </row>
    <row r="10" spans="2:5" x14ac:dyDescent="0.25">
      <c r="B10" s="28" t="s">
        <v>42</v>
      </c>
    </row>
    <row r="11" spans="2:5" x14ac:dyDescent="0.25">
      <c r="B11" t="s">
        <v>43</v>
      </c>
      <c r="C11">
        <v>350</v>
      </c>
      <c r="D11">
        <f>3*26*12</f>
        <v>936</v>
      </c>
      <c r="E11" s="23">
        <f>D11*C11</f>
        <v>327600</v>
      </c>
    </row>
    <row r="12" spans="2:5" x14ac:dyDescent="0.25">
      <c r="B12" t="s">
        <v>44</v>
      </c>
      <c r="C12">
        <v>190</v>
      </c>
      <c r="D12">
        <f t="shared" ref="D12" si="0">3*26*12</f>
        <v>936</v>
      </c>
      <c r="E12" s="23">
        <f>D12*C12</f>
        <v>177840</v>
      </c>
    </row>
    <row r="13" spans="2:5" x14ac:dyDescent="0.25">
      <c r="B13" t="s">
        <v>45</v>
      </c>
      <c r="E13" s="23">
        <f>15%*SUM(E11+E12)</f>
        <v>75816</v>
      </c>
    </row>
    <row r="14" spans="2:5" x14ac:dyDescent="0.25">
      <c r="B14" t="s">
        <v>46</v>
      </c>
      <c r="E14" s="23">
        <f>3000*12</f>
        <v>36000</v>
      </c>
    </row>
    <row r="15" spans="2:5" x14ac:dyDescent="0.25">
      <c r="B15" t="s">
        <v>47</v>
      </c>
      <c r="E15" s="23">
        <f>6000*12</f>
        <v>72000</v>
      </c>
    </row>
    <row r="16" spans="2:5" x14ac:dyDescent="0.25">
      <c r="B16" t="s">
        <v>48</v>
      </c>
      <c r="E16" s="23">
        <f>3000*12</f>
        <v>36000</v>
      </c>
    </row>
    <row r="17" spans="2:5" x14ac:dyDescent="0.25">
      <c r="B17" t="s">
        <v>49</v>
      </c>
      <c r="E17" s="23">
        <f>10000*12</f>
        <v>120000</v>
      </c>
    </row>
    <row r="18" spans="2:5" x14ac:dyDescent="0.25">
      <c r="E18" s="26">
        <f>SUM(E11:E17)</f>
        <v>845256</v>
      </c>
    </row>
    <row r="21" spans="2:5" x14ac:dyDescent="0.25">
      <c r="B21" s="1" t="s">
        <v>50</v>
      </c>
      <c r="C21" s="1"/>
      <c r="D21" s="1"/>
      <c r="E21" s="26"/>
    </row>
    <row r="22" spans="2:5" x14ac:dyDescent="0.25">
      <c r="B22" t="s">
        <v>51</v>
      </c>
      <c r="E22" s="23">
        <f>E8/12</f>
        <v>116666.66666666667</v>
      </c>
    </row>
    <row r="23" spans="2:5" x14ac:dyDescent="0.25">
      <c r="B23" t="s">
        <v>52</v>
      </c>
      <c r="E23" s="23">
        <f>E18</f>
        <v>845256</v>
      </c>
    </row>
    <row r="24" spans="2:5" x14ac:dyDescent="0.25">
      <c r="E24" s="26">
        <f>SUM(E22:E23)</f>
        <v>961922.66666666663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4E89-82DB-4575-BD56-53C156B601CA}">
  <dimension ref="B1:M13"/>
  <sheetViews>
    <sheetView workbookViewId="0">
      <selection activeCell="F11" sqref="F11"/>
    </sheetView>
  </sheetViews>
  <sheetFormatPr defaultRowHeight="15" x14ac:dyDescent="0.25"/>
  <cols>
    <col min="2" max="2" width="31.7109375" customWidth="1"/>
    <col min="3" max="3" width="14" customWidth="1"/>
    <col min="4" max="13" width="14.7109375" customWidth="1"/>
  </cols>
  <sheetData>
    <row r="1" spans="2:13" x14ac:dyDescent="0.25">
      <c r="D1" s="28" t="s">
        <v>64</v>
      </c>
      <c r="E1" s="28"/>
      <c r="F1" s="28" t="s">
        <v>65</v>
      </c>
      <c r="G1" s="28"/>
      <c r="H1" s="28" t="s">
        <v>66</v>
      </c>
      <c r="I1" s="28"/>
      <c r="J1" s="28" t="s">
        <v>67</v>
      </c>
      <c r="K1" s="28"/>
      <c r="L1" s="28" t="s">
        <v>68</v>
      </c>
      <c r="M1" s="28"/>
    </row>
    <row r="2" spans="2:13" x14ac:dyDescent="0.25">
      <c r="B2" s="31" t="s">
        <v>10</v>
      </c>
      <c r="C2" s="31" t="s">
        <v>60</v>
      </c>
      <c r="D2" s="33" t="s">
        <v>62</v>
      </c>
      <c r="E2" s="33" t="s">
        <v>63</v>
      </c>
      <c r="F2" s="33" t="s">
        <v>62</v>
      </c>
      <c r="G2" s="33" t="s">
        <v>63</v>
      </c>
      <c r="H2" s="33" t="s">
        <v>62</v>
      </c>
      <c r="I2" s="33" t="s">
        <v>63</v>
      </c>
      <c r="J2" s="33" t="s">
        <v>62</v>
      </c>
      <c r="K2" s="33" t="s">
        <v>63</v>
      </c>
      <c r="L2" s="33" t="s">
        <v>62</v>
      </c>
      <c r="M2" s="33" t="s">
        <v>63</v>
      </c>
    </row>
    <row r="3" spans="2:13" x14ac:dyDescent="0.25">
      <c r="B3" s="3" t="s">
        <v>6</v>
      </c>
      <c r="C3" s="30">
        <f>'1.Project cost'!E7</f>
        <v>450000</v>
      </c>
      <c r="D3" s="30">
        <f>$C10*C3</f>
        <v>67500</v>
      </c>
      <c r="E3" s="30">
        <f>C3-D3</f>
        <v>382500</v>
      </c>
      <c r="F3" s="30">
        <f t="shared" ref="F3" si="0">$C10*E3</f>
        <v>57375</v>
      </c>
      <c r="G3" s="30">
        <f t="shared" ref="G3" si="1">E3-F3</f>
        <v>325125</v>
      </c>
      <c r="H3" s="30">
        <f t="shared" ref="H3" si="2">$C10*G3</f>
        <v>48768.75</v>
      </c>
      <c r="I3" s="30">
        <f t="shared" ref="I3" si="3">G3-H3</f>
        <v>276356.25</v>
      </c>
      <c r="J3" s="30">
        <f t="shared" ref="J3" si="4">$C10*I3</f>
        <v>41453.4375</v>
      </c>
      <c r="K3" s="30">
        <f t="shared" ref="K3" si="5">I3-J3</f>
        <v>234902.8125</v>
      </c>
      <c r="L3" s="30">
        <f t="shared" ref="L3" si="6">$C10*K3</f>
        <v>35235.421875</v>
      </c>
      <c r="M3" s="30">
        <f t="shared" ref="M3" si="7">K3-L3</f>
        <v>199667.390625</v>
      </c>
    </row>
    <row r="4" spans="2:13" x14ac:dyDescent="0.25">
      <c r="B4" s="3" t="s">
        <v>7</v>
      </c>
      <c r="C4" s="30">
        <f>'1.Project cost'!E8</f>
        <v>175000</v>
      </c>
      <c r="D4" s="30">
        <f t="shared" ref="D4:D6" si="8">$C11*C4</f>
        <v>17500</v>
      </c>
      <c r="E4" s="30">
        <f t="shared" ref="E4:E6" si="9">C4-D4</f>
        <v>157500</v>
      </c>
      <c r="F4" s="30">
        <f t="shared" ref="F4" si="10">$C11*E4</f>
        <v>15750</v>
      </c>
      <c r="G4" s="30">
        <f t="shared" ref="G4:G6" si="11">E4-F4</f>
        <v>141750</v>
      </c>
      <c r="H4" s="30">
        <f t="shared" ref="H4" si="12">$C11*G4</f>
        <v>14175</v>
      </c>
      <c r="I4" s="30">
        <f t="shared" ref="I4:I6" si="13">G4-H4</f>
        <v>127575</v>
      </c>
      <c r="J4" s="30">
        <f t="shared" ref="J4" si="14">$C11*I4</f>
        <v>12757.5</v>
      </c>
      <c r="K4" s="30">
        <f t="shared" ref="K4:K6" si="15">I4-J4</f>
        <v>114817.5</v>
      </c>
      <c r="L4" s="30">
        <f t="shared" ref="L4" si="16">$C11*K4</f>
        <v>11481.75</v>
      </c>
      <c r="M4" s="30">
        <f t="shared" ref="M4:M6" si="17">K4-L4</f>
        <v>103335.75</v>
      </c>
    </row>
    <row r="5" spans="2:13" x14ac:dyDescent="0.25">
      <c r="B5" s="3" t="s">
        <v>8</v>
      </c>
      <c r="C5" s="30">
        <f>'1.Project cost'!E9</f>
        <v>211000</v>
      </c>
      <c r="D5" s="30">
        <f t="shared" si="8"/>
        <v>31650</v>
      </c>
      <c r="E5" s="30">
        <f t="shared" si="9"/>
        <v>179350</v>
      </c>
      <c r="F5" s="30">
        <f t="shared" ref="F5" si="18">$C12*E5</f>
        <v>26902.5</v>
      </c>
      <c r="G5" s="30">
        <f t="shared" si="11"/>
        <v>152447.5</v>
      </c>
      <c r="H5" s="30">
        <f t="shared" ref="H5" si="19">$C12*G5</f>
        <v>22867.125</v>
      </c>
      <c r="I5" s="30">
        <f t="shared" si="13"/>
        <v>129580.375</v>
      </c>
      <c r="J5" s="30">
        <f t="shared" ref="J5" si="20">$C12*I5</f>
        <v>19437.056249999998</v>
      </c>
      <c r="K5" s="30">
        <f t="shared" si="15"/>
        <v>110143.31875000001</v>
      </c>
      <c r="L5" s="30">
        <f t="shared" ref="L5" si="21">$C12*K5</f>
        <v>16521.497812500002</v>
      </c>
      <c r="M5" s="30">
        <f t="shared" si="17"/>
        <v>93621.820937500001</v>
      </c>
    </row>
    <row r="6" spans="2:13" x14ac:dyDescent="0.25">
      <c r="B6" s="3" t="s">
        <v>9</v>
      </c>
      <c r="C6" s="30">
        <f>'1.Project cost'!E10</f>
        <v>163500</v>
      </c>
      <c r="D6" s="30">
        <f t="shared" si="8"/>
        <v>49050</v>
      </c>
      <c r="E6" s="30">
        <f t="shared" si="9"/>
        <v>114450</v>
      </c>
      <c r="F6" s="30">
        <f t="shared" ref="F6" si="22">$C13*E6</f>
        <v>34335</v>
      </c>
      <c r="G6" s="30">
        <f t="shared" si="11"/>
        <v>80115</v>
      </c>
      <c r="H6" s="30">
        <f t="shared" ref="H6" si="23">$C13*G6</f>
        <v>24034.5</v>
      </c>
      <c r="I6" s="30">
        <f t="shared" si="13"/>
        <v>56080.5</v>
      </c>
      <c r="J6" s="30">
        <f t="shared" ref="J6" si="24">$C13*I6</f>
        <v>16824.149999999998</v>
      </c>
      <c r="K6" s="30">
        <f t="shared" si="15"/>
        <v>39256.350000000006</v>
      </c>
      <c r="L6" s="30">
        <f t="shared" ref="L6" si="25">$C13*K6</f>
        <v>11776.905000000001</v>
      </c>
      <c r="M6" s="30">
        <f t="shared" si="17"/>
        <v>27479.445000000007</v>
      </c>
    </row>
    <row r="7" spans="2:13" x14ac:dyDescent="0.25">
      <c r="C7" s="34">
        <f>SUM(C3:C6)</f>
        <v>999500</v>
      </c>
      <c r="D7" s="34">
        <f t="shared" ref="D7:M7" si="26">SUM(D3:D6)</f>
        <v>165700</v>
      </c>
      <c r="E7" s="34">
        <f t="shared" si="26"/>
        <v>833800</v>
      </c>
      <c r="F7" s="34">
        <f t="shared" si="26"/>
        <v>134362.5</v>
      </c>
      <c r="G7" s="34">
        <f t="shared" si="26"/>
        <v>699437.5</v>
      </c>
      <c r="H7" s="34">
        <f t="shared" si="26"/>
        <v>109845.375</v>
      </c>
      <c r="I7" s="34">
        <f t="shared" si="26"/>
        <v>589592.125</v>
      </c>
      <c r="J7" s="34">
        <f t="shared" si="26"/>
        <v>90472.143749999988</v>
      </c>
      <c r="K7" s="34">
        <f t="shared" si="26"/>
        <v>499119.98124999995</v>
      </c>
      <c r="L7" s="34">
        <f t="shared" si="26"/>
        <v>75015.574687500004</v>
      </c>
      <c r="M7" s="34">
        <f t="shared" si="26"/>
        <v>424104.40656249999</v>
      </c>
    </row>
    <row r="10" spans="2:13" x14ac:dyDescent="0.25">
      <c r="B10" s="3" t="s">
        <v>6</v>
      </c>
      <c r="C10" s="29">
        <f>Assumptions!C14</f>
        <v>0.15</v>
      </c>
      <c r="F10" s="35" t="s">
        <v>64</v>
      </c>
      <c r="G10" s="35" t="s">
        <v>65</v>
      </c>
      <c r="H10" s="35" t="s">
        <v>66</v>
      </c>
      <c r="I10" s="35" t="s">
        <v>67</v>
      </c>
      <c r="J10" s="35" t="s">
        <v>68</v>
      </c>
    </row>
    <row r="11" spans="2:13" x14ac:dyDescent="0.25">
      <c r="B11" s="3" t="s">
        <v>7</v>
      </c>
      <c r="C11" s="29">
        <f>Assumptions!C15</f>
        <v>0.1</v>
      </c>
      <c r="F11" s="36">
        <f>$D$7</f>
        <v>165700</v>
      </c>
      <c r="G11" s="36">
        <f>$F$7</f>
        <v>134362.5</v>
      </c>
      <c r="H11" s="36">
        <f>$H$7</f>
        <v>109845.375</v>
      </c>
      <c r="I11" s="36">
        <f>$J$7</f>
        <v>90472.143749999988</v>
      </c>
      <c r="J11" s="36">
        <f>$L$7</f>
        <v>75015.574687500004</v>
      </c>
    </row>
    <row r="12" spans="2:13" x14ac:dyDescent="0.25">
      <c r="B12" s="3" t="s">
        <v>8</v>
      </c>
      <c r="C12" s="29">
        <f>Assumptions!C16</f>
        <v>0.15</v>
      </c>
    </row>
    <row r="13" spans="2:13" x14ac:dyDescent="0.25">
      <c r="B13" s="3" t="s">
        <v>9</v>
      </c>
      <c r="C13" s="29">
        <f>Assumptions!C17</f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9F5D-28F3-4B15-8DB1-D7BC27390037}">
  <dimension ref="B1:Q65"/>
  <sheetViews>
    <sheetView topLeftCell="E1" workbookViewId="0">
      <selection activeCell="M17" sqref="M17"/>
    </sheetView>
  </sheetViews>
  <sheetFormatPr defaultColWidth="8.85546875" defaultRowHeight="15" x14ac:dyDescent="0.25"/>
  <cols>
    <col min="1" max="1" width="8.85546875" style="3"/>
    <col min="2" max="3" width="10.28515625" style="3" customWidth="1"/>
    <col min="4" max="8" width="15.28515625" style="38" customWidth="1"/>
    <col min="9" max="9" width="14.140625" style="38" customWidth="1"/>
    <col min="10" max="10" width="14.7109375" style="3" customWidth="1"/>
    <col min="11" max="11" width="10.28515625" style="3" customWidth="1"/>
    <col min="12" max="16" width="16.7109375" style="3" customWidth="1"/>
    <col min="17" max="16384" width="8.85546875" style="3"/>
  </cols>
  <sheetData>
    <row r="1" spans="2:17" x14ac:dyDescent="0.25">
      <c r="G1" s="46" t="s">
        <v>89</v>
      </c>
      <c r="H1" s="40">
        <f>Assumptions!C20</f>
        <v>0.11</v>
      </c>
      <c r="I1" s="43" t="s">
        <v>89</v>
      </c>
      <c r="K1" s="44" t="s">
        <v>94</v>
      </c>
    </row>
    <row r="2" spans="2:17" x14ac:dyDescent="0.25">
      <c r="G2" s="46" t="s">
        <v>90</v>
      </c>
      <c r="H2" s="41">
        <f>Assumptions!C21</f>
        <v>60</v>
      </c>
      <c r="I2" s="43" t="s">
        <v>92</v>
      </c>
    </row>
    <row r="3" spans="2:17" x14ac:dyDescent="0.25">
      <c r="G3" s="46" t="s">
        <v>91</v>
      </c>
      <c r="H3" s="42">
        <f>'1.Project cost'!E30</f>
        <v>1385459.2666666666</v>
      </c>
      <c r="I3" s="43" t="s">
        <v>93</v>
      </c>
    </row>
    <row r="4" spans="2:17" x14ac:dyDescent="0.25">
      <c r="B4" s="37" t="s">
        <v>70</v>
      </c>
      <c r="C4" s="37" t="s">
        <v>71</v>
      </c>
      <c r="D4" s="47" t="s">
        <v>72</v>
      </c>
      <c r="E4" s="47" t="s">
        <v>73</v>
      </c>
      <c r="F4" s="47" t="s">
        <v>74</v>
      </c>
      <c r="G4" s="47" t="s">
        <v>75</v>
      </c>
      <c r="H4" s="47" t="s">
        <v>76</v>
      </c>
      <c r="I4" s="66"/>
      <c r="J4" s="67"/>
      <c r="K4" s="67"/>
      <c r="L4" s="68" t="s">
        <v>74</v>
      </c>
      <c r="M4" s="68" t="s">
        <v>75</v>
      </c>
      <c r="N4" s="67"/>
      <c r="O4" s="67"/>
      <c r="P4" s="67"/>
      <c r="Q4" s="67"/>
    </row>
    <row r="5" spans="2:17" x14ac:dyDescent="0.25">
      <c r="B5" s="38">
        <v>1</v>
      </c>
      <c r="C5" s="38" t="s">
        <v>77</v>
      </c>
      <c r="D5" s="66">
        <f>H3</f>
        <v>1385459.2666666666</v>
      </c>
      <c r="E5" s="66">
        <f>PMT($H$1/12,$H$2,$H$3)</f>
        <v>-30123.24152578081</v>
      </c>
      <c r="F5" s="66">
        <f>IPMT($H$1/12,B5,$H$2,$H$3)</f>
        <v>-12700.043277777777</v>
      </c>
      <c r="G5" s="66">
        <f>PPMT($H$1/12,B5,$H$2,$H$3)</f>
        <v>-17423.198248003031</v>
      </c>
      <c r="H5" s="66">
        <f>D5+G5</f>
        <v>1368036.0684186635</v>
      </c>
      <c r="I5" s="66"/>
      <c r="J5" s="67"/>
      <c r="K5" s="67" t="s">
        <v>98</v>
      </c>
      <c r="L5" s="67">
        <f t="shared" ref="L5:M5" si="0">I16</f>
        <v>-141530.65568492681</v>
      </c>
      <c r="M5" s="67">
        <f t="shared" si="0"/>
        <v>-219948.24262444291</v>
      </c>
      <c r="N5" s="67"/>
      <c r="O5" s="67"/>
      <c r="P5" s="67"/>
      <c r="Q5" s="67"/>
    </row>
    <row r="6" spans="2:17" x14ac:dyDescent="0.25">
      <c r="B6" s="38">
        <v>2</v>
      </c>
      <c r="C6" s="38" t="s">
        <v>78</v>
      </c>
      <c r="D6" s="66">
        <f>H5</f>
        <v>1368036.0684186635</v>
      </c>
      <c r="E6" s="66">
        <f>PMT($H$1/12,$H$2,$H$3)</f>
        <v>-30123.24152578081</v>
      </c>
      <c r="F6" s="66">
        <f>IPMT($H$1/12,B6,$H$2,$H$3)</f>
        <v>-12540.330627171083</v>
      </c>
      <c r="G6" s="66">
        <f>PPMT($H$1/12,B6,$H$2,$H$3)</f>
        <v>-17582.910898609727</v>
      </c>
      <c r="H6" s="66">
        <f>D6+G6</f>
        <v>1350453.1575200537</v>
      </c>
      <c r="I6" s="66"/>
      <c r="J6" s="67"/>
      <c r="K6" s="67" t="s">
        <v>99</v>
      </c>
      <c r="L6" s="67">
        <f t="shared" ref="L6:M6" si="1">I28</f>
        <v>-116078.50102524384</v>
      </c>
      <c r="M6" s="67">
        <f t="shared" si="1"/>
        <v>-245400.39728412588</v>
      </c>
      <c r="N6" s="67"/>
      <c r="O6" s="67"/>
      <c r="P6" s="67"/>
      <c r="Q6" s="67"/>
    </row>
    <row r="7" spans="2:17" x14ac:dyDescent="0.25">
      <c r="B7" s="38">
        <v>3</v>
      </c>
      <c r="C7" s="38" t="s">
        <v>79</v>
      </c>
      <c r="D7" s="66">
        <f t="shared" ref="D7:D64" si="2">H6</f>
        <v>1350453.1575200537</v>
      </c>
      <c r="E7" s="66">
        <f t="shared" ref="E7:E64" si="3">PMT($H$1/12,$H$2,$H$3)</f>
        <v>-30123.24152578081</v>
      </c>
      <c r="F7" s="66">
        <f t="shared" ref="F7:F64" si="4">IPMT($H$1/12,B7,$H$2,$H$3)</f>
        <v>-12379.153943933825</v>
      </c>
      <c r="G7" s="66">
        <f t="shared" ref="G7:G64" si="5">PPMT($H$1/12,B7,$H$2,$H$3)</f>
        <v>-17744.087581846983</v>
      </c>
      <c r="H7" s="66">
        <f t="shared" ref="H7:H64" si="6">D7+G7</f>
        <v>1332709.0699382066</v>
      </c>
      <c r="I7" s="66"/>
      <c r="J7" s="67"/>
      <c r="K7" s="67" t="s">
        <v>100</v>
      </c>
      <c r="L7" s="67">
        <f t="shared" ref="L7:M7" si="7">I40</f>
        <v>-87681.052649681777</v>
      </c>
      <c r="M7" s="67">
        <f t="shared" si="7"/>
        <v>-273797.845659688</v>
      </c>
      <c r="N7" s="67"/>
      <c r="O7" s="67"/>
      <c r="P7" s="67"/>
      <c r="Q7" s="67"/>
    </row>
    <row r="8" spans="2:17" x14ac:dyDescent="0.25">
      <c r="B8" s="38">
        <v>4</v>
      </c>
      <c r="C8" s="38" t="s">
        <v>80</v>
      </c>
      <c r="D8" s="66">
        <f t="shared" si="2"/>
        <v>1332709.0699382066</v>
      </c>
      <c r="E8" s="66">
        <f t="shared" si="3"/>
        <v>-30123.24152578081</v>
      </c>
      <c r="F8" s="66">
        <f t="shared" si="4"/>
        <v>-12216.499807766895</v>
      </c>
      <c r="G8" s="66">
        <f t="shared" si="5"/>
        <v>-17906.741718013916</v>
      </c>
      <c r="H8" s="66">
        <f t="shared" si="6"/>
        <v>1314802.3282201926</v>
      </c>
      <c r="I8" s="66"/>
      <c r="J8" s="67"/>
      <c r="K8" s="67" t="s">
        <v>101</v>
      </c>
      <c r="L8" s="67">
        <f t="shared" ref="L8:M8" si="8">I52</f>
        <v>-55997.484597186005</v>
      </c>
      <c r="M8" s="67">
        <f t="shared" si="8"/>
        <v>-305481.41371218365</v>
      </c>
      <c r="N8" s="67"/>
      <c r="O8" s="67"/>
      <c r="P8" s="67"/>
      <c r="Q8" s="67"/>
    </row>
    <row r="9" spans="2:17" x14ac:dyDescent="0.25">
      <c r="B9" s="38">
        <v>5</v>
      </c>
      <c r="C9" s="38" t="s">
        <v>81</v>
      </c>
      <c r="D9" s="66">
        <f t="shared" si="2"/>
        <v>1314802.3282201926</v>
      </c>
      <c r="E9" s="66">
        <f t="shared" si="3"/>
        <v>-30123.24152578081</v>
      </c>
      <c r="F9" s="66">
        <f t="shared" si="4"/>
        <v>-12052.354675351768</v>
      </c>
      <c r="G9" s="66">
        <f t="shared" si="5"/>
        <v>-18070.886850429044</v>
      </c>
      <c r="H9" s="66">
        <f t="shared" si="6"/>
        <v>1296731.4413697636</v>
      </c>
      <c r="I9" s="66"/>
      <c r="J9" s="67"/>
      <c r="K9" s="67" t="s">
        <v>102</v>
      </c>
      <c r="L9" s="67">
        <f t="shared" ref="L9:M9" si="9">I64</f>
        <v>-20647.530923143589</v>
      </c>
      <c r="M9" s="67">
        <f t="shared" si="9"/>
        <v>-340831.36738622619</v>
      </c>
      <c r="N9" s="67"/>
      <c r="O9" s="67"/>
      <c r="P9" s="67"/>
      <c r="Q9" s="67"/>
    </row>
    <row r="10" spans="2:17" x14ac:dyDescent="0.25">
      <c r="B10" s="38">
        <v>6</v>
      </c>
      <c r="C10" s="38" t="s">
        <v>82</v>
      </c>
      <c r="D10" s="66">
        <f t="shared" si="2"/>
        <v>1296731.4413697636</v>
      </c>
      <c r="E10" s="66">
        <f t="shared" si="3"/>
        <v>-30123.24152578081</v>
      </c>
      <c r="F10" s="66">
        <f t="shared" si="4"/>
        <v>-11886.704879222834</v>
      </c>
      <c r="G10" s="66">
        <f t="shared" si="5"/>
        <v>-18236.536646557975</v>
      </c>
      <c r="H10" s="66">
        <f t="shared" si="6"/>
        <v>1278494.9047232056</v>
      </c>
      <c r="I10" s="66"/>
      <c r="J10" s="67"/>
      <c r="K10" s="67"/>
      <c r="L10" s="67"/>
      <c r="M10" s="67"/>
      <c r="N10" s="67"/>
      <c r="O10" s="67"/>
      <c r="P10" s="67"/>
      <c r="Q10" s="67"/>
    </row>
    <row r="11" spans="2:17" x14ac:dyDescent="0.25">
      <c r="B11" s="38">
        <v>7</v>
      </c>
      <c r="C11" s="38" t="s">
        <v>83</v>
      </c>
      <c r="D11" s="66">
        <f t="shared" si="2"/>
        <v>1278494.9047232056</v>
      </c>
      <c r="E11" s="66">
        <f t="shared" si="3"/>
        <v>-30123.24152578081</v>
      </c>
      <c r="F11" s="66">
        <f t="shared" si="4"/>
        <v>-11719.536626629388</v>
      </c>
      <c r="G11" s="66">
        <f t="shared" si="5"/>
        <v>-18403.704899151424</v>
      </c>
      <c r="H11" s="66">
        <f t="shared" si="6"/>
        <v>1260091.1998240543</v>
      </c>
      <c r="I11" s="66"/>
      <c r="J11" s="67"/>
      <c r="K11" s="67"/>
      <c r="L11" s="67"/>
      <c r="M11" s="67"/>
      <c r="N11" s="67"/>
      <c r="O11" s="67"/>
      <c r="P11" s="67"/>
      <c r="Q11" s="67"/>
    </row>
    <row r="12" spans="2:17" x14ac:dyDescent="0.25">
      <c r="B12" s="38">
        <v>8</v>
      </c>
      <c r="C12" s="38" t="s">
        <v>84</v>
      </c>
      <c r="D12" s="66">
        <f t="shared" si="2"/>
        <v>1260091.1998240543</v>
      </c>
      <c r="E12" s="66">
        <f t="shared" si="3"/>
        <v>-30123.24152578081</v>
      </c>
      <c r="F12" s="66">
        <f t="shared" si="4"/>
        <v>-11550.835998387163</v>
      </c>
      <c r="G12" s="66">
        <f t="shared" si="5"/>
        <v>-18572.405527393646</v>
      </c>
      <c r="H12" s="66">
        <f t="shared" si="6"/>
        <v>1241518.7942966607</v>
      </c>
      <c r="I12" s="66"/>
      <c r="J12" s="67"/>
      <c r="K12" s="69"/>
      <c r="L12" s="70" t="s">
        <v>98</v>
      </c>
      <c r="M12" s="70" t="s">
        <v>99</v>
      </c>
      <c r="N12" s="70" t="s">
        <v>100</v>
      </c>
      <c r="O12" s="70" t="s">
        <v>101</v>
      </c>
      <c r="P12" s="70" t="s">
        <v>102</v>
      </c>
      <c r="Q12" s="67"/>
    </row>
    <row r="13" spans="2:17" x14ac:dyDescent="0.25">
      <c r="B13" s="38">
        <v>9</v>
      </c>
      <c r="C13" s="38" t="s">
        <v>85</v>
      </c>
      <c r="D13" s="66">
        <f t="shared" si="2"/>
        <v>1241518.7942966607</v>
      </c>
      <c r="E13" s="66">
        <f t="shared" si="3"/>
        <v>-30123.24152578081</v>
      </c>
      <c r="F13" s="66">
        <f t="shared" si="4"/>
        <v>-11380.58894771939</v>
      </c>
      <c r="G13" s="66">
        <f t="shared" si="5"/>
        <v>-18742.652578061421</v>
      </c>
      <c r="H13" s="66">
        <f t="shared" si="6"/>
        <v>1222776.1417185992</v>
      </c>
      <c r="I13" s="66"/>
      <c r="J13" s="67"/>
      <c r="K13" s="69" t="s">
        <v>97</v>
      </c>
      <c r="L13" s="71">
        <f>L5</f>
        <v>-141530.65568492681</v>
      </c>
      <c r="M13" s="71">
        <f>L6</f>
        <v>-116078.50102524384</v>
      </c>
      <c r="N13" s="71">
        <f>L7</f>
        <v>-87681.052649681777</v>
      </c>
      <c r="O13" s="71">
        <f>L8</f>
        <v>-55997.484597186005</v>
      </c>
      <c r="P13" s="71">
        <f>L9</f>
        <v>-20647.530923143589</v>
      </c>
      <c r="Q13" s="67"/>
    </row>
    <row r="14" spans="2:17" x14ac:dyDescent="0.25">
      <c r="B14" s="38">
        <v>10</v>
      </c>
      <c r="C14" s="38" t="s">
        <v>86</v>
      </c>
      <c r="D14" s="66">
        <f t="shared" si="2"/>
        <v>1222776.1417185992</v>
      </c>
      <c r="E14" s="66">
        <f t="shared" si="3"/>
        <v>-30123.24152578081</v>
      </c>
      <c r="F14" s="66">
        <f t="shared" si="4"/>
        <v>-11208.781299087159</v>
      </c>
      <c r="G14" s="66">
        <f t="shared" si="5"/>
        <v>-18914.460226693649</v>
      </c>
      <c r="H14" s="66">
        <f t="shared" si="6"/>
        <v>1203861.6814919056</v>
      </c>
      <c r="I14" s="66"/>
      <c r="J14" s="67"/>
      <c r="K14" s="69" t="s">
        <v>72</v>
      </c>
      <c r="L14" s="71">
        <f>M5</f>
        <v>-219948.24262444291</v>
      </c>
      <c r="M14" s="71">
        <f>M6</f>
        <v>-245400.39728412588</v>
      </c>
      <c r="N14" s="71">
        <f>M7</f>
        <v>-273797.845659688</v>
      </c>
      <c r="O14" s="71">
        <f>M8</f>
        <v>-305481.41371218365</v>
      </c>
      <c r="P14" s="71">
        <f>M9</f>
        <v>-340831.36738622619</v>
      </c>
      <c r="Q14" s="67"/>
    </row>
    <row r="15" spans="2:17" x14ac:dyDescent="0.25">
      <c r="B15" s="38">
        <v>11</v>
      </c>
      <c r="C15" s="38" t="s">
        <v>87</v>
      </c>
      <c r="D15" s="66">
        <f t="shared" si="2"/>
        <v>1203861.6814919056</v>
      </c>
      <c r="E15" s="66">
        <f t="shared" si="3"/>
        <v>-30123.24152578081</v>
      </c>
      <c r="F15" s="66">
        <f t="shared" si="4"/>
        <v>-11035.398747009134</v>
      </c>
      <c r="G15" s="66">
        <f t="shared" si="5"/>
        <v>-19087.842778771676</v>
      </c>
      <c r="H15" s="66">
        <f t="shared" si="6"/>
        <v>1184773.8387131339</v>
      </c>
      <c r="I15" s="66" t="s">
        <v>95</v>
      </c>
      <c r="J15" s="67" t="s">
        <v>96</v>
      </c>
      <c r="K15" s="67"/>
      <c r="L15" s="67"/>
      <c r="M15" s="67"/>
      <c r="N15" s="67"/>
      <c r="O15" s="67"/>
      <c r="P15" s="67"/>
      <c r="Q15" s="67"/>
    </row>
    <row r="16" spans="2:17" x14ac:dyDescent="0.25">
      <c r="B16" s="38">
        <v>12</v>
      </c>
      <c r="C16" s="38" t="s">
        <v>88</v>
      </c>
      <c r="D16" s="66">
        <f t="shared" si="2"/>
        <v>1184773.8387131339</v>
      </c>
      <c r="E16" s="66">
        <f t="shared" si="3"/>
        <v>-30123.24152578081</v>
      </c>
      <c r="F16" s="66">
        <f t="shared" si="4"/>
        <v>-10860.426854870397</v>
      </c>
      <c r="G16" s="66">
        <f t="shared" si="5"/>
        <v>-19262.814670910415</v>
      </c>
      <c r="H16" s="66">
        <f t="shared" si="6"/>
        <v>1165511.0240422236</v>
      </c>
      <c r="I16" s="66">
        <f>SUM(F5:F16)</f>
        <v>-141530.65568492681</v>
      </c>
      <c r="J16" s="66">
        <f>SUM(G5:G16)</f>
        <v>-219948.24262444291</v>
      </c>
      <c r="K16" s="67"/>
      <c r="L16" s="67"/>
      <c r="M16" s="67"/>
      <c r="N16" s="67"/>
      <c r="O16" s="67"/>
      <c r="P16" s="67"/>
      <c r="Q16" s="67"/>
    </row>
    <row r="17" spans="2:17" x14ac:dyDescent="0.25">
      <c r="B17" s="38">
        <v>13</v>
      </c>
      <c r="C17" s="38" t="s">
        <v>77</v>
      </c>
      <c r="D17" s="66">
        <f t="shared" si="2"/>
        <v>1165511.0240422236</v>
      </c>
      <c r="E17" s="66">
        <f t="shared" si="3"/>
        <v>-30123.24152578081</v>
      </c>
      <c r="F17" s="66">
        <f t="shared" si="4"/>
        <v>-10683.85105372038</v>
      </c>
      <c r="G17" s="66">
        <f t="shared" si="5"/>
        <v>-19439.390472060426</v>
      </c>
      <c r="H17" s="66">
        <f t="shared" si="6"/>
        <v>1146071.633570163</v>
      </c>
      <c r="I17" s="66"/>
      <c r="J17" s="67"/>
      <c r="K17" s="67"/>
      <c r="L17" s="67"/>
      <c r="M17" s="67"/>
      <c r="N17" s="67"/>
      <c r="O17" s="67"/>
      <c r="P17" s="67"/>
      <c r="Q17" s="67"/>
    </row>
    <row r="18" spans="2:17" x14ac:dyDescent="0.25">
      <c r="B18" s="38">
        <v>14</v>
      </c>
      <c r="C18" s="38" t="s">
        <v>78</v>
      </c>
      <c r="D18" s="66">
        <f t="shared" si="2"/>
        <v>1146071.633570163</v>
      </c>
      <c r="E18" s="66">
        <f t="shared" si="3"/>
        <v>-30123.24152578081</v>
      </c>
      <c r="F18" s="66">
        <f t="shared" si="4"/>
        <v>-10505.65664105983</v>
      </c>
      <c r="G18" s="66">
        <f t="shared" si="5"/>
        <v>-19617.584884720982</v>
      </c>
      <c r="H18" s="66">
        <f t="shared" si="6"/>
        <v>1126454.048685442</v>
      </c>
      <c r="I18" s="66"/>
      <c r="J18" s="67"/>
      <c r="K18" s="67"/>
      <c r="L18" s="67"/>
      <c r="M18" s="67"/>
      <c r="N18" s="67"/>
      <c r="O18" s="67"/>
      <c r="P18" s="67"/>
      <c r="Q18" s="67"/>
    </row>
    <row r="19" spans="2:17" x14ac:dyDescent="0.25">
      <c r="B19" s="38">
        <v>15</v>
      </c>
      <c r="C19" s="38" t="s">
        <v>79</v>
      </c>
      <c r="D19" s="66">
        <f t="shared" si="2"/>
        <v>1126454.048685442</v>
      </c>
      <c r="E19" s="66">
        <f t="shared" si="3"/>
        <v>-30123.24152578081</v>
      </c>
      <c r="F19" s="66">
        <f t="shared" si="4"/>
        <v>-10325.828779616553</v>
      </c>
      <c r="G19" s="66">
        <f t="shared" si="5"/>
        <v>-19797.412746164257</v>
      </c>
      <c r="H19" s="66">
        <f t="shared" si="6"/>
        <v>1106656.6359392777</v>
      </c>
      <c r="I19" s="66"/>
      <c r="J19" s="67"/>
      <c r="K19" s="67"/>
      <c r="L19" s="67"/>
      <c r="M19" s="67"/>
      <c r="N19" s="67"/>
      <c r="O19" s="67"/>
      <c r="P19" s="67"/>
      <c r="Q19" s="67"/>
    </row>
    <row r="20" spans="2:17" x14ac:dyDescent="0.25">
      <c r="B20" s="38">
        <v>16</v>
      </c>
      <c r="C20" s="38" t="s">
        <v>80</v>
      </c>
      <c r="D20" s="66">
        <f t="shared" si="2"/>
        <v>1106656.6359392777</v>
      </c>
      <c r="E20" s="66">
        <f t="shared" si="3"/>
        <v>-30123.24152578081</v>
      </c>
      <c r="F20" s="66">
        <f t="shared" si="4"/>
        <v>-10144.352496110047</v>
      </c>
      <c r="G20" s="66">
        <f t="shared" si="5"/>
        <v>-19978.889029670765</v>
      </c>
      <c r="H20" s="66">
        <f t="shared" si="6"/>
        <v>1086677.746909607</v>
      </c>
    </row>
    <row r="21" spans="2:17" x14ac:dyDescent="0.25">
      <c r="B21" s="38">
        <v>17</v>
      </c>
      <c r="C21" s="38" t="s">
        <v>81</v>
      </c>
      <c r="D21" s="66">
        <f t="shared" si="2"/>
        <v>1086677.746909607</v>
      </c>
      <c r="E21" s="66">
        <f t="shared" si="3"/>
        <v>-30123.24152578081</v>
      </c>
      <c r="F21" s="66">
        <f t="shared" si="4"/>
        <v>-9961.2126800047336</v>
      </c>
      <c r="G21" s="66">
        <f t="shared" si="5"/>
        <v>-20162.028845776076</v>
      </c>
      <c r="H21" s="66">
        <f t="shared" si="6"/>
        <v>1066515.7180638309</v>
      </c>
    </row>
    <row r="22" spans="2:17" x14ac:dyDescent="0.25">
      <c r="B22" s="38">
        <v>18</v>
      </c>
      <c r="C22" s="38" t="s">
        <v>82</v>
      </c>
      <c r="D22" s="66">
        <f t="shared" si="2"/>
        <v>1066515.7180638309</v>
      </c>
      <c r="E22" s="66">
        <f t="shared" si="3"/>
        <v>-30123.24152578081</v>
      </c>
      <c r="F22" s="66">
        <f t="shared" si="4"/>
        <v>-9776.3940822517852</v>
      </c>
      <c r="G22" s="66">
        <f t="shared" si="5"/>
        <v>-20346.847443529023</v>
      </c>
      <c r="H22" s="66">
        <f t="shared" si="6"/>
        <v>1046168.8706203018</v>
      </c>
    </row>
    <row r="23" spans="2:17" x14ac:dyDescent="0.25">
      <c r="B23" s="38">
        <v>19</v>
      </c>
      <c r="C23" s="38" t="s">
        <v>83</v>
      </c>
      <c r="D23" s="66">
        <f t="shared" si="2"/>
        <v>1046168.8706203018</v>
      </c>
      <c r="E23" s="66">
        <f t="shared" si="3"/>
        <v>-30123.24152578081</v>
      </c>
      <c r="F23" s="66">
        <f t="shared" si="4"/>
        <v>-9589.8813140194361</v>
      </c>
      <c r="G23" s="66">
        <f t="shared" si="5"/>
        <v>-20533.360211761374</v>
      </c>
      <c r="H23" s="66">
        <f t="shared" si="6"/>
        <v>1025635.5104085405</v>
      </c>
    </row>
    <row r="24" spans="2:17" x14ac:dyDescent="0.25">
      <c r="B24" s="38">
        <v>20</v>
      </c>
      <c r="C24" s="38" t="s">
        <v>84</v>
      </c>
      <c r="D24" s="66">
        <f t="shared" si="2"/>
        <v>1025635.5104085405</v>
      </c>
      <c r="E24" s="66">
        <f t="shared" si="3"/>
        <v>-30123.24152578081</v>
      </c>
      <c r="F24" s="66">
        <f t="shared" si="4"/>
        <v>-9401.6588454116227</v>
      </c>
      <c r="G24" s="66">
        <f t="shared" si="5"/>
        <v>-20721.582680369193</v>
      </c>
      <c r="H24" s="66">
        <f t="shared" si="6"/>
        <v>1004913.9277281713</v>
      </c>
    </row>
    <row r="25" spans="2:17" x14ac:dyDescent="0.25">
      <c r="B25" s="38">
        <v>21</v>
      </c>
      <c r="C25" s="38" t="s">
        <v>85</v>
      </c>
      <c r="D25" s="66">
        <f t="shared" si="2"/>
        <v>1004913.9277281713</v>
      </c>
      <c r="E25" s="66">
        <f t="shared" si="3"/>
        <v>-30123.24152578081</v>
      </c>
      <c r="F25" s="66">
        <f t="shared" si="4"/>
        <v>-9211.7110041749056</v>
      </c>
      <c r="G25" s="66">
        <f t="shared" si="5"/>
        <v>-20911.530521605906</v>
      </c>
      <c r="H25" s="66">
        <f t="shared" si="6"/>
        <v>984002.39720656548</v>
      </c>
    </row>
    <row r="26" spans="2:17" x14ac:dyDescent="0.25">
      <c r="B26" s="38">
        <v>22</v>
      </c>
      <c r="C26" s="38" t="s">
        <v>86</v>
      </c>
      <c r="D26" s="66">
        <f t="shared" si="2"/>
        <v>984002.39720656548</v>
      </c>
      <c r="E26" s="66">
        <f t="shared" si="3"/>
        <v>-30123.24152578081</v>
      </c>
      <c r="F26" s="66">
        <f t="shared" si="4"/>
        <v>-9020.0219743935177</v>
      </c>
      <c r="G26" s="66">
        <f t="shared" si="5"/>
        <v>-21103.21955138729</v>
      </c>
      <c r="H26" s="66">
        <f t="shared" si="6"/>
        <v>962899.17765517824</v>
      </c>
    </row>
    <row r="27" spans="2:17" x14ac:dyDescent="0.25">
      <c r="B27" s="38">
        <v>23</v>
      </c>
      <c r="C27" s="38" t="s">
        <v>87</v>
      </c>
      <c r="D27" s="66">
        <f t="shared" si="2"/>
        <v>962899.17765517824</v>
      </c>
      <c r="E27" s="66">
        <f t="shared" si="3"/>
        <v>-30123.24152578081</v>
      </c>
      <c r="F27" s="66">
        <f t="shared" si="4"/>
        <v>-8826.5757951724681</v>
      </c>
      <c r="G27" s="66">
        <f t="shared" si="5"/>
        <v>-21296.665730608343</v>
      </c>
      <c r="H27" s="66">
        <f t="shared" si="6"/>
        <v>941602.51192456984</v>
      </c>
      <c r="I27" s="38" t="s">
        <v>95</v>
      </c>
      <c r="J27" s="3" t="s">
        <v>96</v>
      </c>
    </row>
    <row r="28" spans="2:17" x14ac:dyDescent="0.25">
      <c r="B28" s="38">
        <v>24</v>
      </c>
      <c r="C28" s="38" t="s">
        <v>88</v>
      </c>
      <c r="D28" s="66">
        <f t="shared" si="2"/>
        <v>941602.51192456984</v>
      </c>
      <c r="E28" s="66">
        <f t="shared" si="3"/>
        <v>-30123.24152578081</v>
      </c>
      <c r="F28" s="66">
        <f t="shared" si="4"/>
        <v>-8631.3563593085582</v>
      </c>
      <c r="G28" s="66">
        <f t="shared" si="5"/>
        <v>-21491.885166472253</v>
      </c>
      <c r="H28" s="66">
        <f t="shared" si="6"/>
        <v>920110.62675809755</v>
      </c>
      <c r="I28" s="45">
        <f>SUM(F17:F28)</f>
        <v>-116078.50102524384</v>
      </c>
      <c r="J28" s="45">
        <f>SUM(G17:G28)</f>
        <v>-245400.39728412588</v>
      </c>
    </row>
    <row r="29" spans="2:17" x14ac:dyDescent="0.25">
      <c r="B29" s="38">
        <v>25</v>
      </c>
      <c r="C29" s="38" t="s">
        <v>77</v>
      </c>
      <c r="D29" s="66">
        <f t="shared" si="2"/>
        <v>920110.62675809755</v>
      </c>
      <c r="E29" s="66">
        <f t="shared" si="3"/>
        <v>-30123.24152578081</v>
      </c>
      <c r="F29" s="66">
        <f t="shared" si="4"/>
        <v>-8434.3474119492294</v>
      </c>
      <c r="G29" s="66">
        <f t="shared" si="5"/>
        <v>-21688.894113831582</v>
      </c>
      <c r="H29" s="66">
        <f t="shared" si="6"/>
        <v>898421.73264426598</v>
      </c>
    </row>
    <row r="30" spans="2:17" x14ac:dyDescent="0.25">
      <c r="B30" s="38">
        <v>26</v>
      </c>
      <c r="C30" s="38" t="s">
        <v>78</v>
      </c>
      <c r="D30" s="66">
        <f t="shared" si="2"/>
        <v>898421.73264426598</v>
      </c>
      <c r="E30" s="66">
        <f t="shared" si="3"/>
        <v>-30123.24152578081</v>
      </c>
      <c r="F30" s="66">
        <f t="shared" si="4"/>
        <v>-8235.5325492391057</v>
      </c>
      <c r="G30" s="66">
        <f t="shared" si="5"/>
        <v>-21887.7089765417</v>
      </c>
      <c r="H30" s="66">
        <f t="shared" si="6"/>
        <v>876534.02366772434</v>
      </c>
    </row>
    <row r="31" spans="2:17" x14ac:dyDescent="0.25">
      <c r="B31" s="38">
        <v>27</v>
      </c>
      <c r="C31" s="38" t="s">
        <v>79</v>
      </c>
      <c r="D31" s="66">
        <f t="shared" si="2"/>
        <v>876534.02366772434</v>
      </c>
      <c r="E31" s="66">
        <f t="shared" si="3"/>
        <v>-30123.24152578081</v>
      </c>
      <c r="F31" s="66">
        <f t="shared" si="4"/>
        <v>-8034.8952169541399</v>
      </c>
      <c r="G31" s="66">
        <f t="shared" si="5"/>
        <v>-22088.346308826669</v>
      </c>
      <c r="H31" s="66">
        <f t="shared" si="6"/>
        <v>854445.67735889764</v>
      </c>
    </row>
    <row r="32" spans="2:17" x14ac:dyDescent="0.25">
      <c r="B32" s="38">
        <v>28</v>
      </c>
      <c r="C32" s="38" t="s">
        <v>80</v>
      </c>
      <c r="D32" s="66">
        <f t="shared" si="2"/>
        <v>854445.67735889764</v>
      </c>
      <c r="E32" s="66">
        <f t="shared" si="3"/>
        <v>-30123.24152578081</v>
      </c>
      <c r="F32" s="66">
        <f t="shared" si="4"/>
        <v>-7832.4187091232316</v>
      </c>
      <c r="G32" s="66">
        <f t="shared" si="5"/>
        <v>-22290.822816657579</v>
      </c>
      <c r="H32" s="66">
        <f t="shared" si="6"/>
        <v>832154.85454224003</v>
      </c>
    </row>
    <row r="33" spans="2:10" x14ac:dyDescent="0.25">
      <c r="B33" s="38">
        <v>29</v>
      </c>
      <c r="C33" s="38" t="s">
        <v>81</v>
      </c>
      <c r="D33" s="66">
        <f t="shared" si="2"/>
        <v>832154.85454224003</v>
      </c>
      <c r="E33" s="66">
        <f t="shared" si="3"/>
        <v>-30123.24152578081</v>
      </c>
      <c r="F33" s="66">
        <f t="shared" si="4"/>
        <v>-7628.0861666372011</v>
      </c>
      <c r="G33" s="66">
        <f t="shared" si="5"/>
        <v>-22495.15535914361</v>
      </c>
      <c r="H33" s="66">
        <f t="shared" si="6"/>
        <v>809659.69918309641</v>
      </c>
    </row>
    <row r="34" spans="2:10" x14ac:dyDescent="0.25">
      <c r="B34" s="38">
        <v>30</v>
      </c>
      <c r="C34" s="38" t="s">
        <v>82</v>
      </c>
      <c r="D34" s="66">
        <f t="shared" si="2"/>
        <v>809659.69918309641</v>
      </c>
      <c r="E34" s="66">
        <f t="shared" si="3"/>
        <v>-30123.24152578081</v>
      </c>
      <c r="F34" s="66">
        <f t="shared" si="4"/>
        <v>-7421.8805758450517</v>
      </c>
      <c r="G34" s="66">
        <f t="shared" si="5"/>
        <v>-22701.360949935759</v>
      </c>
      <c r="H34" s="66">
        <f t="shared" si="6"/>
        <v>786958.33823316067</v>
      </c>
    </row>
    <row r="35" spans="2:10" x14ac:dyDescent="0.25">
      <c r="B35" s="38">
        <v>31</v>
      </c>
      <c r="C35" s="38" t="s">
        <v>83</v>
      </c>
      <c r="D35" s="66">
        <f t="shared" si="2"/>
        <v>786958.33823316067</v>
      </c>
      <c r="E35" s="66">
        <f t="shared" si="3"/>
        <v>-30123.24152578081</v>
      </c>
      <c r="F35" s="66">
        <f t="shared" si="4"/>
        <v>-7213.7847671373083</v>
      </c>
      <c r="G35" s="66">
        <f t="shared" si="5"/>
        <v>-22909.456758643504</v>
      </c>
      <c r="H35" s="66">
        <f t="shared" si="6"/>
        <v>764048.88147451717</v>
      </c>
    </row>
    <row r="36" spans="2:10" x14ac:dyDescent="0.25">
      <c r="B36" s="38">
        <v>32</v>
      </c>
      <c r="C36" s="38" t="s">
        <v>84</v>
      </c>
      <c r="D36" s="66">
        <f t="shared" si="2"/>
        <v>764048.88147451717</v>
      </c>
      <c r="E36" s="66">
        <f t="shared" si="3"/>
        <v>-30123.24152578081</v>
      </c>
      <c r="F36" s="66">
        <f t="shared" si="4"/>
        <v>-7003.7814135164099</v>
      </c>
      <c r="G36" s="66">
        <f t="shared" si="5"/>
        <v>-23119.460112264402</v>
      </c>
      <c r="H36" s="66">
        <f t="shared" si="6"/>
        <v>740929.42136225279</v>
      </c>
    </row>
    <row r="37" spans="2:10" x14ac:dyDescent="0.25">
      <c r="B37" s="38">
        <v>33</v>
      </c>
      <c r="C37" s="38" t="s">
        <v>85</v>
      </c>
      <c r="D37" s="66">
        <f t="shared" si="2"/>
        <v>740929.42136225279</v>
      </c>
      <c r="E37" s="66">
        <f t="shared" si="3"/>
        <v>-30123.24152578081</v>
      </c>
      <c r="F37" s="66">
        <f t="shared" si="4"/>
        <v>-6791.8530291539846</v>
      </c>
      <c r="G37" s="66">
        <f t="shared" si="5"/>
        <v>-23331.388496626823</v>
      </c>
      <c r="H37" s="66">
        <f t="shared" si="6"/>
        <v>717598.03286562592</v>
      </c>
    </row>
    <row r="38" spans="2:10" x14ac:dyDescent="0.25">
      <c r="B38" s="38">
        <v>34</v>
      </c>
      <c r="C38" s="38" t="s">
        <v>86</v>
      </c>
      <c r="D38" s="66">
        <f t="shared" si="2"/>
        <v>717598.03286562592</v>
      </c>
      <c r="E38" s="66">
        <f t="shared" si="3"/>
        <v>-30123.24152578081</v>
      </c>
      <c r="F38" s="66">
        <f t="shared" si="4"/>
        <v>-6577.9819679349057</v>
      </c>
      <c r="G38" s="66">
        <f t="shared" si="5"/>
        <v>-23545.259557845908</v>
      </c>
      <c r="H38" s="66">
        <f t="shared" si="6"/>
        <v>694052.77330778004</v>
      </c>
    </row>
    <row r="39" spans="2:10" x14ac:dyDescent="0.25">
      <c r="B39" s="38">
        <v>35</v>
      </c>
      <c r="C39" s="38" t="s">
        <v>87</v>
      </c>
      <c r="D39" s="66">
        <f t="shared" si="2"/>
        <v>694052.77330778004</v>
      </c>
      <c r="E39" s="66">
        <f t="shared" si="3"/>
        <v>-30123.24152578081</v>
      </c>
      <c r="F39" s="66">
        <f t="shared" si="4"/>
        <v>-6362.1504219879844</v>
      </c>
      <c r="G39" s="66">
        <f t="shared" si="5"/>
        <v>-23761.091103792824</v>
      </c>
      <c r="H39" s="66">
        <f t="shared" si="6"/>
        <v>670291.68220398726</v>
      </c>
      <c r="I39" s="38" t="s">
        <v>95</v>
      </c>
      <c r="J39" s="3" t="s">
        <v>96</v>
      </c>
    </row>
    <row r="40" spans="2:10" x14ac:dyDescent="0.25">
      <c r="B40" s="38">
        <v>36</v>
      </c>
      <c r="C40" s="38" t="s">
        <v>88</v>
      </c>
      <c r="D40" s="66">
        <f t="shared" si="2"/>
        <v>670291.68220398726</v>
      </c>
      <c r="E40" s="66">
        <f t="shared" si="3"/>
        <v>-30123.24152578081</v>
      </c>
      <c r="F40" s="66">
        <f t="shared" si="4"/>
        <v>-6144.3404202032179</v>
      </c>
      <c r="G40" s="66">
        <f t="shared" si="5"/>
        <v>-23978.901105577595</v>
      </c>
      <c r="H40" s="66">
        <f t="shared" si="6"/>
        <v>646312.78109840967</v>
      </c>
      <c r="I40" s="45">
        <f>SUM(F29:F40)</f>
        <v>-87681.052649681777</v>
      </c>
      <c r="J40" s="45">
        <f>SUM(G29:G40)</f>
        <v>-273797.845659688</v>
      </c>
    </row>
    <row r="41" spans="2:10" x14ac:dyDescent="0.25">
      <c r="B41" s="38">
        <v>37</v>
      </c>
      <c r="C41" s="38" t="s">
        <v>77</v>
      </c>
      <c r="D41" s="66">
        <f t="shared" si="2"/>
        <v>646312.78109840967</v>
      </c>
      <c r="E41" s="66">
        <f t="shared" si="3"/>
        <v>-30123.24152578081</v>
      </c>
      <c r="F41" s="66">
        <f t="shared" si="4"/>
        <v>-5924.5338267354246</v>
      </c>
      <c r="G41" s="66">
        <f t="shared" si="5"/>
        <v>-24198.707699045386</v>
      </c>
      <c r="H41" s="66">
        <f t="shared" si="6"/>
        <v>622114.07339936425</v>
      </c>
    </row>
    <row r="42" spans="2:10" x14ac:dyDescent="0.25">
      <c r="B42" s="38">
        <v>38</v>
      </c>
      <c r="C42" s="38" t="s">
        <v>78</v>
      </c>
      <c r="D42" s="66">
        <f t="shared" si="2"/>
        <v>622114.07339936425</v>
      </c>
      <c r="E42" s="66">
        <f t="shared" si="3"/>
        <v>-30123.24152578081</v>
      </c>
      <c r="F42" s="66">
        <f t="shared" si="4"/>
        <v>-5702.7123394941736</v>
      </c>
      <c r="G42" s="66">
        <f t="shared" si="5"/>
        <v>-24420.529186286636</v>
      </c>
      <c r="H42" s="66">
        <f t="shared" si="6"/>
        <v>597693.54421307764</v>
      </c>
    </row>
    <row r="43" spans="2:10" x14ac:dyDescent="0.25">
      <c r="B43" s="38">
        <v>39</v>
      </c>
      <c r="C43" s="38" t="s">
        <v>79</v>
      </c>
      <c r="D43" s="66">
        <f t="shared" si="2"/>
        <v>597693.54421307764</v>
      </c>
      <c r="E43" s="66">
        <f t="shared" si="3"/>
        <v>-30123.24152578081</v>
      </c>
      <c r="F43" s="66">
        <f t="shared" si="4"/>
        <v>-5478.8574886198794</v>
      </c>
      <c r="G43" s="66">
        <f t="shared" si="5"/>
        <v>-24644.384037160929</v>
      </c>
      <c r="H43" s="66">
        <f t="shared" si="6"/>
        <v>573049.16017591674</v>
      </c>
    </row>
    <row r="44" spans="2:10" x14ac:dyDescent="0.25">
      <c r="B44" s="38">
        <v>40</v>
      </c>
      <c r="C44" s="38" t="s">
        <v>80</v>
      </c>
      <c r="D44" s="66">
        <f t="shared" si="2"/>
        <v>573049.16017591674</v>
      </c>
      <c r="E44" s="66">
        <f t="shared" si="3"/>
        <v>-30123.24152578081</v>
      </c>
      <c r="F44" s="66">
        <f t="shared" si="4"/>
        <v>-5252.9506349459043</v>
      </c>
      <c r="G44" s="66">
        <f t="shared" si="5"/>
        <v>-24870.290890834905</v>
      </c>
      <c r="H44" s="66">
        <f t="shared" si="6"/>
        <v>548178.86928508186</v>
      </c>
    </row>
    <row r="45" spans="2:10" x14ac:dyDescent="0.25">
      <c r="B45" s="38">
        <v>41</v>
      </c>
      <c r="C45" s="38" t="s">
        <v>81</v>
      </c>
      <c r="D45" s="66">
        <f t="shared" si="2"/>
        <v>548178.86928508186</v>
      </c>
      <c r="E45" s="66">
        <f t="shared" si="3"/>
        <v>-30123.24152578081</v>
      </c>
      <c r="F45" s="66">
        <f t="shared" si="4"/>
        <v>-5024.9729684465847</v>
      </c>
      <c r="G45" s="66">
        <f t="shared" si="5"/>
        <v>-25098.268557334224</v>
      </c>
      <c r="H45" s="66">
        <f t="shared" si="6"/>
        <v>523080.60072774766</v>
      </c>
    </row>
    <row r="46" spans="2:10" x14ac:dyDescent="0.25">
      <c r="B46" s="38">
        <v>42</v>
      </c>
      <c r="C46" s="38" t="s">
        <v>82</v>
      </c>
      <c r="D46" s="66">
        <f t="shared" si="2"/>
        <v>523080.60072774766</v>
      </c>
      <c r="E46" s="66">
        <f t="shared" si="3"/>
        <v>-30123.24152578081</v>
      </c>
      <c r="F46" s="66">
        <f t="shared" si="4"/>
        <v>-4794.9055066710198</v>
      </c>
      <c r="G46" s="66">
        <f t="shared" si="5"/>
        <v>-25328.336019109789</v>
      </c>
      <c r="H46" s="66">
        <f t="shared" si="6"/>
        <v>497752.26470863784</v>
      </c>
    </row>
    <row r="47" spans="2:10" x14ac:dyDescent="0.25">
      <c r="B47" s="38">
        <v>43</v>
      </c>
      <c r="C47" s="38" t="s">
        <v>83</v>
      </c>
      <c r="D47" s="66">
        <f t="shared" si="2"/>
        <v>497752.26470863784</v>
      </c>
      <c r="E47" s="66">
        <f t="shared" si="3"/>
        <v>-30123.24152578081</v>
      </c>
      <c r="F47" s="66">
        <f t="shared" si="4"/>
        <v>-4562.7290931625148</v>
      </c>
      <c r="G47" s="66">
        <f t="shared" si="5"/>
        <v>-25560.512432618296</v>
      </c>
      <c r="H47" s="66">
        <f t="shared" si="6"/>
        <v>472191.75227601954</v>
      </c>
    </row>
    <row r="48" spans="2:10" x14ac:dyDescent="0.25">
      <c r="B48" s="38">
        <v>44</v>
      </c>
      <c r="C48" s="38" t="s">
        <v>84</v>
      </c>
      <c r="D48" s="66">
        <f t="shared" si="2"/>
        <v>472191.75227601954</v>
      </c>
      <c r="E48" s="66">
        <f t="shared" si="3"/>
        <v>-30123.24152578081</v>
      </c>
      <c r="F48" s="66">
        <f t="shared" si="4"/>
        <v>-4328.4243958635134</v>
      </c>
      <c r="G48" s="66">
        <f t="shared" si="5"/>
        <v>-25794.817129917297</v>
      </c>
      <c r="H48" s="66">
        <f t="shared" si="6"/>
        <v>446396.93514610222</v>
      </c>
    </row>
    <row r="49" spans="2:10" x14ac:dyDescent="0.25">
      <c r="B49" s="38">
        <v>45</v>
      </c>
      <c r="C49" s="38" t="s">
        <v>85</v>
      </c>
      <c r="D49" s="66">
        <f t="shared" si="2"/>
        <v>446396.93514610222</v>
      </c>
      <c r="E49" s="66">
        <f t="shared" si="3"/>
        <v>-30123.24152578081</v>
      </c>
      <c r="F49" s="66">
        <f t="shared" si="4"/>
        <v>-4091.9719055059381</v>
      </c>
      <c r="G49" s="66">
        <f t="shared" si="5"/>
        <v>-26031.26962027487</v>
      </c>
      <c r="H49" s="66">
        <f t="shared" si="6"/>
        <v>420365.66552582732</v>
      </c>
    </row>
    <row r="50" spans="2:10" x14ac:dyDescent="0.25">
      <c r="B50" s="38">
        <v>46</v>
      </c>
      <c r="C50" s="38" t="s">
        <v>86</v>
      </c>
      <c r="D50" s="66">
        <f t="shared" si="2"/>
        <v>420365.66552582732</v>
      </c>
      <c r="E50" s="66">
        <f t="shared" si="3"/>
        <v>-30123.24152578081</v>
      </c>
      <c r="F50" s="66">
        <f t="shared" si="4"/>
        <v>-3853.3519339867521</v>
      </c>
      <c r="G50" s="66">
        <f t="shared" si="5"/>
        <v>-26269.889591794057</v>
      </c>
      <c r="H50" s="66">
        <f t="shared" si="6"/>
        <v>394095.77593403327</v>
      </c>
    </row>
    <row r="51" spans="2:10" x14ac:dyDescent="0.25">
      <c r="B51" s="38">
        <v>47</v>
      </c>
      <c r="C51" s="38" t="s">
        <v>87</v>
      </c>
      <c r="D51" s="66">
        <f t="shared" si="2"/>
        <v>394095.77593403327</v>
      </c>
      <c r="E51" s="66">
        <f t="shared" si="3"/>
        <v>-30123.24152578081</v>
      </c>
      <c r="F51" s="66">
        <f t="shared" si="4"/>
        <v>-3612.5446127286395</v>
      </c>
      <c r="G51" s="66">
        <f t="shared" si="5"/>
        <v>-26510.696913052172</v>
      </c>
      <c r="H51" s="66">
        <f t="shared" si="6"/>
        <v>367585.07902098109</v>
      </c>
      <c r="I51" s="38" t="s">
        <v>95</v>
      </c>
      <c r="J51" s="3" t="s">
        <v>96</v>
      </c>
    </row>
    <row r="52" spans="2:10" x14ac:dyDescent="0.25">
      <c r="B52" s="38">
        <v>48</v>
      </c>
      <c r="C52" s="38" t="s">
        <v>88</v>
      </c>
      <c r="D52" s="66">
        <f t="shared" si="2"/>
        <v>367585.07902098109</v>
      </c>
      <c r="E52" s="66">
        <f t="shared" si="3"/>
        <v>-30123.24152578081</v>
      </c>
      <c r="F52" s="66">
        <f t="shared" si="4"/>
        <v>-3369.5298910256615</v>
      </c>
      <c r="G52" s="66">
        <f t="shared" si="5"/>
        <v>-26753.711634755149</v>
      </c>
      <c r="H52" s="66">
        <f t="shared" si="6"/>
        <v>340831.36738622596</v>
      </c>
      <c r="I52" s="45">
        <f>SUM(F41:F52)</f>
        <v>-55997.484597186005</v>
      </c>
      <c r="J52" s="45">
        <f>SUM(G41:G52)</f>
        <v>-305481.41371218365</v>
      </c>
    </row>
    <row r="53" spans="2:10" x14ac:dyDescent="0.25">
      <c r="B53" s="38">
        <v>49</v>
      </c>
      <c r="C53" s="38" t="s">
        <v>77</v>
      </c>
      <c r="D53" s="66">
        <f t="shared" si="2"/>
        <v>340831.36738622596</v>
      </c>
      <c r="E53" s="66">
        <f t="shared" si="3"/>
        <v>-30123.24152578081</v>
      </c>
      <c r="F53" s="66">
        <f t="shared" si="4"/>
        <v>-3124.2875343737396</v>
      </c>
      <c r="G53" s="66">
        <f t="shared" si="5"/>
        <v>-26998.95399140707</v>
      </c>
      <c r="H53" s="66">
        <f t="shared" si="6"/>
        <v>313832.4133948189</v>
      </c>
    </row>
    <row r="54" spans="2:10" x14ac:dyDescent="0.25">
      <c r="B54" s="38">
        <v>50</v>
      </c>
      <c r="C54" s="38" t="s">
        <v>78</v>
      </c>
      <c r="D54" s="66">
        <f t="shared" si="2"/>
        <v>313832.4133948189</v>
      </c>
      <c r="E54" s="66">
        <f t="shared" si="3"/>
        <v>-30123.24152578081</v>
      </c>
      <c r="F54" s="66">
        <f t="shared" si="4"/>
        <v>-2876.7971227858416</v>
      </c>
      <c r="G54" s="66">
        <f t="shared" si="5"/>
        <v>-27246.44440299497</v>
      </c>
      <c r="H54" s="66">
        <f t="shared" si="6"/>
        <v>286585.9689918239</v>
      </c>
    </row>
    <row r="55" spans="2:10" x14ac:dyDescent="0.25">
      <c r="B55" s="38">
        <v>51</v>
      </c>
      <c r="C55" s="38" t="s">
        <v>79</v>
      </c>
      <c r="D55" s="66">
        <f t="shared" si="2"/>
        <v>286585.9689918239</v>
      </c>
      <c r="E55" s="66">
        <f t="shared" si="3"/>
        <v>-30123.24152578081</v>
      </c>
      <c r="F55" s="66">
        <f t="shared" si="4"/>
        <v>-2627.0380490917205</v>
      </c>
      <c r="G55" s="66">
        <f t="shared" si="5"/>
        <v>-27496.20347668909</v>
      </c>
      <c r="H55" s="66">
        <f t="shared" si="6"/>
        <v>259089.76551513482</v>
      </c>
    </row>
    <row r="56" spans="2:10" x14ac:dyDescent="0.25">
      <c r="B56" s="38">
        <v>52</v>
      </c>
      <c r="C56" s="38" t="s">
        <v>80</v>
      </c>
      <c r="D56" s="66">
        <f t="shared" si="2"/>
        <v>259089.76551513482</v>
      </c>
      <c r="E56" s="66">
        <f t="shared" si="3"/>
        <v>-30123.24152578081</v>
      </c>
      <c r="F56" s="66">
        <f t="shared" si="4"/>
        <v>-2374.9895172220708</v>
      </c>
      <c r="G56" s="66">
        <f t="shared" si="5"/>
        <v>-27748.252008558742</v>
      </c>
      <c r="H56" s="66">
        <f t="shared" si="6"/>
        <v>231341.51350657607</v>
      </c>
    </row>
    <row r="57" spans="2:10" x14ac:dyDescent="0.25">
      <c r="B57" s="38">
        <v>53</v>
      </c>
      <c r="C57" s="38" t="s">
        <v>81</v>
      </c>
      <c r="D57" s="66">
        <f t="shared" si="2"/>
        <v>231341.51350657607</v>
      </c>
      <c r="E57" s="66">
        <f t="shared" si="3"/>
        <v>-30123.24152578081</v>
      </c>
      <c r="F57" s="66">
        <f t="shared" si="4"/>
        <v>-2120.6305404769487</v>
      </c>
      <c r="G57" s="66">
        <f t="shared" si="5"/>
        <v>-28002.610985303858</v>
      </c>
      <c r="H57" s="66">
        <f t="shared" si="6"/>
        <v>203338.90252127222</v>
      </c>
    </row>
    <row r="58" spans="2:10" x14ac:dyDescent="0.25">
      <c r="B58" s="38">
        <v>54</v>
      </c>
      <c r="C58" s="38" t="s">
        <v>82</v>
      </c>
      <c r="D58" s="66">
        <f t="shared" si="2"/>
        <v>203338.90252127222</v>
      </c>
      <c r="E58" s="66">
        <f t="shared" si="3"/>
        <v>-30123.24152578081</v>
      </c>
      <c r="F58" s="66">
        <f t="shared" si="4"/>
        <v>-1863.9399397783302</v>
      </c>
      <c r="G58" s="66">
        <f t="shared" si="5"/>
        <v>-28259.301586002479</v>
      </c>
      <c r="H58" s="66">
        <f t="shared" si="6"/>
        <v>175079.60093526973</v>
      </c>
    </row>
    <row r="59" spans="2:10" x14ac:dyDescent="0.25">
      <c r="B59" s="38">
        <v>55</v>
      </c>
      <c r="C59" s="38" t="s">
        <v>83</v>
      </c>
      <c r="D59" s="66">
        <f t="shared" si="2"/>
        <v>175079.60093526973</v>
      </c>
      <c r="E59" s="66">
        <f t="shared" si="3"/>
        <v>-30123.24152578081</v>
      </c>
      <c r="F59" s="66">
        <f t="shared" si="4"/>
        <v>-1604.8963419066408</v>
      </c>
      <c r="G59" s="66">
        <f t="shared" si="5"/>
        <v>-28518.345183874168</v>
      </c>
      <c r="H59" s="66">
        <f t="shared" si="6"/>
        <v>146561.25575139557</v>
      </c>
    </row>
    <row r="60" spans="2:10" x14ac:dyDescent="0.25">
      <c r="B60" s="38">
        <v>56</v>
      </c>
      <c r="C60" s="38" t="s">
        <v>84</v>
      </c>
      <c r="D60" s="66">
        <f t="shared" si="2"/>
        <v>146561.25575139557</v>
      </c>
      <c r="E60" s="66">
        <f t="shared" si="3"/>
        <v>-30123.24152578081</v>
      </c>
      <c r="F60" s="66">
        <f t="shared" si="4"/>
        <v>-1343.4781777211278</v>
      </c>
      <c r="G60" s="66">
        <f t="shared" si="5"/>
        <v>-28779.763348059685</v>
      </c>
      <c r="H60" s="66">
        <f t="shared" si="6"/>
        <v>117781.49240333588</v>
      </c>
    </row>
    <row r="61" spans="2:10" x14ac:dyDescent="0.25">
      <c r="B61" s="38">
        <v>57</v>
      </c>
      <c r="C61" s="38" t="s">
        <v>85</v>
      </c>
      <c r="D61" s="66">
        <f t="shared" si="2"/>
        <v>117781.49240333588</v>
      </c>
      <c r="E61" s="66">
        <f t="shared" si="3"/>
        <v>-30123.24152578081</v>
      </c>
      <c r="F61" s="66">
        <f t="shared" si="4"/>
        <v>-1079.663680363914</v>
      </c>
      <c r="G61" s="66">
        <f t="shared" si="5"/>
        <v>-29043.577845416894</v>
      </c>
      <c r="H61" s="66">
        <f t="shared" si="6"/>
        <v>88737.914557918994</v>
      </c>
    </row>
    <row r="62" spans="2:10" x14ac:dyDescent="0.25">
      <c r="B62" s="38">
        <v>58</v>
      </c>
      <c r="C62" s="38" t="s">
        <v>86</v>
      </c>
      <c r="D62" s="66">
        <f t="shared" si="2"/>
        <v>88737.914557918994</v>
      </c>
      <c r="E62" s="66">
        <f t="shared" si="3"/>
        <v>-30123.24152578081</v>
      </c>
      <c r="F62" s="66">
        <f t="shared" si="4"/>
        <v>-813.43088344759246</v>
      </c>
      <c r="G62" s="66">
        <f t="shared" si="5"/>
        <v>-29309.810642333214</v>
      </c>
      <c r="H62" s="66">
        <f t="shared" si="6"/>
        <v>59428.10391558578</v>
      </c>
    </row>
    <row r="63" spans="2:10" x14ac:dyDescent="0.25">
      <c r="B63" s="38">
        <v>59</v>
      </c>
      <c r="C63" s="38" t="s">
        <v>87</v>
      </c>
      <c r="D63" s="66">
        <f t="shared" si="2"/>
        <v>59428.10391558578</v>
      </c>
      <c r="E63" s="66">
        <f t="shared" si="3"/>
        <v>-30123.24152578081</v>
      </c>
      <c r="F63" s="66">
        <f t="shared" si="4"/>
        <v>-544.75761922620461</v>
      </c>
      <c r="G63" s="66">
        <f t="shared" si="5"/>
        <v>-29578.483906554604</v>
      </c>
      <c r="H63" s="66">
        <f t="shared" si="6"/>
        <v>29849.620009031176</v>
      </c>
      <c r="I63" s="38" t="s">
        <v>95</v>
      </c>
      <c r="J63" s="3" t="s">
        <v>96</v>
      </c>
    </row>
    <row r="64" spans="2:10" x14ac:dyDescent="0.25">
      <c r="B64" s="38">
        <v>60</v>
      </c>
      <c r="C64" s="38" t="s">
        <v>88</v>
      </c>
      <c r="D64" s="66">
        <f t="shared" si="2"/>
        <v>29849.620009031176</v>
      </c>
      <c r="E64" s="66">
        <f t="shared" si="3"/>
        <v>-30123.24152578081</v>
      </c>
      <c r="F64" s="66">
        <f t="shared" si="4"/>
        <v>-273.62151674945403</v>
      </c>
      <c r="G64" s="66">
        <f t="shared" si="5"/>
        <v>-29849.620009031354</v>
      </c>
      <c r="H64" s="66">
        <f t="shared" si="6"/>
        <v>-1.7826096154749393E-10</v>
      </c>
      <c r="I64" s="45">
        <f>SUM(F53:F64)</f>
        <v>-20647.530923143589</v>
      </c>
      <c r="J64" s="45">
        <f>SUM(G53:G64)</f>
        <v>-340831.36738622619</v>
      </c>
    </row>
    <row r="65" spans="2:2" x14ac:dyDescent="0.25">
      <c r="B65" s="3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C7DC-E3FE-4CF8-B3D4-2E2296D1E859}">
  <dimension ref="B2:G23"/>
  <sheetViews>
    <sheetView topLeftCell="A13" workbookViewId="0">
      <selection activeCell="E36" sqref="E36"/>
    </sheetView>
  </sheetViews>
  <sheetFormatPr defaultColWidth="8.85546875" defaultRowHeight="15" x14ac:dyDescent="0.25"/>
  <cols>
    <col min="1" max="1" width="8.85546875" style="3"/>
    <col min="2" max="2" width="32.7109375" style="3" customWidth="1"/>
    <col min="3" max="3" width="20.42578125" style="57" customWidth="1"/>
    <col min="4" max="7" width="20.42578125" style="38" customWidth="1"/>
    <col min="8" max="16384" width="8.85546875" style="3"/>
  </cols>
  <sheetData>
    <row r="2" spans="2:7" x14ac:dyDescent="0.25">
      <c r="B2" s="22" t="s">
        <v>104</v>
      </c>
      <c r="C2" s="56" t="s">
        <v>64</v>
      </c>
      <c r="D2" s="49" t="s">
        <v>65</v>
      </c>
      <c r="E2" s="49" t="s">
        <v>66</v>
      </c>
      <c r="F2" s="49" t="s">
        <v>67</v>
      </c>
      <c r="G2" s="49" t="s">
        <v>68</v>
      </c>
    </row>
    <row r="4" spans="2:7" x14ac:dyDescent="0.25">
      <c r="B4" s="27" t="s">
        <v>34</v>
      </c>
    </row>
    <row r="5" spans="2:7" x14ac:dyDescent="0.25">
      <c r="B5" t="s">
        <v>35</v>
      </c>
      <c r="C5" s="57">
        <f>'2.Rev. Working Cap'!E5</f>
        <v>3500000</v>
      </c>
      <c r="D5" s="48">
        <f>C5+C5*Assumptions!D5</f>
        <v>3850000</v>
      </c>
      <c r="E5" s="48">
        <f>D5+D5*Assumptions!E5</f>
        <v>4235000</v>
      </c>
      <c r="F5" s="48">
        <f>E5+E5*Assumptions!F5</f>
        <v>4658500</v>
      </c>
      <c r="G5" s="48">
        <f>F5+F5*Assumptions!G5</f>
        <v>5124350</v>
      </c>
    </row>
    <row r="6" spans="2:7" x14ac:dyDescent="0.25">
      <c r="B6"/>
    </row>
    <row r="7" spans="2:7" x14ac:dyDescent="0.25">
      <c r="B7" s="1" t="s">
        <v>36</v>
      </c>
    </row>
    <row r="8" spans="2:7" x14ac:dyDescent="0.25">
      <c r="B8" t="s">
        <v>37</v>
      </c>
      <c r="C8" s="57">
        <f>'2.Rev. Working Cap'!E8</f>
        <v>1400000</v>
      </c>
      <c r="D8" s="48">
        <f>C8+C8*Assumptions!D7</f>
        <v>1470000</v>
      </c>
      <c r="E8" s="48">
        <f>D8+D8*Assumptions!E7</f>
        <v>1543500</v>
      </c>
      <c r="F8" s="48">
        <f>E8+E8*Assumptions!F7</f>
        <v>1620675</v>
      </c>
      <c r="G8" s="48">
        <f>F8+F8*Assumptions!G7</f>
        <v>1701708.75</v>
      </c>
    </row>
    <row r="9" spans="2:7" x14ac:dyDescent="0.25">
      <c r="B9" s="50" t="s">
        <v>42</v>
      </c>
      <c r="C9" s="57">
        <f>'2.Rev. Working Cap'!E18</f>
        <v>845256</v>
      </c>
      <c r="D9" s="48">
        <f>C9+C9*Assumptions!D8</f>
        <v>904423.92</v>
      </c>
      <c r="E9" s="48">
        <f>D9+D9*Assumptions!E8</f>
        <v>967733.59440000006</v>
      </c>
      <c r="F9" s="48">
        <f>E9+E9*Assumptions!F8</f>
        <v>1035474.9460080001</v>
      </c>
      <c r="G9" s="48">
        <f>F9+F9*Assumptions!G8</f>
        <v>1107958.1922285601</v>
      </c>
    </row>
    <row r="10" spans="2:7" x14ac:dyDescent="0.25">
      <c r="B10" s="3" t="s">
        <v>105</v>
      </c>
      <c r="C10" s="57">
        <f>'1.Project cost'!E21/8</f>
        <v>30625</v>
      </c>
      <c r="D10" s="48">
        <f>C10</f>
        <v>30625</v>
      </c>
      <c r="E10" s="48">
        <f t="shared" ref="E10:G10" si="0">D10</f>
        <v>30625</v>
      </c>
      <c r="F10" s="48">
        <f t="shared" si="0"/>
        <v>30625</v>
      </c>
      <c r="G10" s="48">
        <f t="shared" si="0"/>
        <v>30625</v>
      </c>
    </row>
    <row r="11" spans="2:7" x14ac:dyDescent="0.25">
      <c r="B11" s="53" t="s">
        <v>106</v>
      </c>
      <c r="C11" s="58">
        <f>SUM(C8:C10)</f>
        <v>2275881</v>
      </c>
      <c r="D11" s="58">
        <f t="shared" ref="D11:G11" si="1">SUM(D8:D10)</f>
        <v>2405048.92</v>
      </c>
      <c r="E11" s="58">
        <f t="shared" si="1"/>
        <v>2541858.5943999998</v>
      </c>
      <c r="F11" s="58">
        <f t="shared" si="1"/>
        <v>2686774.9460080001</v>
      </c>
      <c r="G11" s="58">
        <f t="shared" si="1"/>
        <v>2840291.9422285603</v>
      </c>
    </row>
    <row r="12" spans="2:7" x14ac:dyDescent="0.25">
      <c r="B12" s="3" t="s">
        <v>107</v>
      </c>
      <c r="C12" s="57">
        <f>C5-C11</f>
        <v>1224119</v>
      </c>
      <c r="D12" s="57">
        <f t="shared" ref="D12:G12" si="2">D5-D11</f>
        <v>1444951.08</v>
      </c>
      <c r="E12" s="57">
        <f t="shared" si="2"/>
        <v>1693141.4056000002</v>
      </c>
      <c r="F12" s="57">
        <f t="shared" si="2"/>
        <v>1971725.0539919999</v>
      </c>
      <c r="G12" s="57">
        <f t="shared" si="2"/>
        <v>2284058.0577714397</v>
      </c>
    </row>
    <row r="13" spans="2:7" x14ac:dyDescent="0.25">
      <c r="B13" s="3" t="s">
        <v>62</v>
      </c>
      <c r="C13" s="57">
        <f>'3.Depreciation'!F11</f>
        <v>165700</v>
      </c>
      <c r="D13" s="57">
        <f>'3.Depreciation'!G11</f>
        <v>134362.5</v>
      </c>
      <c r="E13" s="57">
        <f>'3.Depreciation'!H11</f>
        <v>109845.375</v>
      </c>
      <c r="F13" s="57">
        <f>'3.Depreciation'!I11</f>
        <v>90472.143749999988</v>
      </c>
      <c r="G13" s="57">
        <f>'3.Depreciation'!J11</f>
        <v>75015.574687500004</v>
      </c>
    </row>
    <row r="14" spans="2:7" x14ac:dyDescent="0.25">
      <c r="B14" s="54" t="s">
        <v>108</v>
      </c>
      <c r="C14" s="59">
        <f>C12-C13</f>
        <v>1058419</v>
      </c>
      <c r="D14" s="59">
        <f t="shared" ref="D14:G14" si="3">D12-D13</f>
        <v>1310588.58</v>
      </c>
      <c r="E14" s="59">
        <f t="shared" si="3"/>
        <v>1583296.0306000002</v>
      </c>
      <c r="F14" s="59">
        <f t="shared" si="3"/>
        <v>1881252.9102419999</v>
      </c>
      <c r="G14" s="59">
        <f t="shared" si="3"/>
        <v>2209042.4830839396</v>
      </c>
    </row>
    <row r="15" spans="2:7" x14ac:dyDescent="0.25">
      <c r="B15" s="3" t="s">
        <v>109</v>
      </c>
      <c r="C15" s="57">
        <f>'4.sc term loan'!L13</f>
        <v>-141530.65568492681</v>
      </c>
      <c r="D15" s="57">
        <f>'4.sc term loan'!M13</f>
        <v>-116078.50102524384</v>
      </c>
      <c r="E15" s="57">
        <f>'4.sc term loan'!N13</f>
        <v>-87681.052649681777</v>
      </c>
      <c r="F15" s="57">
        <f>'4.sc term loan'!O13</f>
        <v>-55997.484597186005</v>
      </c>
      <c r="G15" s="57">
        <f>'4.sc term loan'!P13</f>
        <v>-20647.530923143589</v>
      </c>
    </row>
    <row r="16" spans="2:7" x14ac:dyDescent="0.25">
      <c r="B16" s="55" t="s">
        <v>110</v>
      </c>
      <c r="C16" s="60">
        <f>C14+C15</f>
        <v>916888.34431507322</v>
      </c>
      <c r="D16" s="60">
        <f t="shared" ref="D16:G16" si="4">D14+D15</f>
        <v>1194510.0789747562</v>
      </c>
      <c r="E16" s="60">
        <f t="shared" si="4"/>
        <v>1495614.9779503185</v>
      </c>
      <c r="F16" s="60">
        <f t="shared" si="4"/>
        <v>1825255.4256448138</v>
      </c>
      <c r="G16" s="60">
        <f t="shared" si="4"/>
        <v>2188394.9521607962</v>
      </c>
    </row>
    <row r="17" spans="2:7" x14ac:dyDescent="0.25">
      <c r="B17" s="3" t="s">
        <v>111</v>
      </c>
      <c r="C17" s="57">
        <f>C16*30%</f>
        <v>275066.50329452194</v>
      </c>
      <c r="D17" s="57">
        <f t="shared" ref="D17:G17" si="5">D16*30%</f>
        <v>358353.02369242685</v>
      </c>
      <c r="E17" s="57">
        <f t="shared" si="5"/>
        <v>448684.49338509556</v>
      </c>
      <c r="F17" s="57">
        <f t="shared" si="5"/>
        <v>547576.62769344414</v>
      </c>
      <c r="G17" s="57">
        <f t="shared" si="5"/>
        <v>656518.4856482388</v>
      </c>
    </row>
    <row r="18" spans="2:7" x14ac:dyDescent="0.25">
      <c r="B18" s="37" t="s">
        <v>112</v>
      </c>
      <c r="C18" s="61">
        <f>C16-C17</f>
        <v>641821.84102055128</v>
      </c>
      <c r="D18" s="61">
        <f t="shared" ref="D18:G18" si="6">D16-D17</f>
        <v>836157.05528232933</v>
      </c>
      <c r="E18" s="61">
        <f t="shared" si="6"/>
        <v>1046930.4845652229</v>
      </c>
      <c r="F18" s="61">
        <f t="shared" si="6"/>
        <v>1277678.7979513695</v>
      </c>
      <c r="G18" s="61">
        <f t="shared" si="6"/>
        <v>1531876.4665125574</v>
      </c>
    </row>
    <row r="19" spans="2:7" x14ac:dyDescent="0.25">
      <c r="B19" s="51" t="s">
        <v>113</v>
      </c>
      <c r="C19" s="65">
        <v>400000</v>
      </c>
      <c r="D19" s="52">
        <f>C19+150000</f>
        <v>550000</v>
      </c>
      <c r="E19" s="52">
        <f t="shared" ref="E19:G19" si="7">D19+150000</f>
        <v>700000</v>
      </c>
      <c r="F19" s="52">
        <f t="shared" si="7"/>
        <v>850000</v>
      </c>
      <c r="G19" s="52">
        <f t="shared" si="7"/>
        <v>1000000</v>
      </c>
    </row>
    <row r="20" spans="2:7" x14ac:dyDescent="0.25">
      <c r="B20" s="3" t="s">
        <v>114</v>
      </c>
      <c r="C20" s="57">
        <f>C18-C19</f>
        <v>241821.84102055128</v>
      </c>
      <c r="D20" s="57">
        <f t="shared" ref="D20:G20" si="8">D18-D19</f>
        <v>286157.05528232933</v>
      </c>
      <c r="E20" s="57">
        <f t="shared" si="8"/>
        <v>346930.48456522287</v>
      </c>
      <c r="F20" s="57">
        <f t="shared" si="8"/>
        <v>427678.79795136955</v>
      </c>
      <c r="G20" s="57">
        <f t="shared" si="8"/>
        <v>531876.46651255735</v>
      </c>
    </row>
    <row r="21" spans="2:7" x14ac:dyDescent="0.25">
      <c r="B21" s="3" t="s">
        <v>116</v>
      </c>
      <c r="C21" s="57">
        <f>C13</f>
        <v>165700</v>
      </c>
      <c r="D21" s="57">
        <f t="shared" ref="D21:G21" si="9">D13</f>
        <v>134362.5</v>
      </c>
      <c r="E21" s="57">
        <f t="shared" si="9"/>
        <v>109845.375</v>
      </c>
      <c r="F21" s="57">
        <f t="shared" si="9"/>
        <v>90472.143749999988</v>
      </c>
      <c r="G21" s="57">
        <f t="shared" si="9"/>
        <v>75015.574687500004</v>
      </c>
    </row>
    <row r="22" spans="2:7" x14ac:dyDescent="0.25">
      <c r="B22" s="3" t="s">
        <v>117</v>
      </c>
      <c r="C22" s="57">
        <f>C10</f>
        <v>30625</v>
      </c>
      <c r="D22" s="57">
        <f t="shared" ref="D22:G22" si="10">D10</f>
        <v>30625</v>
      </c>
      <c r="E22" s="57">
        <f t="shared" si="10"/>
        <v>30625</v>
      </c>
      <c r="F22" s="57">
        <f t="shared" si="10"/>
        <v>30625</v>
      </c>
      <c r="G22" s="57">
        <f t="shared" si="10"/>
        <v>30625</v>
      </c>
    </row>
    <row r="23" spans="2:7" x14ac:dyDescent="0.25">
      <c r="B23" s="62" t="s">
        <v>115</v>
      </c>
      <c r="C23" s="63">
        <f>C20+C21+C22</f>
        <v>438146.84102055128</v>
      </c>
      <c r="D23" s="63">
        <f t="shared" ref="D23:G23" si="11">D20+D21+D22</f>
        <v>451144.55528232933</v>
      </c>
      <c r="E23" s="63">
        <f t="shared" si="11"/>
        <v>487400.85956522287</v>
      </c>
      <c r="F23" s="63">
        <f t="shared" si="11"/>
        <v>548775.94170136959</v>
      </c>
      <c r="G23" s="63">
        <f t="shared" si="11"/>
        <v>637517.04120005737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AC6F-67F0-4E42-ABF7-E3D99764C6AC}">
  <dimension ref="B2:H30"/>
  <sheetViews>
    <sheetView tabSelected="1" workbookViewId="0">
      <selection activeCell="D10" sqref="D10"/>
    </sheetView>
  </sheetViews>
  <sheetFormatPr defaultColWidth="8.85546875" defaultRowHeight="15" x14ac:dyDescent="0.25"/>
  <cols>
    <col min="1" max="1" width="8.85546875" style="67"/>
    <col min="2" max="2" width="50.140625" style="67" customWidth="1"/>
    <col min="3" max="8" width="17.28515625" style="67" customWidth="1"/>
    <col min="9" max="16384" width="8.85546875" style="67"/>
  </cols>
  <sheetData>
    <row r="2" spans="2:8" x14ac:dyDescent="0.25">
      <c r="B2" s="72" t="s">
        <v>104</v>
      </c>
      <c r="C2" s="72" t="s">
        <v>133</v>
      </c>
      <c r="D2" s="73" t="s">
        <v>64</v>
      </c>
      <c r="E2" s="74" t="s">
        <v>65</v>
      </c>
      <c r="F2" s="74" t="s">
        <v>66</v>
      </c>
      <c r="G2" s="74" t="s">
        <v>67</v>
      </c>
      <c r="H2" s="74" t="s">
        <v>68</v>
      </c>
    </row>
    <row r="3" spans="2:8" x14ac:dyDescent="0.25">
      <c r="B3" s="68" t="s">
        <v>118</v>
      </c>
      <c r="C3" s="68"/>
      <c r="D3" s="75"/>
      <c r="E3" s="75"/>
      <c r="F3" s="75"/>
      <c r="G3" s="75"/>
      <c r="H3" s="75"/>
    </row>
    <row r="4" spans="2:8" x14ac:dyDescent="0.25">
      <c r="B4" s="67" t="s">
        <v>122</v>
      </c>
      <c r="D4" s="67">
        <f>C8</f>
        <v>1000000</v>
      </c>
      <c r="E4" s="67">
        <f t="shared" ref="E4:H4" si="0">D8</f>
        <v>1241821.8410205513</v>
      </c>
      <c r="F4" s="67">
        <f t="shared" si="0"/>
        <v>1527978.8963028807</v>
      </c>
      <c r="G4" s="67">
        <f t="shared" si="0"/>
        <v>1874909.3808681036</v>
      </c>
      <c r="H4" s="67">
        <f t="shared" si="0"/>
        <v>2302588.1788194729</v>
      </c>
    </row>
    <row r="5" spans="2:8" x14ac:dyDescent="0.25">
      <c r="B5" s="76" t="s">
        <v>119</v>
      </c>
      <c r="C5" s="76"/>
      <c r="D5" s="76">
        <f>'5.P &amp; L Account'!C18</f>
        <v>641821.84102055128</v>
      </c>
      <c r="E5" s="76">
        <f>'5.P &amp; L Account'!D18</f>
        <v>836157.05528232933</v>
      </c>
      <c r="F5" s="76">
        <f>'5.P &amp; L Account'!E18</f>
        <v>1046930.4845652229</v>
      </c>
      <c r="G5" s="76">
        <f>'5.P &amp; L Account'!F18</f>
        <v>1277678.7979513695</v>
      </c>
      <c r="H5" s="76">
        <f>'5.P &amp; L Account'!G18</f>
        <v>1531876.4665125574</v>
      </c>
    </row>
    <row r="6" spans="2:8" x14ac:dyDescent="0.25">
      <c r="B6" s="76" t="s">
        <v>120</v>
      </c>
      <c r="C6" s="76"/>
      <c r="D6" s="76">
        <f>'5.P &amp; L Account'!C19</f>
        <v>400000</v>
      </c>
      <c r="E6" s="76">
        <f>'5.P &amp; L Account'!D19</f>
        <v>550000</v>
      </c>
      <c r="F6" s="76">
        <f>'5.P &amp; L Account'!E19</f>
        <v>700000</v>
      </c>
      <c r="G6" s="76">
        <f>'5.P &amp; L Account'!F19</f>
        <v>850000</v>
      </c>
      <c r="H6" s="76">
        <f>'5.P &amp; L Account'!G19</f>
        <v>1000000</v>
      </c>
    </row>
    <row r="7" spans="2:8" x14ac:dyDescent="0.25">
      <c r="B7" s="67" t="s">
        <v>121</v>
      </c>
      <c r="D7" s="67">
        <f>'5.P &amp; L Account'!C20</f>
        <v>241821.84102055128</v>
      </c>
      <c r="E7" s="67">
        <f>'5.P &amp; L Account'!D20</f>
        <v>286157.05528232933</v>
      </c>
      <c r="F7" s="67">
        <f>'5.P &amp; L Account'!E20</f>
        <v>346930.48456522287</v>
      </c>
      <c r="G7" s="67">
        <f>'5.P &amp; L Account'!F20</f>
        <v>427678.79795136955</v>
      </c>
      <c r="H7" s="67">
        <f>'5.P &amp; L Account'!G20</f>
        <v>531876.46651255735</v>
      </c>
    </row>
    <row r="8" spans="2:8" x14ac:dyDescent="0.25">
      <c r="B8" s="67" t="s">
        <v>123</v>
      </c>
      <c r="C8" s="67">
        <f>'1.Project cost'!E29</f>
        <v>1000000</v>
      </c>
      <c r="D8" s="67">
        <f>D4+D7</f>
        <v>1241821.8410205513</v>
      </c>
      <c r="E8" s="67">
        <f t="shared" ref="E8:H8" si="1">E4+E7</f>
        <v>1527978.8963028807</v>
      </c>
      <c r="F8" s="67">
        <f t="shared" si="1"/>
        <v>1874909.3808681036</v>
      </c>
      <c r="G8" s="67">
        <f t="shared" si="1"/>
        <v>2302588.1788194729</v>
      </c>
      <c r="H8" s="67">
        <f t="shared" si="1"/>
        <v>2834464.64533203</v>
      </c>
    </row>
    <row r="9" spans="2:8" x14ac:dyDescent="0.25">
      <c r="B9" s="67" t="s">
        <v>57</v>
      </c>
      <c r="C9" s="67">
        <f>'1.Project cost'!E30</f>
        <v>1385459.2666666666</v>
      </c>
      <c r="D9" s="67">
        <f>C9+'4.sc term loan'!L14</f>
        <v>1165511.0240422236</v>
      </c>
      <c r="E9" s="67">
        <f>D9+'4.sc term loan'!M14</f>
        <v>920110.62675809767</v>
      </c>
      <c r="F9" s="67">
        <f>E9+'4.sc term loan'!N14</f>
        <v>646312.78109840967</v>
      </c>
      <c r="G9" s="67">
        <f>F9+'4.sc term loan'!O14</f>
        <v>340831.36738622602</v>
      </c>
      <c r="H9" s="67">
        <f>G9+'4.sc term loan'!P14</f>
        <v>0</v>
      </c>
    </row>
    <row r="10" spans="2:8" x14ac:dyDescent="0.25">
      <c r="B10" s="67" t="s">
        <v>58</v>
      </c>
      <c r="C10" s="67">
        <f>'1.Project cost'!E31</f>
        <v>420963.39999999997</v>
      </c>
      <c r="D10" s="67">
        <f>C10</f>
        <v>420963.39999999997</v>
      </c>
      <c r="E10" s="67">
        <f t="shared" ref="E10:H10" si="2">D10</f>
        <v>420963.39999999997</v>
      </c>
      <c r="F10" s="67">
        <f t="shared" si="2"/>
        <v>420963.39999999997</v>
      </c>
      <c r="G10" s="67">
        <f t="shared" si="2"/>
        <v>420963.39999999997</v>
      </c>
      <c r="H10" s="67">
        <f t="shared" si="2"/>
        <v>420963.39999999997</v>
      </c>
    </row>
    <row r="11" spans="2:8" x14ac:dyDescent="0.25">
      <c r="B11" s="68" t="s">
        <v>124</v>
      </c>
      <c r="C11" s="68">
        <f>SUM(C8:C10)</f>
        <v>2806422.6666666665</v>
      </c>
      <c r="D11" s="68">
        <f>SUM(D8:D10)</f>
        <v>2828296.265062775</v>
      </c>
      <c r="E11" s="68">
        <f t="shared" ref="E11:H11" si="3">SUM(E8:E10)</f>
        <v>2869052.9230609783</v>
      </c>
      <c r="F11" s="68">
        <f t="shared" si="3"/>
        <v>2942185.5619665133</v>
      </c>
      <c r="G11" s="68">
        <f t="shared" si="3"/>
        <v>3064382.9462056989</v>
      </c>
      <c r="H11" s="68">
        <f t="shared" si="3"/>
        <v>3255428.0453320299</v>
      </c>
    </row>
    <row r="13" spans="2:8" x14ac:dyDescent="0.25">
      <c r="B13" s="77" t="s">
        <v>125</v>
      </c>
      <c r="C13" s="77"/>
      <c r="D13" s="77"/>
      <c r="E13" s="77"/>
      <c r="F13" s="77"/>
      <c r="G13" s="77"/>
      <c r="H13" s="77"/>
    </row>
    <row r="14" spans="2:8" x14ac:dyDescent="0.25">
      <c r="B14" s="67" t="s">
        <v>127</v>
      </c>
      <c r="C14" s="67">
        <f>'1.Project cost'!E4</f>
        <v>600000</v>
      </c>
      <c r="D14" s="67">
        <f>C14</f>
        <v>600000</v>
      </c>
      <c r="E14" s="67">
        <f t="shared" ref="E14:H14" si="4">D14</f>
        <v>600000</v>
      </c>
      <c r="F14" s="67">
        <f t="shared" si="4"/>
        <v>600000</v>
      </c>
      <c r="G14" s="67">
        <f t="shared" si="4"/>
        <v>600000</v>
      </c>
      <c r="H14" s="67">
        <f t="shared" si="4"/>
        <v>600000</v>
      </c>
    </row>
    <row r="15" spans="2:8" x14ac:dyDescent="0.25">
      <c r="B15" s="67" t="s">
        <v>130</v>
      </c>
      <c r="D15" s="67">
        <f>C17</f>
        <v>999500</v>
      </c>
      <c r="E15" s="67">
        <f t="shared" ref="E15:H15" si="5">D17</f>
        <v>833800</v>
      </c>
      <c r="F15" s="67">
        <f t="shared" si="5"/>
        <v>699437.5</v>
      </c>
      <c r="G15" s="67">
        <f t="shared" si="5"/>
        <v>589592.125</v>
      </c>
      <c r="H15" s="67">
        <f t="shared" si="5"/>
        <v>499119.98125000001</v>
      </c>
    </row>
    <row r="16" spans="2:8" x14ac:dyDescent="0.25">
      <c r="B16" s="76" t="s">
        <v>62</v>
      </c>
      <c r="C16" s="76"/>
      <c r="D16" s="67">
        <f>'5.P &amp; L Account'!C13</f>
        <v>165700</v>
      </c>
      <c r="E16" s="67">
        <f>'5.P &amp; L Account'!D13</f>
        <v>134362.5</v>
      </c>
      <c r="F16" s="67">
        <f>'5.P &amp; L Account'!E13</f>
        <v>109845.375</v>
      </c>
      <c r="G16" s="67">
        <f>'5.P &amp; L Account'!F13</f>
        <v>90472.143749999988</v>
      </c>
      <c r="H16" s="67">
        <f>'5.P &amp; L Account'!G13</f>
        <v>75015.574687500004</v>
      </c>
    </row>
    <row r="17" spans="2:8" x14ac:dyDescent="0.25">
      <c r="B17" s="67" t="s">
        <v>131</v>
      </c>
      <c r="C17" s="67">
        <f>'1.Project cost'!E12</f>
        <v>999500</v>
      </c>
      <c r="D17" s="67">
        <f>D15-D16</f>
        <v>833800</v>
      </c>
      <c r="E17" s="67">
        <f t="shared" ref="E17:H17" si="6">E15-E16</f>
        <v>699437.5</v>
      </c>
      <c r="F17" s="67">
        <f t="shared" si="6"/>
        <v>589592.125</v>
      </c>
      <c r="G17" s="67">
        <f t="shared" si="6"/>
        <v>499119.98125000001</v>
      </c>
      <c r="H17" s="67">
        <f t="shared" si="6"/>
        <v>424104.40656249999</v>
      </c>
    </row>
    <row r="18" spans="2:8" x14ac:dyDescent="0.25">
      <c r="B18" s="67" t="s">
        <v>128</v>
      </c>
      <c r="C18" s="67">
        <f>'1.Project cost'!E21</f>
        <v>245000</v>
      </c>
      <c r="D18" s="67">
        <f>C18-'5.P &amp; L Account'!C10</f>
        <v>214375</v>
      </c>
      <c r="E18" s="67">
        <f>D18-'5.P &amp; L Account'!D10</f>
        <v>183750</v>
      </c>
      <c r="F18" s="67">
        <f>E18-'5.P &amp; L Account'!E10</f>
        <v>153125</v>
      </c>
      <c r="G18" s="67">
        <f>F18-'5.P &amp; L Account'!F10</f>
        <v>122500</v>
      </c>
      <c r="H18" s="67">
        <f>G18-'5.P &amp; L Account'!G10</f>
        <v>91875</v>
      </c>
    </row>
    <row r="19" spans="2:8" x14ac:dyDescent="0.25">
      <c r="B19" s="67" t="s">
        <v>129</v>
      </c>
      <c r="C19" s="67">
        <f>'1.Project cost'!E23</f>
        <v>961922.66666666663</v>
      </c>
      <c r="D19" s="67">
        <f>D30</f>
        <v>1180121.265062775</v>
      </c>
      <c r="E19" s="67">
        <f t="shared" ref="E19:H19" si="7">E30</f>
        <v>1385865.4230609785</v>
      </c>
      <c r="F19" s="67">
        <f t="shared" si="7"/>
        <v>1599468.4369665133</v>
      </c>
      <c r="G19" s="67">
        <f t="shared" si="7"/>
        <v>1842762.9649556992</v>
      </c>
      <c r="H19" s="67">
        <f t="shared" si="7"/>
        <v>2139448.6387695302</v>
      </c>
    </row>
    <row r="20" spans="2:8" x14ac:dyDescent="0.25">
      <c r="B20" s="77" t="s">
        <v>132</v>
      </c>
      <c r="C20" s="77">
        <f t="shared" ref="C20:H20" si="8">C14+C17+C18+C19</f>
        <v>2806422.6666666665</v>
      </c>
      <c r="D20" s="77">
        <f t="shared" si="8"/>
        <v>2828296.265062775</v>
      </c>
      <c r="E20" s="77">
        <f t="shared" si="8"/>
        <v>2869052.9230609788</v>
      </c>
      <c r="F20" s="77">
        <f t="shared" si="8"/>
        <v>2942185.5619665133</v>
      </c>
      <c r="G20" s="77">
        <f t="shared" si="8"/>
        <v>3064382.9462056989</v>
      </c>
      <c r="H20" s="77">
        <f t="shared" si="8"/>
        <v>3255428.0453320304</v>
      </c>
    </row>
    <row r="22" spans="2:8" x14ac:dyDescent="0.25">
      <c r="B22" s="78" t="s">
        <v>134</v>
      </c>
    </row>
    <row r="23" spans="2:8" x14ac:dyDescent="0.25">
      <c r="B23" s="72" t="s">
        <v>104</v>
      </c>
      <c r="C23" s="72" t="s">
        <v>133</v>
      </c>
      <c r="D23" s="73" t="s">
        <v>64</v>
      </c>
      <c r="E23" s="74" t="s">
        <v>65</v>
      </c>
      <c r="F23" s="74" t="s">
        <v>66</v>
      </c>
      <c r="G23" s="74" t="s">
        <v>67</v>
      </c>
      <c r="H23" s="74" t="s">
        <v>68</v>
      </c>
    </row>
    <row r="24" spans="2:8" x14ac:dyDescent="0.25">
      <c r="B24" s="79" t="s">
        <v>137</v>
      </c>
      <c r="C24" s="79"/>
      <c r="D24" s="80">
        <f>C30</f>
        <v>961922.66666666663</v>
      </c>
      <c r="E24" s="80">
        <f t="shared" ref="E24:H24" si="9">D30</f>
        <v>1180121.265062775</v>
      </c>
      <c r="F24" s="80">
        <f t="shared" si="9"/>
        <v>1385865.4230609785</v>
      </c>
      <c r="G24" s="80">
        <f t="shared" si="9"/>
        <v>1599468.4369665133</v>
      </c>
      <c r="H24" s="80">
        <f t="shared" si="9"/>
        <v>1842762.9649556992</v>
      </c>
    </row>
    <row r="25" spans="2:8" x14ac:dyDescent="0.25">
      <c r="B25" s="67" t="s">
        <v>114</v>
      </c>
      <c r="D25" s="67">
        <f>'5.P &amp; L Account'!C20</f>
        <v>241821.84102055128</v>
      </c>
      <c r="E25" s="67">
        <f>'5.P &amp; L Account'!D20</f>
        <v>286157.05528232933</v>
      </c>
      <c r="F25" s="67">
        <f>'5.P &amp; L Account'!E20</f>
        <v>346930.48456522287</v>
      </c>
      <c r="G25" s="67">
        <f>'5.P &amp; L Account'!F20</f>
        <v>427678.79795136955</v>
      </c>
      <c r="H25" s="67">
        <f>'5.P &amp; L Account'!G20</f>
        <v>531876.46651255735</v>
      </c>
    </row>
    <row r="26" spans="2:8" x14ac:dyDescent="0.25">
      <c r="B26" s="67" t="s">
        <v>116</v>
      </c>
      <c r="D26" s="67">
        <f>'5.P &amp; L Account'!C21</f>
        <v>165700</v>
      </c>
      <c r="E26" s="67">
        <f>'5.P &amp; L Account'!D21</f>
        <v>134362.5</v>
      </c>
      <c r="F26" s="67">
        <f>'5.P &amp; L Account'!E21</f>
        <v>109845.375</v>
      </c>
      <c r="G26" s="67">
        <f>'5.P &amp; L Account'!F21</f>
        <v>90472.143749999988</v>
      </c>
      <c r="H26" s="67">
        <f>'5.P &amp; L Account'!G21</f>
        <v>75015.574687500004</v>
      </c>
    </row>
    <row r="27" spans="2:8" x14ac:dyDescent="0.25">
      <c r="B27" s="67" t="s">
        <v>117</v>
      </c>
      <c r="D27" s="67">
        <f>'5.P &amp; L Account'!C22</f>
        <v>30625</v>
      </c>
      <c r="E27" s="67">
        <f>'5.P &amp; L Account'!D22</f>
        <v>30625</v>
      </c>
      <c r="F27" s="67">
        <f>'5.P &amp; L Account'!E22</f>
        <v>30625</v>
      </c>
      <c r="G27" s="67">
        <f>'5.P &amp; L Account'!F22</f>
        <v>30625</v>
      </c>
      <c r="H27" s="67">
        <f>'5.P &amp; L Account'!G22</f>
        <v>30625</v>
      </c>
    </row>
    <row r="28" spans="2:8" x14ac:dyDescent="0.25">
      <c r="B28" s="67" t="s">
        <v>135</v>
      </c>
      <c r="D28" s="67">
        <f>'4.sc term loan'!L14</f>
        <v>-219948.24262444291</v>
      </c>
      <c r="E28" s="67">
        <f>'4.sc term loan'!M14</f>
        <v>-245400.39728412588</v>
      </c>
      <c r="F28" s="67">
        <f>'4.sc term loan'!N14</f>
        <v>-273797.845659688</v>
      </c>
      <c r="G28" s="67">
        <f>'4.sc term loan'!O14</f>
        <v>-305481.41371218365</v>
      </c>
      <c r="H28" s="67">
        <f>'4.sc term loan'!P14</f>
        <v>-340831.36738622619</v>
      </c>
    </row>
    <row r="29" spans="2:8" x14ac:dyDescent="0.25">
      <c r="B29" s="81" t="s">
        <v>136</v>
      </c>
      <c r="C29" s="81"/>
      <c r="D29" s="81">
        <f>SUM(D25:D28)</f>
        <v>218198.59839610837</v>
      </c>
      <c r="E29" s="81">
        <f t="shared" ref="E29:H29" si="10">SUM(E25:E28)</f>
        <v>205744.15799820345</v>
      </c>
      <c r="F29" s="81">
        <f t="shared" si="10"/>
        <v>213603.01390553487</v>
      </c>
      <c r="G29" s="81">
        <f t="shared" si="10"/>
        <v>243294.52798918594</v>
      </c>
      <c r="H29" s="81">
        <f t="shared" si="10"/>
        <v>296685.67381383118</v>
      </c>
    </row>
    <row r="30" spans="2:8" x14ac:dyDescent="0.25">
      <c r="B30" s="77" t="s">
        <v>138</v>
      </c>
      <c r="C30" s="77">
        <f>'1.Project cost'!E23</f>
        <v>961922.66666666663</v>
      </c>
      <c r="D30" s="77">
        <f>D24+D29</f>
        <v>1180121.265062775</v>
      </c>
      <c r="E30" s="77">
        <f t="shared" ref="E30:H30" si="11">E24+E29</f>
        <v>1385865.4230609785</v>
      </c>
      <c r="F30" s="77">
        <f t="shared" si="11"/>
        <v>1599468.4369665133</v>
      </c>
      <c r="G30" s="77">
        <f t="shared" si="11"/>
        <v>1842762.9649556992</v>
      </c>
      <c r="H30" s="77">
        <f t="shared" si="11"/>
        <v>2139448.6387695302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Assumptions</vt:lpstr>
      <vt:lpstr>1.Project cost</vt:lpstr>
      <vt:lpstr>2.Rev. Working Cap</vt:lpstr>
      <vt:lpstr>3.Depreciation</vt:lpstr>
      <vt:lpstr>4.sc term loan</vt:lpstr>
      <vt:lpstr>5.P &amp; L Account</vt:lpstr>
      <vt:lpstr>6.Balance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Model</dc:title>
  <dc:subject>Project Report for a start up</dc:subject>
  <dc:creator>Varad</dc:creator>
  <cp:keywords>Entrepreneurship</cp:keywords>
  <dc:description>for a non financial person</dc:description>
  <cp:lastModifiedBy>Raheel Rupani</cp:lastModifiedBy>
  <dcterms:created xsi:type="dcterms:W3CDTF">2018-10-17T15:12:31Z</dcterms:created>
  <dcterms:modified xsi:type="dcterms:W3CDTF">2019-10-17T08:59:51Z</dcterms:modified>
  <cp:category>Finance</cp:category>
</cp:coreProperties>
</file>