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20" windowHeight="9855"/>
  </bookViews>
  <sheets>
    <sheet name="Data" sheetId="1" r:id="rId1"/>
    <sheet name="Scorecard Data" sheetId="2" r:id="rId2"/>
  </sheets>
  <definedNames>
    <definedName name="_xlnm._FilterDatabase" localSheetId="0" hidden="1">Data!$A$1:$O$236</definedName>
  </definedNames>
  <calcPr calcId="125725"/>
</workbook>
</file>

<file path=xl/calcChain.xml><?xml version="1.0" encoding="utf-8"?>
<calcChain xmlns="http://schemas.openxmlformats.org/spreadsheetml/2006/main">
  <c r="E187" i="1"/>
  <c r="E134"/>
  <c r="E84"/>
  <c r="E72"/>
  <c r="F72"/>
  <c r="F84"/>
  <c r="F134"/>
  <c r="F173"/>
  <c r="F187"/>
  <c r="F96"/>
  <c r="F222"/>
  <c r="F97"/>
  <c r="F29"/>
  <c r="F161"/>
  <c r="F18"/>
  <c r="F155"/>
  <c r="F175"/>
  <c r="F104"/>
  <c r="F138"/>
  <c r="F167"/>
  <c r="F227"/>
  <c r="F66"/>
  <c r="F78"/>
  <c r="F61"/>
  <c r="F214"/>
  <c r="F47"/>
  <c r="F98"/>
  <c r="F208"/>
  <c r="F71"/>
  <c r="F221"/>
  <c r="F102"/>
  <c r="F195"/>
  <c r="F112"/>
  <c r="F33"/>
  <c r="F219"/>
  <c r="F44"/>
  <c r="F196"/>
  <c r="F10"/>
  <c r="F198"/>
  <c r="F207"/>
  <c r="F169"/>
  <c r="F109"/>
  <c r="F144"/>
  <c r="F4"/>
  <c r="F37"/>
  <c r="F2"/>
  <c r="F218"/>
  <c r="F166"/>
  <c r="F99"/>
  <c r="F148"/>
  <c r="F185"/>
  <c r="F224"/>
  <c r="F226"/>
  <c r="F128"/>
  <c r="F79"/>
  <c r="F234"/>
  <c r="F205"/>
  <c r="F111"/>
  <c r="F174"/>
  <c r="F145"/>
  <c r="F197"/>
  <c r="F13"/>
  <c r="F50"/>
  <c r="F126"/>
  <c r="F204"/>
  <c r="F36"/>
  <c r="F149"/>
  <c r="F42"/>
  <c r="F108"/>
  <c r="F32"/>
  <c r="F154"/>
  <c r="F60"/>
  <c r="F35"/>
  <c r="F127"/>
  <c r="F186"/>
  <c r="F86"/>
  <c r="F7"/>
  <c r="F130"/>
  <c r="F235"/>
  <c r="F52"/>
  <c r="F236"/>
  <c r="F81"/>
  <c r="F170"/>
  <c r="F21"/>
  <c r="F213"/>
  <c r="F54"/>
  <c r="F176"/>
  <c r="F41"/>
  <c r="F94"/>
  <c r="F88"/>
  <c r="F20"/>
  <c r="F26"/>
  <c r="F194"/>
  <c r="F58"/>
  <c r="F202"/>
  <c r="F91"/>
  <c r="F34"/>
  <c r="F23"/>
  <c r="F14"/>
  <c r="F15"/>
  <c r="F92"/>
  <c r="F203"/>
  <c r="F31"/>
  <c r="F206"/>
  <c r="F101"/>
  <c r="F62"/>
  <c r="F93"/>
  <c r="F165"/>
  <c r="F115"/>
  <c r="F189"/>
  <c r="F107"/>
  <c r="F120"/>
  <c r="F164"/>
  <c r="F209"/>
  <c r="F153"/>
  <c r="F64"/>
  <c r="F55"/>
  <c r="F191"/>
  <c r="F114"/>
  <c r="F70"/>
  <c r="F215"/>
  <c r="F159"/>
  <c r="F77"/>
  <c r="F220"/>
  <c r="F190"/>
  <c r="F27"/>
  <c r="F51"/>
  <c r="F40"/>
  <c r="F140"/>
  <c r="F49"/>
  <c r="F152"/>
  <c r="F100"/>
  <c r="F117"/>
  <c r="F171"/>
  <c r="F46"/>
  <c r="F3"/>
  <c r="F122"/>
  <c r="F223"/>
  <c r="F119"/>
  <c r="F160"/>
  <c r="F163"/>
  <c r="F135"/>
  <c r="F142"/>
  <c r="F11"/>
  <c r="F103"/>
  <c r="F113"/>
  <c r="F232"/>
  <c r="F116"/>
  <c r="F118"/>
  <c r="F146"/>
  <c r="F125"/>
  <c r="F192"/>
  <c r="F28"/>
  <c r="F75"/>
  <c r="F89"/>
  <c r="F76"/>
  <c r="F74"/>
  <c r="F65"/>
  <c r="F136"/>
  <c r="F212"/>
  <c r="F201"/>
  <c r="F59"/>
  <c r="F69"/>
  <c r="F172"/>
  <c r="F53"/>
  <c r="F90"/>
  <c r="F45"/>
  <c r="F17"/>
  <c r="F25"/>
  <c r="F63"/>
  <c r="F193"/>
  <c r="F124"/>
  <c r="F56"/>
  <c r="F123"/>
  <c r="F199"/>
  <c r="F38"/>
  <c r="F131"/>
  <c r="F233"/>
  <c r="F129"/>
  <c r="F30"/>
  <c r="F16"/>
  <c r="F95"/>
  <c r="F22"/>
  <c r="F19"/>
  <c r="F73"/>
  <c r="F150"/>
  <c r="F151"/>
  <c r="F182"/>
  <c r="F137"/>
  <c r="F225"/>
  <c r="F184"/>
  <c r="F85"/>
  <c r="F179"/>
  <c r="F211"/>
  <c r="F110"/>
  <c r="F228"/>
  <c r="F139"/>
  <c r="F181"/>
  <c r="F12"/>
  <c r="F105"/>
  <c r="F83"/>
  <c r="F158"/>
  <c r="F188"/>
  <c r="F9"/>
  <c r="F6"/>
  <c r="F132"/>
  <c r="F57"/>
  <c r="F24"/>
  <c r="F87"/>
  <c r="F5"/>
  <c r="F133"/>
  <c r="F82"/>
  <c r="F68"/>
  <c r="F39"/>
  <c r="F178"/>
  <c r="F121"/>
  <c r="F141"/>
  <c r="F183"/>
  <c r="F80"/>
  <c r="F229"/>
  <c r="F216"/>
  <c r="F162"/>
  <c r="F231"/>
  <c r="F8"/>
  <c r="F147"/>
  <c r="F48"/>
  <c r="F217"/>
  <c r="F177"/>
  <c r="F180"/>
  <c r="F143"/>
  <c r="F43"/>
  <c r="H2"/>
  <c r="N2"/>
  <c r="N3"/>
  <c r="O3"/>
  <c r="P3"/>
  <c r="N4"/>
  <c r="O4"/>
  <c r="P4"/>
  <c r="N5"/>
  <c r="O5"/>
  <c r="P5"/>
  <c r="N6"/>
  <c r="N7"/>
  <c r="O7"/>
  <c r="P7"/>
  <c r="G8"/>
  <c r="N8"/>
  <c r="O8"/>
  <c r="P8"/>
  <c r="G9"/>
  <c r="N9"/>
  <c r="O9"/>
  <c r="P9"/>
  <c r="N10"/>
  <c r="N11"/>
  <c r="O11"/>
  <c r="P11"/>
  <c r="G12"/>
  <c r="N12"/>
  <c r="O12"/>
  <c r="P12"/>
  <c r="G13"/>
  <c r="N13"/>
  <c r="O13"/>
  <c r="P13"/>
  <c r="G14"/>
  <c r="N14"/>
  <c r="N15"/>
  <c r="O15"/>
  <c r="P15"/>
  <c r="G16"/>
  <c r="N16"/>
  <c r="O16"/>
  <c r="P16"/>
  <c r="N17"/>
  <c r="O17"/>
  <c r="P17"/>
  <c r="N18"/>
  <c r="G19"/>
  <c r="N19"/>
  <c r="O19"/>
  <c r="P19"/>
  <c r="N20"/>
  <c r="O20"/>
  <c r="P20"/>
  <c r="N21"/>
  <c r="O21"/>
  <c r="P21"/>
  <c r="G22"/>
  <c r="N22"/>
  <c r="K23"/>
  <c r="N23"/>
  <c r="O23"/>
  <c r="P23"/>
  <c r="G24"/>
  <c r="N24"/>
  <c r="O24"/>
  <c r="P24"/>
  <c r="N25"/>
  <c r="O25"/>
  <c r="P25"/>
  <c r="G26"/>
  <c r="N26"/>
  <c r="N27"/>
  <c r="O27"/>
  <c r="P27"/>
  <c r="N28"/>
  <c r="O28"/>
  <c r="P28"/>
  <c r="G29"/>
  <c r="N29"/>
  <c r="O29"/>
  <c r="P29"/>
  <c r="N30"/>
  <c r="N31"/>
  <c r="O31"/>
  <c r="P31"/>
  <c r="N32"/>
  <c r="O32"/>
  <c r="P32"/>
  <c r="N33"/>
  <c r="O33"/>
  <c r="P33"/>
  <c r="N34"/>
  <c r="N35"/>
  <c r="O35"/>
  <c r="P35"/>
  <c r="N36"/>
  <c r="O36"/>
  <c r="P36"/>
  <c r="G37"/>
  <c r="N37"/>
  <c r="O37"/>
  <c r="P37"/>
  <c r="N38"/>
  <c r="N39"/>
  <c r="O39"/>
  <c r="P39"/>
  <c r="N40"/>
  <c r="O40"/>
  <c r="P40"/>
  <c r="N41"/>
  <c r="O41"/>
  <c r="P41"/>
  <c r="G42"/>
  <c r="N42"/>
  <c r="N43"/>
  <c r="O43"/>
  <c r="P43"/>
  <c r="N44"/>
  <c r="O44"/>
  <c r="P44"/>
  <c r="N45"/>
  <c r="O45"/>
  <c r="P45"/>
  <c r="N46"/>
  <c r="G47"/>
  <c r="N47"/>
  <c r="O47"/>
  <c r="P47"/>
  <c r="G48"/>
  <c r="N48"/>
  <c r="O48"/>
  <c r="P48"/>
  <c r="G49"/>
  <c r="N49"/>
  <c r="O49"/>
  <c r="P49"/>
  <c r="N50"/>
  <c r="G51"/>
  <c r="N51"/>
  <c r="O51"/>
  <c r="P51"/>
  <c r="N52"/>
  <c r="O52"/>
  <c r="P52"/>
  <c r="N53"/>
  <c r="O53"/>
  <c r="P53"/>
  <c r="G54"/>
  <c r="K54"/>
  <c r="N54"/>
  <c r="N55"/>
  <c r="O55"/>
  <c r="P55"/>
  <c r="N56"/>
  <c r="O56"/>
  <c r="P56"/>
  <c r="G57"/>
  <c r="N57"/>
  <c r="O57"/>
  <c r="P57"/>
  <c r="N58"/>
  <c r="G59"/>
  <c r="N59"/>
  <c r="O59"/>
  <c r="P59"/>
  <c r="N60"/>
  <c r="O60"/>
  <c r="P60"/>
  <c r="N61"/>
  <c r="O61"/>
  <c r="P61"/>
  <c r="G62"/>
  <c r="N62"/>
  <c r="N63"/>
  <c r="O63"/>
  <c r="P63"/>
  <c r="N64"/>
  <c r="O64"/>
  <c r="P64"/>
  <c r="G65"/>
  <c r="N65"/>
  <c r="O65"/>
  <c r="P65"/>
  <c r="N66"/>
  <c r="N67"/>
  <c r="O67"/>
  <c r="P67"/>
  <c r="N68"/>
  <c r="O68"/>
  <c r="P68"/>
  <c r="N69"/>
  <c r="O69"/>
  <c r="P69"/>
  <c r="G70"/>
  <c r="N70"/>
  <c r="G71"/>
  <c r="N71"/>
  <c r="O71"/>
  <c r="P71"/>
  <c r="N72"/>
  <c r="O72"/>
  <c r="P72"/>
  <c r="G73"/>
  <c r="N73"/>
  <c r="O73"/>
  <c r="P73"/>
  <c r="N74"/>
  <c r="N75"/>
  <c r="O75"/>
  <c r="P75"/>
  <c r="N76"/>
  <c r="O76"/>
  <c r="P76"/>
  <c r="G77"/>
  <c r="N77"/>
  <c r="O77"/>
  <c r="P77"/>
  <c r="G78"/>
  <c r="N78"/>
  <c r="N79"/>
  <c r="O79"/>
  <c r="P79"/>
  <c r="G80"/>
  <c r="N80"/>
  <c r="O80"/>
  <c r="P80"/>
  <c r="N81"/>
  <c r="O81"/>
  <c r="P81"/>
  <c r="N82"/>
  <c r="G83"/>
  <c r="N83"/>
  <c r="O83"/>
  <c r="P83"/>
  <c r="N84"/>
  <c r="O84"/>
  <c r="P84"/>
  <c r="N85"/>
  <c r="O85"/>
  <c r="P85"/>
  <c r="N86"/>
  <c r="N87"/>
  <c r="O87"/>
  <c r="P87"/>
  <c r="N88"/>
  <c r="O88"/>
  <c r="P88"/>
  <c r="N89"/>
  <c r="O89"/>
  <c r="P89"/>
  <c r="N90"/>
  <c r="G91"/>
  <c r="N91"/>
  <c r="O91"/>
  <c r="P91"/>
  <c r="G92"/>
  <c r="N92"/>
  <c r="O92"/>
  <c r="P92"/>
  <c r="N93"/>
  <c r="O93"/>
  <c r="P93"/>
  <c r="G94"/>
  <c r="N94"/>
  <c r="G95"/>
  <c r="K95"/>
  <c r="N95"/>
  <c r="O95"/>
  <c r="P95"/>
  <c r="N96"/>
  <c r="O96"/>
  <c r="P96"/>
  <c r="N97"/>
  <c r="O97"/>
  <c r="P97"/>
  <c r="N98"/>
  <c r="N99"/>
  <c r="O99"/>
  <c r="P99"/>
  <c r="G100"/>
  <c r="N100"/>
  <c r="O100"/>
  <c r="P100"/>
  <c r="G101"/>
  <c r="K101"/>
  <c r="N101"/>
  <c r="O101"/>
  <c r="P101"/>
  <c r="N102"/>
  <c r="G103"/>
  <c r="N103"/>
  <c r="O103"/>
  <c r="P103"/>
  <c r="N104"/>
  <c r="O104"/>
  <c r="P104"/>
  <c r="N105"/>
  <c r="O105"/>
  <c r="P105"/>
  <c r="N106"/>
  <c r="N107"/>
  <c r="O107"/>
  <c r="P107"/>
  <c r="N108"/>
  <c r="O108"/>
  <c r="P108"/>
  <c r="G109"/>
  <c r="N109"/>
  <c r="O109"/>
  <c r="P109"/>
  <c r="G110"/>
  <c r="N110"/>
  <c r="N111"/>
  <c r="O111"/>
  <c r="P111"/>
  <c r="N112"/>
  <c r="O112"/>
  <c r="P112"/>
  <c r="N113"/>
  <c r="O113"/>
  <c r="P113"/>
  <c r="N114"/>
  <c r="N115"/>
  <c r="O115"/>
  <c r="P115"/>
  <c r="G116"/>
  <c r="L116"/>
  <c r="N116"/>
  <c r="O116"/>
  <c r="P116"/>
  <c r="N117"/>
  <c r="O117"/>
  <c r="P117"/>
  <c r="N118"/>
  <c r="N119"/>
  <c r="O119"/>
  <c r="P119"/>
  <c r="N120"/>
  <c r="O120"/>
  <c r="P120"/>
  <c r="G121"/>
  <c r="N121"/>
  <c r="O121"/>
  <c r="P121"/>
  <c r="G122"/>
  <c r="N122"/>
  <c r="N123"/>
  <c r="O123"/>
  <c r="P123"/>
  <c r="N124"/>
  <c r="O124"/>
  <c r="P124"/>
  <c r="N125"/>
  <c r="O125"/>
  <c r="P125"/>
  <c r="N126"/>
  <c r="N127"/>
  <c r="O127"/>
  <c r="P127"/>
  <c r="N128"/>
  <c r="O128"/>
  <c r="P128"/>
  <c r="N129"/>
  <c r="O129"/>
  <c r="P129"/>
  <c r="N130"/>
  <c r="N131"/>
  <c r="O131"/>
  <c r="P131"/>
  <c r="N132"/>
  <c r="O132"/>
  <c r="P132"/>
  <c r="G133"/>
  <c r="N133"/>
  <c r="O133"/>
  <c r="P133"/>
  <c r="N134"/>
  <c r="N135"/>
  <c r="O135"/>
  <c r="P135"/>
  <c r="G136"/>
  <c r="N136"/>
  <c r="O136"/>
  <c r="P136"/>
  <c r="N137"/>
  <c r="O137"/>
  <c r="P137"/>
  <c r="G138"/>
  <c r="N138"/>
  <c r="G139"/>
  <c r="N139"/>
  <c r="O139"/>
  <c r="P139"/>
  <c r="N140"/>
  <c r="O140"/>
  <c r="P140"/>
  <c r="N141"/>
  <c r="O141"/>
  <c r="P141"/>
  <c r="N142"/>
  <c r="N143"/>
  <c r="O143"/>
  <c r="P143"/>
  <c r="N144"/>
  <c r="O144"/>
  <c r="P144"/>
  <c r="G145"/>
  <c r="N145"/>
  <c r="O145"/>
  <c r="P145"/>
  <c r="N146"/>
  <c r="N147"/>
  <c r="O147"/>
  <c r="P147"/>
  <c r="N148"/>
  <c r="O148"/>
  <c r="P148"/>
  <c r="G149"/>
  <c r="N149"/>
  <c r="O149"/>
  <c r="P149"/>
  <c r="G150"/>
  <c r="N150"/>
  <c r="G151"/>
  <c r="N151"/>
  <c r="O151"/>
  <c r="P151"/>
  <c r="G152"/>
  <c r="N152"/>
  <c r="O152"/>
  <c r="P152"/>
  <c r="G153"/>
  <c r="N153"/>
  <c r="O153"/>
  <c r="P153"/>
  <c r="N154"/>
  <c r="N155"/>
  <c r="O155"/>
  <c r="P155"/>
  <c r="G156"/>
  <c r="N156"/>
  <c r="O156"/>
  <c r="P156"/>
  <c r="G157"/>
  <c r="N157"/>
  <c r="O157"/>
  <c r="P157"/>
  <c r="N158"/>
  <c r="N159"/>
  <c r="O159"/>
  <c r="P159"/>
  <c r="N160"/>
  <c r="O160"/>
  <c r="P160"/>
  <c r="N161"/>
  <c r="O161"/>
  <c r="P161"/>
  <c r="G162"/>
  <c r="N162"/>
  <c r="G163"/>
  <c r="N163"/>
  <c r="O163"/>
  <c r="P163"/>
  <c r="G164"/>
  <c r="K164"/>
  <c r="N164"/>
  <c r="O164"/>
  <c r="P164"/>
  <c r="G165"/>
  <c r="N165"/>
  <c r="O165"/>
  <c r="P165"/>
  <c r="G166"/>
  <c r="N166"/>
  <c r="G167"/>
  <c r="N167"/>
  <c r="O167"/>
  <c r="P167"/>
  <c r="N168"/>
  <c r="O168"/>
  <c r="P168"/>
  <c r="G169"/>
  <c r="N169"/>
  <c r="O169"/>
  <c r="P169"/>
  <c r="G170"/>
  <c r="N170"/>
  <c r="N171"/>
  <c r="O171"/>
  <c r="P171"/>
  <c r="N172"/>
  <c r="O172"/>
  <c r="P172"/>
  <c r="N173"/>
  <c r="O173"/>
  <c r="P173"/>
  <c r="G174"/>
  <c r="N174"/>
  <c r="G175"/>
  <c r="N175"/>
  <c r="O175"/>
  <c r="P175"/>
  <c r="G176"/>
  <c r="N176"/>
  <c r="O176"/>
  <c r="P176"/>
  <c r="N177"/>
  <c r="O177"/>
  <c r="P177"/>
  <c r="N178"/>
  <c r="G179"/>
  <c r="N179"/>
  <c r="O179"/>
  <c r="P179"/>
  <c r="N180"/>
  <c r="O180"/>
  <c r="P180"/>
  <c r="G181"/>
  <c r="N181"/>
  <c r="O181"/>
  <c r="P181"/>
  <c r="N182"/>
  <c r="N183"/>
  <c r="O183"/>
  <c r="P183"/>
  <c r="G184"/>
  <c r="N184"/>
  <c r="O184"/>
  <c r="P184"/>
  <c r="N185"/>
  <c r="O185"/>
  <c r="P185"/>
  <c r="N186"/>
  <c r="N187"/>
  <c r="O187"/>
  <c r="P187"/>
  <c r="G188"/>
  <c r="N188"/>
  <c r="O188"/>
  <c r="P188"/>
  <c r="N189"/>
  <c r="O189"/>
  <c r="P189"/>
  <c r="G190"/>
  <c r="K190"/>
  <c r="N190"/>
  <c r="G191"/>
  <c r="N191"/>
  <c r="O191"/>
  <c r="P191"/>
  <c r="G192"/>
  <c r="N192"/>
  <c r="O192"/>
  <c r="P192"/>
  <c r="N193"/>
  <c r="O193"/>
  <c r="P193"/>
  <c r="N194"/>
  <c r="G195"/>
  <c r="N195"/>
  <c r="O195"/>
  <c r="P195"/>
  <c r="N196"/>
  <c r="O196"/>
  <c r="P196"/>
  <c r="N197"/>
  <c r="O197"/>
  <c r="P197"/>
  <c r="N198"/>
  <c r="N199"/>
  <c r="O199"/>
  <c r="P199"/>
  <c r="N200"/>
  <c r="O200"/>
  <c r="P200"/>
  <c r="N201"/>
  <c r="O201"/>
  <c r="P201"/>
  <c r="N202"/>
  <c r="G203"/>
  <c r="N203"/>
  <c r="O203"/>
  <c r="P203"/>
  <c r="H204"/>
  <c r="N204"/>
  <c r="O204"/>
  <c r="P204"/>
  <c r="N205"/>
  <c r="O205"/>
  <c r="P205"/>
  <c r="H206"/>
  <c r="N206"/>
  <c r="N207"/>
  <c r="O207"/>
  <c r="P207"/>
  <c r="N208"/>
  <c r="O208"/>
  <c r="P208"/>
  <c r="N209"/>
  <c r="O209"/>
  <c r="P209"/>
  <c r="N210"/>
  <c r="N211"/>
  <c r="O211"/>
  <c r="P211"/>
  <c r="G212"/>
  <c r="N212"/>
  <c r="O212"/>
  <c r="P212"/>
  <c r="N213"/>
  <c r="O213"/>
  <c r="P213"/>
  <c r="N214"/>
  <c r="N215"/>
  <c r="O215"/>
  <c r="P215"/>
  <c r="G216"/>
  <c r="N216"/>
  <c r="O216"/>
  <c r="P216"/>
  <c r="N217"/>
  <c r="O217"/>
  <c r="P217"/>
  <c r="G218"/>
  <c r="N218"/>
  <c r="G219"/>
  <c r="N219"/>
  <c r="O219"/>
  <c r="P219"/>
  <c r="N220"/>
  <c r="O220"/>
  <c r="P220"/>
  <c r="N221"/>
  <c r="O221"/>
  <c r="P221"/>
  <c r="G222"/>
  <c r="N222"/>
  <c r="G223"/>
  <c r="N223"/>
  <c r="O223"/>
  <c r="P223"/>
  <c r="N224"/>
  <c r="O224"/>
  <c r="P224"/>
  <c r="G225"/>
  <c r="K225"/>
  <c r="N225"/>
  <c r="O225"/>
  <c r="P225"/>
  <c r="N226"/>
  <c r="G227"/>
  <c r="N227"/>
  <c r="O227"/>
  <c r="P227"/>
  <c r="G228"/>
  <c r="N228"/>
  <c r="O228"/>
  <c r="P228"/>
  <c r="G229"/>
  <c r="N229"/>
  <c r="O229"/>
  <c r="P229"/>
  <c r="N230"/>
  <c r="N231"/>
  <c r="O231"/>
  <c r="P231"/>
  <c r="N232"/>
  <c r="O232"/>
  <c r="P232"/>
  <c r="N233"/>
  <c r="O233"/>
  <c r="P233"/>
  <c r="N234"/>
  <c r="N235"/>
  <c r="O235"/>
  <c r="P235"/>
  <c r="N236"/>
  <c r="O236"/>
  <c r="P236"/>
  <c r="O6"/>
  <c r="P6"/>
  <c r="O10"/>
  <c r="P10"/>
  <c r="O14"/>
  <c r="P14"/>
  <c r="O18"/>
  <c r="P18"/>
  <c r="O22"/>
  <c r="P22"/>
  <c r="O26"/>
  <c r="P26"/>
  <c r="O30"/>
  <c r="P30"/>
  <c r="O34"/>
  <c r="P34"/>
  <c r="O38"/>
  <c r="P38"/>
  <c r="O42"/>
  <c r="P42"/>
  <c r="O46"/>
  <c r="P46"/>
  <c r="O50"/>
  <c r="P50"/>
  <c r="O54"/>
  <c r="P54"/>
  <c r="O58"/>
  <c r="P58"/>
  <c r="O62"/>
  <c r="P62"/>
  <c r="O66"/>
  <c r="P66"/>
  <c r="O70"/>
  <c r="P70"/>
  <c r="O74"/>
  <c r="P74"/>
  <c r="O78"/>
  <c r="P78"/>
  <c r="O82"/>
  <c r="P82"/>
  <c r="O86"/>
  <c r="P86"/>
  <c r="O90"/>
  <c r="P90"/>
  <c r="O94"/>
  <c r="P94"/>
  <c r="O98"/>
  <c r="P98"/>
  <c r="O102"/>
  <c r="P102"/>
  <c r="O106"/>
  <c r="P106"/>
  <c r="O110"/>
  <c r="P110"/>
  <c r="O114"/>
  <c r="P114"/>
  <c r="O118"/>
  <c r="P118"/>
  <c r="O122"/>
  <c r="P122"/>
  <c r="O126"/>
  <c r="P126"/>
  <c r="O130"/>
  <c r="P130"/>
  <c r="O134"/>
  <c r="P134"/>
  <c r="O138"/>
  <c r="P138"/>
  <c r="O142"/>
  <c r="P142"/>
  <c r="O146"/>
  <c r="P146"/>
  <c r="O150"/>
  <c r="P150"/>
  <c r="O154"/>
  <c r="P154"/>
  <c r="O158"/>
  <c r="P158"/>
  <c r="O162"/>
  <c r="P162"/>
  <c r="O166"/>
  <c r="P166"/>
  <c r="O170"/>
  <c r="P170"/>
  <c r="O174"/>
  <c r="P174"/>
  <c r="O178"/>
  <c r="P178"/>
  <c r="O182"/>
  <c r="P182"/>
  <c r="O186"/>
  <c r="P186"/>
  <c r="O190"/>
  <c r="P190"/>
  <c r="O194"/>
  <c r="P194"/>
  <c r="O198"/>
  <c r="P198"/>
  <c r="O202"/>
  <c r="P202"/>
  <c r="O206"/>
  <c r="P206"/>
  <c r="O210"/>
  <c r="P210"/>
  <c r="O214"/>
  <c r="P214"/>
  <c r="O218"/>
  <c r="P218"/>
  <c r="O222"/>
  <c r="P222"/>
  <c r="O226"/>
  <c r="P226"/>
  <c r="O230"/>
  <c r="P230"/>
  <c r="O234"/>
  <c r="P234"/>
  <c r="O2"/>
  <c r="P2"/>
  <c r="P238"/>
</calcChain>
</file>

<file path=xl/sharedStrings.xml><?xml version="1.0" encoding="utf-8"?>
<sst xmlns="http://schemas.openxmlformats.org/spreadsheetml/2006/main" count="502" uniqueCount="274">
  <si>
    <t>WorldFactbook region</t>
  </si>
  <si>
    <t>Country</t>
  </si>
  <si>
    <t>pop2000</t>
  </si>
  <si>
    <t>pop2008</t>
  </si>
  <si>
    <t>Asia</t>
  </si>
  <si>
    <t>Europe</t>
  </si>
  <si>
    <t>Africa</t>
  </si>
  <si>
    <t>Oceania</t>
  </si>
  <si>
    <t>Central America and the Caribbean</t>
  </si>
  <si>
    <t>South America</t>
  </si>
  <si>
    <t>Middle East</t>
  </si>
  <si>
    <t>North America</t>
  </si>
  <si>
    <t>Southeast Asia</t>
  </si>
  <si>
    <t>Burma (Myanmar)</t>
  </si>
  <si>
    <t>Political Map of the World</t>
  </si>
  <si>
    <t>Congo (Brazzaville, Republic)</t>
  </si>
  <si>
    <t>Congo (Kinshasa, DR)</t>
  </si>
  <si>
    <t>Falkland Islands</t>
  </si>
  <si>
    <t>Arctic Region</t>
  </si>
  <si>
    <t>Korea, South (Republic of)</t>
  </si>
  <si>
    <t>Macedonia, The Former Yugo. Rep. of</t>
  </si>
  <si>
    <t>Niue</t>
  </si>
  <si>
    <t>World</t>
  </si>
  <si>
    <t>Asia, Europe</t>
  </si>
  <si>
    <t>Wake Island</t>
  </si>
  <si>
    <t>Christian</t>
  </si>
  <si>
    <t>Muslim</t>
  </si>
  <si>
    <t>Hindu</t>
  </si>
  <si>
    <t>Buddhist</t>
  </si>
  <si>
    <t>Other/UnSpecified</t>
  </si>
  <si>
    <t>Jewish</t>
  </si>
  <si>
    <t>None</t>
  </si>
  <si>
    <t>N/A</t>
  </si>
  <si>
    <t>Total</t>
  </si>
  <si>
    <t>Growth Rate</t>
  </si>
  <si>
    <t>pop2011</t>
  </si>
  <si>
    <t>China</t>
  </si>
  <si>
    <t>India</t>
  </si>
  <si>
    <t>United States</t>
  </si>
  <si>
    <t>Indonesia</t>
  </si>
  <si>
    <t>Brazil</t>
  </si>
  <si>
    <t>Pakistan</t>
  </si>
  <si>
    <t>Nigeria</t>
  </si>
  <si>
    <t>Russia</t>
  </si>
  <si>
    <t>Bangladesh</t>
  </si>
  <si>
    <t>Japan</t>
  </si>
  <si>
    <t>Mexico</t>
  </si>
  <si>
    <t>Philippines</t>
  </si>
  <si>
    <t>Vietnam</t>
  </si>
  <si>
    <t>Ethiopia</t>
  </si>
  <si>
    <t>Germany</t>
  </si>
  <si>
    <t>Egypt</t>
  </si>
  <si>
    <t>Iran</t>
  </si>
  <si>
    <t>Turkey</t>
  </si>
  <si>
    <t>Thailand</t>
  </si>
  <si>
    <t>France</t>
  </si>
  <si>
    <t>United Kingdom</t>
  </si>
  <si>
    <t>Italy</t>
  </si>
  <si>
    <t>South Africa</t>
  </si>
  <si>
    <t>Colombia</t>
  </si>
  <si>
    <t>Spain</t>
  </si>
  <si>
    <t>Ukraine</t>
  </si>
  <si>
    <t>Tanzania</t>
  </si>
  <si>
    <t>Argentina</t>
  </si>
  <si>
    <t>Kenya</t>
  </si>
  <si>
    <t>Poland</t>
  </si>
  <si>
    <t>Algeria</t>
  </si>
  <si>
    <t>Canada</t>
  </si>
  <si>
    <t>Iraq</t>
  </si>
  <si>
    <t>Uganda</t>
  </si>
  <si>
    <t>Morocco</t>
  </si>
  <si>
    <t>Peru</t>
  </si>
  <si>
    <t>Malaysia</t>
  </si>
  <si>
    <t>Uzbekistan</t>
  </si>
  <si>
    <t>Venezuela</t>
  </si>
  <si>
    <t>Saudi Arabia</t>
  </si>
  <si>
    <t>Nepal</t>
  </si>
  <si>
    <t>Afghanistan</t>
  </si>
  <si>
    <t>Ghana</t>
  </si>
  <si>
    <t>Yemen</t>
  </si>
  <si>
    <t>Mozambique</t>
  </si>
  <si>
    <t>Australia</t>
  </si>
  <si>
    <t>Syria</t>
  </si>
  <si>
    <t>Madagascar</t>
  </si>
  <si>
    <t>Sri Lanka</t>
  </si>
  <si>
    <t>Angola</t>
  </si>
  <si>
    <t>Cameroon</t>
  </si>
  <si>
    <t>Romania</t>
  </si>
  <si>
    <t>Chile</t>
  </si>
  <si>
    <t>Netherlands</t>
  </si>
  <si>
    <t>Kazakhstan</t>
  </si>
  <si>
    <t>Niger</t>
  </si>
  <si>
    <t>Burkina Faso</t>
  </si>
  <si>
    <t>Guatemala</t>
  </si>
  <si>
    <t>Mali</t>
  </si>
  <si>
    <t>Ecuador</t>
  </si>
  <si>
    <t>Cambodia</t>
  </si>
  <si>
    <t>Malawi</t>
  </si>
  <si>
    <t>Zambia</t>
  </si>
  <si>
    <t>Senegal</t>
  </si>
  <si>
    <t>Zimbabwe</t>
  </si>
  <si>
    <t>Chad</t>
  </si>
  <si>
    <t>Cuba</t>
  </si>
  <si>
    <t>Belgium</t>
  </si>
  <si>
    <t>Greece</t>
  </si>
  <si>
    <t>Rwanda</t>
  </si>
  <si>
    <t>Tunisia</t>
  </si>
  <si>
    <t>Portugal</t>
  </si>
  <si>
    <t>Czech Republic</t>
  </si>
  <si>
    <t>Bolivia</t>
  </si>
  <si>
    <t>Guinea</t>
  </si>
  <si>
    <t>Haiti</t>
  </si>
  <si>
    <t>Hungary</t>
  </si>
  <si>
    <t>Somalia</t>
  </si>
  <si>
    <t>Sweden</t>
  </si>
  <si>
    <t>Belarus</t>
  </si>
  <si>
    <t>Dominican Republic</t>
  </si>
  <si>
    <t>Azerbaijan</t>
  </si>
  <si>
    <t>Benin</t>
  </si>
  <si>
    <t>Burundi</t>
  </si>
  <si>
    <t>Austria</t>
  </si>
  <si>
    <t>United Arab Emirates</t>
  </si>
  <si>
    <t>Honduras</t>
  </si>
  <si>
    <t>Switzerland</t>
  </si>
  <si>
    <t>Israel</t>
  </si>
  <si>
    <t>Tajikistan</t>
  </si>
  <si>
    <t>Bulgaria</t>
  </si>
  <si>
    <t>Papua New Guinea</t>
  </si>
  <si>
    <t>Libya</t>
  </si>
  <si>
    <t>Laos</t>
  </si>
  <si>
    <t>Paraguay</t>
  </si>
  <si>
    <t>Jordan</t>
  </si>
  <si>
    <t>El Salvador</t>
  </si>
  <si>
    <t>Sierra Leone</t>
  </si>
  <si>
    <t>Nicaragua</t>
  </si>
  <si>
    <t>Togo</t>
  </si>
  <si>
    <t>Kyrgyzstan</t>
  </si>
  <si>
    <t>Slovakia</t>
  </si>
  <si>
    <t>Eritrea</t>
  </si>
  <si>
    <t>Singapore</t>
  </si>
  <si>
    <t>Turkmenistan</t>
  </si>
  <si>
    <t>Norway</t>
  </si>
  <si>
    <t>Ireland</t>
  </si>
  <si>
    <t>Central African Republic</t>
  </si>
  <si>
    <t>New Zealand</t>
  </si>
  <si>
    <t>Costa Rica</t>
  </si>
  <si>
    <t>Croatia</t>
  </si>
  <si>
    <t>Lebanon</t>
  </si>
  <si>
    <t>Bosnia and Herzegovina</t>
  </si>
  <si>
    <t>Puerto Rico</t>
  </si>
  <si>
    <t>Moldova</t>
  </si>
  <si>
    <t>Liberia</t>
  </si>
  <si>
    <t>Panama</t>
  </si>
  <si>
    <t>Mauritania</t>
  </si>
  <si>
    <t>Armenia</t>
  </si>
  <si>
    <t>Uruguay</t>
  </si>
  <si>
    <t>Lithuania</t>
  </si>
  <si>
    <t>Albania</t>
  </si>
  <si>
    <t>Kuwait</t>
  </si>
  <si>
    <t>Oman</t>
  </si>
  <si>
    <t>Mongolia</t>
  </si>
  <si>
    <t>Jamaica</t>
  </si>
  <si>
    <t>Namibia</t>
  </si>
  <si>
    <t>Lesotho</t>
  </si>
  <si>
    <t>Slovenia</t>
  </si>
  <si>
    <t>Latvia</t>
  </si>
  <si>
    <t>Botswana</t>
  </si>
  <si>
    <t>Qatar</t>
  </si>
  <si>
    <t>Gabon</t>
  </si>
  <si>
    <t>Guinea-Bissau</t>
  </si>
  <si>
    <t>Trinidad and Tobago</t>
  </si>
  <si>
    <t>Estonia</t>
  </si>
  <si>
    <t>Mauritius</t>
  </si>
  <si>
    <t>Bahrain</t>
  </si>
  <si>
    <t>Swaziland</t>
  </si>
  <si>
    <t>Djibouti</t>
  </si>
  <si>
    <t>Fiji</t>
  </si>
  <si>
    <t>Cyprus</t>
  </si>
  <si>
    <t>Guyana</t>
  </si>
  <si>
    <t>Comoros</t>
  </si>
  <si>
    <t>Equatorial Guinea</t>
  </si>
  <si>
    <t>Bhutan</t>
  </si>
  <si>
    <t>Western Sahara</t>
  </si>
  <si>
    <t>Solomon Islands</t>
  </si>
  <si>
    <t>Suriname</t>
  </si>
  <si>
    <t>Luxembourg</t>
  </si>
  <si>
    <t>Cape Verde</t>
  </si>
  <si>
    <t>Brunei</t>
  </si>
  <si>
    <t>Malta</t>
  </si>
  <si>
    <t>Iceland</t>
  </si>
  <si>
    <t>Maldives</t>
  </si>
  <si>
    <t>Belize</t>
  </si>
  <si>
    <t>Barbados</t>
  </si>
  <si>
    <t>French Polynesia</t>
  </si>
  <si>
    <t>Vanuatu</t>
  </si>
  <si>
    <t>Samoa</t>
  </si>
  <si>
    <t>Saint Lucia</t>
  </si>
  <si>
    <t>Grenada</t>
  </si>
  <si>
    <t>Tonga</t>
  </si>
  <si>
    <t>Kiribati</t>
  </si>
  <si>
    <t>Saint Vincent and the Grenadines</t>
  </si>
  <si>
    <t>Seychelles</t>
  </si>
  <si>
    <t>Antigua and Barbuda</t>
  </si>
  <si>
    <t>Andorra</t>
  </si>
  <si>
    <t>Dominica</t>
  </si>
  <si>
    <t>American Samoa</t>
  </si>
  <si>
    <t>Marshall Islands</t>
  </si>
  <si>
    <t>Saint Kitts and Nevis</t>
  </si>
  <si>
    <t>Liechtenstein</t>
  </si>
  <si>
    <t>Monaco</t>
  </si>
  <si>
    <t>San Marino</t>
  </si>
  <si>
    <t>Palau</t>
  </si>
  <si>
    <t>Nauru</t>
  </si>
  <si>
    <t>Tuvalu</t>
  </si>
  <si>
    <t>Anguilla</t>
  </si>
  <si>
    <t>Aruba</t>
  </si>
  <si>
    <t>Bahamas, The</t>
  </si>
  <si>
    <t>Bermuda</t>
  </si>
  <si>
    <t>Cayman Islands</t>
  </si>
  <si>
    <t>Cook Islands</t>
  </si>
  <si>
    <t>Cote d'Ivoire</t>
  </si>
  <si>
    <t>Denmark</t>
  </si>
  <si>
    <t>East Timor</t>
  </si>
  <si>
    <t>Faroe Islands</t>
  </si>
  <si>
    <t>Finland</t>
  </si>
  <si>
    <t>French Guiana</t>
  </si>
  <si>
    <t>Gambia, The</t>
  </si>
  <si>
    <t>Gaza Strip</t>
  </si>
  <si>
    <t>Georgia</t>
  </si>
  <si>
    <t>Gibraltar</t>
  </si>
  <si>
    <t>Greenland</t>
  </si>
  <si>
    <t>Guadeloupe</t>
  </si>
  <si>
    <t>Guam</t>
  </si>
  <si>
    <t>Guernsey</t>
  </si>
  <si>
    <t>Hong Kong S.A.R.</t>
  </si>
  <si>
    <t>Jersey</t>
  </si>
  <si>
    <t>Johnston Atoll</t>
  </si>
  <si>
    <t>Korea, North</t>
  </si>
  <si>
    <t>Macau S.A.R.</t>
  </si>
  <si>
    <t>Man, Isle of</t>
  </si>
  <si>
    <t>Martinique</t>
  </si>
  <si>
    <t>Mayotte</t>
  </si>
  <si>
    <t>Micronesia, Federated States of</t>
  </si>
  <si>
    <t>Montserrat</t>
  </si>
  <si>
    <t>Netherlands Antilles</t>
  </si>
  <si>
    <t>New Caledonia</t>
  </si>
  <si>
    <t>Norfolk Island</t>
  </si>
  <si>
    <t>Northern Mariana Islands</t>
  </si>
  <si>
    <t>Pitcairn Islands</t>
  </si>
  <si>
    <t>Reunion</t>
  </si>
  <si>
    <t>Saint Helena</t>
  </si>
  <si>
    <t>Saint Pierre and Miquelon</t>
  </si>
  <si>
    <t>Sao Tome and Principe</t>
  </si>
  <si>
    <t>Serbia and Montenegro</t>
  </si>
  <si>
    <t>Sudan</t>
  </si>
  <si>
    <t>Svalbard</t>
  </si>
  <si>
    <t>Taiwan</t>
  </si>
  <si>
    <t>Tokelau</t>
  </si>
  <si>
    <t>Turks and Caicos Islands</t>
  </si>
  <si>
    <t>Virgin Islands</t>
  </si>
  <si>
    <t>Virgin Islands, British</t>
  </si>
  <si>
    <t>Wallis and Futuna</t>
  </si>
  <si>
    <t>West Bank</t>
  </si>
  <si>
    <t>Total Population 2008</t>
  </si>
  <si>
    <t>Total Population 2000</t>
  </si>
  <si>
    <t>Total Population 2011</t>
  </si>
  <si>
    <t>Average Population 2000</t>
  </si>
  <si>
    <t>Average Population 2008</t>
  </si>
  <si>
    <t>Average Population 2011</t>
  </si>
  <si>
    <t>Growth Rate Population 2008</t>
  </si>
  <si>
    <t>Growth Rate Population 2011</t>
  </si>
  <si>
    <t>KPI</t>
  </si>
  <si>
    <t>Value</t>
  </si>
  <si>
    <t>SUMPRODUCT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</si>
</sst>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_);_(@_)"/>
  </numFmts>
  <fonts count="7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10"/>
      <name val="Arial Unicode MS"/>
      <family val="2"/>
    </font>
    <font>
      <sz val="11"/>
      <color indexed="8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9" fontId="5" fillId="0" borderId="0" xfId="2" applyFont="1"/>
    <xf numFmtId="10" fontId="0" fillId="0" borderId="0" xfId="0" applyNumberFormat="1"/>
    <xf numFmtId="9" fontId="0" fillId="0" borderId="0" xfId="0" applyNumberFormat="1"/>
    <xf numFmtId="165" fontId="5" fillId="0" borderId="0" xfId="2" applyNumberFormat="1" applyFont="1"/>
    <xf numFmtId="0" fontId="0" fillId="0" borderId="0" xfId="0" applyFont="1" applyAlignment="1">
      <alignment wrapText="1"/>
    </xf>
    <xf numFmtId="166" fontId="0" fillId="0" borderId="0" xfId="0" applyNumberFormat="1"/>
    <xf numFmtId="10" fontId="0" fillId="0" borderId="0" xfId="2" applyNumberFormat="1" applyFont="1"/>
    <xf numFmtId="0" fontId="1" fillId="0" borderId="0" xfId="0" applyFont="1"/>
    <xf numFmtId="0" fontId="2" fillId="0" borderId="0" xfId="0" applyFont="1" applyAlignment="1"/>
    <xf numFmtId="164" fontId="3" fillId="0" borderId="0" xfId="1" applyNumberFormat="1" applyFont="1" applyAlignment="1"/>
    <xf numFmtId="164" fontId="0" fillId="0" borderId="0" xfId="1" applyNumberFormat="1" applyFont="1" applyAlignment="1"/>
    <xf numFmtId="164" fontId="1" fillId="0" borderId="0" xfId="1" applyNumberFormat="1" applyFont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40"/>
  <sheetViews>
    <sheetView tabSelected="1" workbookViewId="0"/>
  </sheetViews>
  <sheetFormatPr defaultRowHeight="12.75"/>
  <cols>
    <col min="1" max="1" width="30.5703125" bestFit="1" customWidth="1"/>
    <col min="2" max="2" width="33.42578125" bestFit="1" customWidth="1"/>
    <col min="3" max="4" width="14" bestFit="1" customWidth="1"/>
    <col min="5" max="6" width="14" customWidth="1"/>
    <col min="7" max="8" width="16.5703125" bestFit="1" customWidth="1"/>
    <col min="9" max="11" width="15" bestFit="1" customWidth="1"/>
    <col min="12" max="12" width="14" bestFit="1" customWidth="1"/>
    <col min="13" max="13" width="15" bestFit="1" customWidth="1"/>
    <col min="14" max="14" width="14" bestFit="1" customWidth="1"/>
    <col min="16" max="16" width="15.5703125" bestFit="1" customWidth="1"/>
  </cols>
  <sheetData>
    <row r="1" spans="1:16" ht="25.5">
      <c r="A1" s="15" t="s">
        <v>0</v>
      </c>
      <c r="B1" s="15" t="s">
        <v>1</v>
      </c>
      <c r="C1" s="16" t="s">
        <v>2</v>
      </c>
      <c r="D1" s="17" t="s">
        <v>3</v>
      </c>
      <c r="E1" s="18" t="s">
        <v>35</v>
      </c>
      <c r="F1" s="16" t="s">
        <v>34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19" t="s">
        <v>31</v>
      </c>
      <c r="N1" s="5" t="s">
        <v>32</v>
      </c>
      <c r="O1" s="11" t="s">
        <v>33</v>
      </c>
    </row>
    <row r="2" spans="1:16" ht="15">
      <c r="A2" t="s">
        <v>4</v>
      </c>
      <c r="B2" s="1" t="s">
        <v>77</v>
      </c>
      <c r="C2" s="2">
        <v>23898198</v>
      </c>
      <c r="D2" s="2">
        <v>32738376</v>
      </c>
      <c r="E2" s="2">
        <v>24485500</v>
      </c>
      <c r="F2" s="13">
        <f t="shared" ref="F2:F65" si="0">(D2-C2)/C2</f>
        <v>0.36990981495759639</v>
      </c>
      <c r="G2" s="6"/>
      <c r="H2" s="6">
        <f>80%+19%</f>
        <v>0.99</v>
      </c>
      <c r="I2" s="6"/>
      <c r="J2" s="6"/>
      <c r="K2" s="6">
        <v>0.01</v>
      </c>
      <c r="L2" s="6"/>
      <c r="M2" s="6"/>
      <c r="N2" s="6">
        <f t="shared" ref="N2:N65" si="1">100%-SUM(G2:M2)</f>
        <v>0</v>
      </c>
      <c r="O2" s="6">
        <f t="shared" ref="O2:O65" si="2">SUM(G2:N2)</f>
        <v>1</v>
      </c>
      <c r="P2" s="12">
        <f t="shared" ref="P2:P65" si="3">D2*O2</f>
        <v>32738376</v>
      </c>
    </row>
    <row r="3" spans="1:16" ht="15">
      <c r="A3" t="s">
        <v>5</v>
      </c>
      <c r="B3" s="1" t="s">
        <v>157</v>
      </c>
      <c r="C3" s="2">
        <v>3473835</v>
      </c>
      <c r="D3" s="2">
        <v>3619778</v>
      </c>
      <c r="E3" s="2">
        <v>2831741</v>
      </c>
      <c r="F3" s="13">
        <f t="shared" si="0"/>
        <v>4.2012070233617888E-2</v>
      </c>
      <c r="G3" s="6">
        <v>0.3</v>
      </c>
      <c r="H3" s="6">
        <v>0.7</v>
      </c>
      <c r="I3" s="6"/>
      <c r="J3" s="6"/>
      <c r="K3" s="6"/>
      <c r="L3" s="6"/>
      <c r="M3" s="6"/>
      <c r="N3" s="6">
        <f t="shared" si="1"/>
        <v>0</v>
      </c>
      <c r="O3" s="6">
        <f t="shared" si="2"/>
        <v>1</v>
      </c>
      <c r="P3" s="12">
        <f t="shared" si="3"/>
        <v>3619778</v>
      </c>
    </row>
    <row r="4" spans="1:16" ht="15">
      <c r="A4" t="s">
        <v>6</v>
      </c>
      <c r="B4" s="1" t="s">
        <v>66</v>
      </c>
      <c r="C4" s="2">
        <v>30409300</v>
      </c>
      <c r="D4" s="2">
        <v>33769669</v>
      </c>
      <c r="E4" s="2">
        <v>37100000</v>
      </c>
      <c r="F4" s="13">
        <f t="shared" si="0"/>
        <v>0.11050464824905538</v>
      </c>
      <c r="G4" s="6"/>
      <c r="H4" s="6">
        <v>0.99</v>
      </c>
      <c r="I4" s="6"/>
      <c r="J4" s="6"/>
      <c r="K4" s="6"/>
      <c r="L4" s="6"/>
      <c r="M4" s="6"/>
      <c r="N4" s="6">
        <f t="shared" si="1"/>
        <v>1.0000000000000009E-2</v>
      </c>
      <c r="O4" s="6">
        <f t="shared" si="2"/>
        <v>1</v>
      </c>
      <c r="P4" s="12">
        <f t="shared" si="3"/>
        <v>33769669</v>
      </c>
    </row>
    <row r="5" spans="1:16" ht="15">
      <c r="A5" t="s">
        <v>7</v>
      </c>
      <c r="B5" s="1" t="s">
        <v>205</v>
      </c>
      <c r="C5" s="2">
        <v>57301</v>
      </c>
      <c r="D5" s="2">
        <v>64827</v>
      </c>
      <c r="E5" s="2">
        <v>55519</v>
      </c>
      <c r="F5" s="13">
        <f t="shared" si="0"/>
        <v>0.13134151236453115</v>
      </c>
      <c r="G5" s="6">
        <v>1</v>
      </c>
      <c r="H5" s="6"/>
      <c r="I5" s="6"/>
      <c r="J5" s="6"/>
      <c r="K5" s="6"/>
      <c r="L5" s="6"/>
      <c r="M5" s="6"/>
      <c r="N5" s="6">
        <f t="shared" si="1"/>
        <v>0</v>
      </c>
      <c r="O5" s="6">
        <f t="shared" si="2"/>
        <v>1</v>
      </c>
      <c r="P5" s="12">
        <f t="shared" si="3"/>
        <v>64827</v>
      </c>
    </row>
    <row r="6" spans="1:16" ht="15">
      <c r="A6" t="s">
        <v>5</v>
      </c>
      <c r="B6" s="1" t="s">
        <v>203</v>
      </c>
      <c r="C6" s="2">
        <v>66824</v>
      </c>
      <c r="D6" s="2">
        <v>82627</v>
      </c>
      <c r="E6" s="2">
        <v>85015</v>
      </c>
      <c r="F6" s="13">
        <f t="shared" si="0"/>
        <v>0.23648689093738776</v>
      </c>
      <c r="G6" s="6">
        <v>0.9</v>
      </c>
      <c r="H6" s="6"/>
      <c r="I6" s="6"/>
      <c r="J6" s="6"/>
      <c r="K6" s="6"/>
      <c r="L6" s="6"/>
      <c r="M6" s="6"/>
      <c r="N6" s="6">
        <f t="shared" si="1"/>
        <v>9.9999999999999978E-2</v>
      </c>
      <c r="O6" s="6">
        <f t="shared" si="2"/>
        <v>1</v>
      </c>
      <c r="P6" s="12">
        <f t="shared" si="3"/>
        <v>82627</v>
      </c>
    </row>
    <row r="7" spans="1:16" ht="15">
      <c r="A7" t="s">
        <v>6</v>
      </c>
      <c r="B7" s="1" t="s">
        <v>85</v>
      </c>
      <c r="C7" s="2">
        <v>10132376</v>
      </c>
      <c r="D7" s="2">
        <v>12531357</v>
      </c>
      <c r="E7" s="2">
        <v>20609294</v>
      </c>
      <c r="F7" s="13">
        <f t="shared" si="0"/>
        <v>0.23676391401187638</v>
      </c>
      <c r="G7" s="6">
        <v>0.53</v>
      </c>
      <c r="H7" s="6"/>
      <c r="I7" s="6"/>
      <c r="J7" s="6"/>
      <c r="K7" s="6">
        <v>0.47</v>
      </c>
      <c r="L7" s="6"/>
      <c r="M7" s="6"/>
      <c r="N7" s="6">
        <f t="shared" si="1"/>
        <v>0</v>
      </c>
      <c r="O7" s="6">
        <f t="shared" si="2"/>
        <v>1</v>
      </c>
      <c r="P7" s="12">
        <f t="shared" si="3"/>
        <v>12531357</v>
      </c>
    </row>
    <row r="8" spans="1:16" ht="15">
      <c r="A8" t="s">
        <v>8</v>
      </c>
      <c r="B8" s="1" t="s">
        <v>214</v>
      </c>
      <c r="C8" s="2">
        <v>11797</v>
      </c>
      <c r="D8" s="2">
        <v>14108</v>
      </c>
      <c r="E8" s="2">
        <v>14108</v>
      </c>
      <c r="F8" s="13">
        <f t="shared" si="0"/>
        <v>0.19589726201576671</v>
      </c>
      <c r="G8" s="6">
        <f>29%+23.9%+30.2%+5.7%+1.7%</f>
        <v>0.90500000000000003</v>
      </c>
      <c r="H8" s="6"/>
      <c r="I8" s="6"/>
      <c r="J8" s="6"/>
      <c r="K8" s="6">
        <v>9.5000000000000001E-2</v>
      </c>
      <c r="L8" s="6"/>
      <c r="M8" s="6"/>
      <c r="N8" s="6">
        <f t="shared" si="1"/>
        <v>0</v>
      </c>
      <c r="O8" s="6">
        <f t="shared" si="2"/>
        <v>1</v>
      </c>
      <c r="P8" s="12">
        <f t="shared" si="3"/>
        <v>14108</v>
      </c>
    </row>
    <row r="9" spans="1:16" ht="15.75">
      <c r="A9" t="s">
        <v>8</v>
      </c>
      <c r="B9" s="1" t="s">
        <v>202</v>
      </c>
      <c r="C9" s="2">
        <v>66464</v>
      </c>
      <c r="D9" s="2">
        <v>84522</v>
      </c>
      <c r="E9" s="2">
        <v>89138</v>
      </c>
      <c r="F9" s="13">
        <f t="shared" si="0"/>
        <v>0.27169595570534427</v>
      </c>
      <c r="G9" s="7">
        <f>25.7%+10.6%+10.5%+12.3%+10.4%+7.9%+4.9%+4.5%+5.4%</f>
        <v>0.92200000000000004</v>
      </c>
      <c r="H9" s="6"/>
      <c r="I9" s="6"/>
      <c r="J9" s="6"/>
      <c r="K9" s="6">
        <v>7.8E-2</v>
      </c>
      <c r="L9" s="6"/>
      <c r="M9" s="6"/>
      <c r="N9" s="6">
        <f t="shared" si="1"/>
        <v>0</v>
      </c>
      <c r="O9" s="6">
        <f t="shared" si="2"/>
        <v>1</v>
      </c>
      <c r="P9" s="12">
        <f t="shared" si="3"/>
        <v>84522</v>
      </c>
    </row>
    <row r="10" spans="1:16" ht="15">
      <c r="A10" t="s">
        <v>9</v>
      </c>
      <c r="B10" s="1" t="s">
        <v>63</v>
      </c>
      <c r="C10" s="2">
        <v>37497728</v>
      </c>
      <c r="D10" s="2">
        <v>40481998</v>
      </c>
      <c r="E10" s="2">
        <v>40117096</v>
      </c>
      <c r="F10" s="13">
        <f t="shared" si="0"/>
        <v>7.958535514471704E-2</v>
      </c>
      <c r="G10" s="6">
        <v>0.94</v>
      </c>
      <c r="H10" s="6"/>
      <c r="I10" s="6"/>
      <c r="J10" s="6"/>
      <c r="K10" s="6">
        <v>0.04</v>
      </c>
      <c r="L10" s="6">
        <v>0.02</v>
      </c>
      <c r="M10" s="6"/>
      <c r="N10" s="6">
        <f t="shared" si="1"/>
        <v>0</v>
      </c>
      <c r="O10" s="6">
        <f t="shared" si="2"/>
        <v>1</v>
      </c>
      <c r="P10" s="12">
        <f t="shared" si="3"/>
        <v>40481998</v>
      </c>
    </row>
    <row r="11" spans="1:16" ht="15">
      <c r="A11" t="s">
        <v>4</v>
      </c>
      <c r="B11" s="1" t="s">
        <v>154</v>
      </c>
      <c r="C11" s="2">
        <v>3042556</v>
      </c>
      <c r="D11" s="2">
        <v>2968586</v>
      </c>
      <c r="E11" s="2">
        <v>3268500</v>
      </c>
      <c r="F11" s="13">
        <f t="shared" si="0"/>
        <v>-2.4311795740160576E-2</v>
      </c>
      <c r="G11" s="8">
        <v>0.98699999999999999</v>
      </c>
      <c r="H11" s="6"/>
      <c r="I11" s="6"/>
      <c r="J11" s="6"/>
      <c r="K11" s="6">
        <v>1.2999999999999999E-2</v>
      </c>
      <c r="L11" s="6"/>
      <c r="M11" s="6"/>
      <c r="N11" s="6">
        <f t="shared" si="1"/>
        <v>0</v>
      </c>
      <c r="O11" s="6">
        <f t="shared" si="2"/>
        <v>1</v>
      </c>
      <c r="P11" s="12">
        <f t="shared" si="3"/>
        <v>2968586</v>
      </c>
    </row>
    <row r="12" spans="1:16" ht="15">
      <c r="A12" t="s">
        <v>8</v>
      </c>
      <c r="B12" s="1" t="s">
        <v>215</v>
      </c>
      <c r="C12" s="2">
        <v>69539</v>
      </c>
      <c r="D12" s="2">
        <v>101541</v>
      </c>
      <c r="E12" s="2">
        <v>101541</v>
      </c>
      <c r="F12" s="13">
        <f t="shared" si="0"/>
        <v>0.46020218869986629</v>
      </c>
      <c r="G12" s="6">
        <f>80.8%+9%</f>
        <v>0.89799999999999991</v>
      </c>
      <c r="H12" s="6"/>
      <c r="I12" s="6"/>
      <c r="J12" s="6"/>
      <c r="K12" s="6"/>
      <c r="L12" s="6"/>
      <c r="M12" s="6"/>
      <c r="N12" s="6">
        <f t="shared" si="1"/>
        <v>0.10200000000000009</v>
      </c>
      <c r="O12" s="6">
        <f t="shared" si="2"/>
        <v>1</v>
      </c>
      <c r="P12" s="12">
        <f t="shared" si="3"/>
        <v>101541</v>
      </c>
    </row>
    <row r="13" spans="1:16" ht="15.75">
      <c r="A13" t="s">
        <v>7</v>
      </c>
      <c r="B13" s="1" t="s">
        <v>81</v>
      </c>
      <c r="C13" s="2">
        <v>19164620</v>
      </c>
      <c r="D13" s="2">
        <v>21007310</v>
      </c>
      <c r="E13" s="2">
        <v>22855731</v>
      </c>
      <c r="F13" s="13">
        <f t="shared" si="0"/>
        <v>9.6150615039588577E-2</v>
      </c>
      <c r="G13" s="7">
        <f>26.4%+20.5%+0</f>
        <v>0.46899999999999997</v>
      </c>
      <c r="H13" s="6">
        <v>1.4999999999999999E-2</v>
      </c>
      <c r="I13" s="6"/>
      <c r="J13" s="6">
        <v>1.9E-2</v>
      </c>
      <c r="K13" s="6"/>
      <c r="L13" s="6"/>
      <c r="M13" s="6">
        <v>0.153</v>
      </c>
      <c r="N13" s="6">
        <f t="shared" si="1"/>
        <v>0.34399999999999997</v>
      </c>
      <c r="O13" s="6">
        <f t="shared" si="2"/>
        <v>1</v>
      </c>
      <c r="P13" s="12">
        <f t="shared" si="3"/>
        <v>21007310</v>
      </c>
    </row>
    <row r="14" spans="1:16" ht="15">
      <c r="A14" t="s">
        <v>5</v>
      </c>
      <c r="B14" s="1" t="s">
        <v>120</v>
      </c>
      <c r="C14" s="2">
        <v>8113413</v>
      </c>
      <c r="D14" s="2">
        <v>8205533</v>
      </c>
      <c r="E14" s="2">
        <v>8419776</v>
      </c>
      <c r="F14" s="13">
        <f t="shared" si="0"/>
        <v>1.1354038060185029E-2</v>
      </c>
      <c r="G14" s="6">
        <f>73.6%+4.7%</f>
        <v>0.78300000000000003</v>
      </c>
      <c r="H14" s="6">
        <v>4.2000000000000003E-2</v>
      </c>
      <c r="I14" s="6"/>
      <c r="J14" s="6"/>
      <c r="K14" s="6">
        <v>5.5E-2</v>
      </c>
      <c r="L14" s="6"/>
      <c r="M14" s="6">
        <v>0.12</v>
      </c>
      <c r="N14" s="6">
        <f t="shared" si="1"/>
        <v>0</v>
      </c>
      <c r="O14" s="6">
        <f t="shared" si="2"/>
        <v>1</v>
      </c>
      <c r="P14" s="12">
        <f t="shared" si="3"/>
        <v>8205533</v>
      </c>
    </row>
    <row r="15" spans="1:16" ht="15">
      <c r="A15" t="s">
        <v>4</v>
      </c>
      <c r="B15" s="1" t="s">
        <v>117</v>
      </c>
      <c r="C15" s="2">
        <v>7748163</v>
      </c>
      <c r="D15" s="2">
        <v>8177717</v>
      </c>
      <c r="E15" s="2">
        <v>9111100</v>
      </c>
      <c r="F15" s="13">
        <f t="shared" si="0"/>
        <v>5.5439463521869632E-2</v>
      </c>
      <c r="G15" s="6">
        <v>4.8000000000000001E-2</v>
      </c>
      <c r="H15" s="6">
        <v>0.93400000000000005</v>
      </c>
      <c r="I15" s="6"/>
      <c r="J15" s="6"/>
      <c r="K15" s="6">
        <v>1.7999999999999999E-2</v>
      </c>
      <c r="L15" s="6"/>
      <c r="M15" s="6"/>
      <c r="N15" s="6">
        <f t="shared" si="1"/>
        <v>0</v>
      </c>
      <c r="O15" s="6">
        <f t="shared" si="2"/>
        <v>1</v>
      </c>
      <c r="P15" s="12">
        <f t="shared" si="3"/>
        <v>8177717</v>
      </c>
    </row>
    <row r="16" spans="1:16" ht="15.75">
      <c r="A16" t="s">
        <v>8</v>
      </c>
      <c r="B16" s="1" t="s">
        <v>216</v>
      </c>
      <c r="C16" s="2">
        <v>290075</v>
      </c>
      <c r="D16" s="2">
        <v>307451</v>
      </c>
      <c r="E16" s="2">
        <v>307451</v>
      </c>
      <c r="F16" s="13">
        <f t="shared" si="0"/>
        <v>5.990174954753081E-2</v>
      </c>
      <c r="G16" s="7">
        <f>34.5%+15.1%+13.5%+8.1%+4.8%+4.2%+15.2%</f>
        <v>0.95400000000000007</v>
      </c>
      <c r="H16" s="6"/>
      <c r="I16" s="6"/>
      <c r="J16" s="6"/>
      <c r="K16" s="6">
        <v>3.6999999999999998E-2</v>
      </c>
      <c r="L16" s="6"/>
      <c r="M16" s="6"/>
      <c r="N16" s="6">
        <f t="shared" si="1"/>
        <v>8.999999999999897E-3</v>
      </c>
      <c r="O16" s="6">
        <f t="shared" si="2"/>
        <v>1</v>
      </c>
      <c r="P16" s="12">
        <f t="shared" si="3"/>
        <v>307451</v>
      </c>
    </row>
    <row r="17" spans="1:16" ht="15">
      <c r="A17" t="s">
        <v>10</v>
      </c>
      <c r="B17" s="1" t="s">
        <v>173</v>
      </c>
      <c r="C17" s="2">
        <v>634137</v>
      </c>
      <c r="D17" s="2">
        <v>718306</v>
      </c>
      <c r="E17" s="2">
        <v>1234571</v>
      </c>
      <c r="F17" s="13">
        <f t="shared" si="0"/>
        <v>0.13272999367644531</v>
      </c>
      <c r="G17" s="6">
        <v>0.09</v>
      </c>
      <c r="H17" s="6">
        <v>0.81200000000000006</v>
      </c>
      <c r="I17" s="6"/>
      <c r="J17" s="6"/>
      <c r="K17" s="6"/>
      <c r="L17" s="6"/>
      <c r="M17" s="6"/>
      <c r="N17" s="6">
        <f t="shared" si="1"/>
        <v>9.7999999999999976E-2</v>
      </c>
      <c r="O17" s="6">
        <f t="shared" si="2"/>
        <v>1</v>
      </c>
      <c r="P17" s="12">
        <f t="shared" si="3"/>
        <v>718306</v>
      </c>
    </row>
    <row r="18" spans="1:16" ht="15">
      <c r="A18" t="s">
        <v>4</v>
      </c>
      <c r="B18" s="1" t="s">
        <v>44</v>
      </c>
      <c r="C18" s="2">
        <v>130406594</v>
      </c>
      <c r="D18" s="2">
        <v>154037902</v>
      </c>
      <c r="E18" s="2">
        <v>142319000</v>
      </c>
      <c r="F18" s="13">
        <f t="shared" si="0"/>
        <v>0.18121252365505383</v>
      </c>
      <c r="G18" s="6"/>
      <c r="H18" s="6">
        <v>0.83</v>
      </c>
      <c r="I18" s="6">
        <v>0.16</v>
      </c>
      <c r="J18" s="6"/>
      <c r="K18" s="6"/>
      <c r="L18" s="6"/>
      <c r="M18" s="6"/>
      <c r="N18" s="6">
        <f t="shared" si="1"/>
        <v>1.0000000000000009E-2</v>
      </c>
      <c r="O18" s="6">
        <f t="shared" si="2"/>
        <v>1</v>
      </c>
      <c r="P18" s="12">
        <f t="shared" si="3"/>
        <v>154037902</v>
      </c>
    </row>
    <row r="19" spans="1:16" ht="15">
      <c r="A19" t="s">
        <v>8</v>
      </c>
      <c r="B19" s="1" t="s">
        <v>192</v>
      </c>
      <c r="C19" s="2">
        <v>273894</v>
      </c>
      <c r="D19" s="2">
        <v>283498</v>
      </c>
      <c r="E19" s="2">
        <v>276302</v>
      </c>
      <c r="F19" s="13">
        <f t="shared" si="0"/>
        <v>3.5064660050968623E-2</v>
      </c>
      <c r="G19" s="6">
        <f>63.4%+4.2%+7%</f>
        <v>0.746</v>
      </c>
      <c r="H19" s="6"/>
      <c r="I19" s="6"/>
      <c r="J19" s="6"/>
      <c r="K19" s="6">
        <v>0.254</v>
      </c>
      <c r="L19" s="6"/>
      <c r="M19" s="6"/>
      <c r="N19" s="6">
        <f t="shared" si="1"/>
        <v>0</v>
      </c>
      <c r="O19" s="6">
        <f t="shared" si="2"/>
        <v>1</v>
      </c>
      <c r="P19" s="12">
        <f t="shared" si="3"/>
        <v>283498</v>
      </c>
    </row>
    <row r="20" spans="1:16" ht="15">
      <c r="A20" t="s">
        <v>5</v>
      </c>
      <c r="B20" s="1" t="s">
        <v>115</v>
      </c>
      <c r="C20" s="2">
        <v>10366719</v>
      </c>
      <c r="D20" s="2">
        <v>9685768</v>
      </c>
      <c r="E20" s="2">
        <v>9465400</v>
      </c>
      <c r="F20" s="13">
        <f t="shared" si="0"/>
        <v>-6.5686260040423591E-2</v>
      </c>
      <c r="G20" s="6">
        <v>0.8</v>
      </c>
      <c r="H20" s="6"/>
      <c r="I20" s="6"/>
      <c r="J20" s="6"/>
      <c r="K20" s="6"/>
      <c r="L20" s="6"/>
      <c r="M20" s="6"/>
      <c r="N20" s="6">
        <f t="shared" si="1"/>
        <v>0.19999999999999996</v>
      </c>
      <c r="O20" s="6">
        <f t="shared" si="2"/>
        <v>1</v>
      </c>
      <c r="P20" s="12">
        <f t="shared" si="3"/>
        <v>9685768</v>
      </c>
    </row>
    <row r="21" spans="1:16" ht="15">
      <c r="A21" t="s">
        <v>5</v>
      </c>
      <c r="B21" s="1" t="s">
        <v>103</v>
      </c>
      <c r="C21" s="2">
        <v>10263618</v>
      </c>
      <c r="D21" s="2">
        <v>10403951</v>
      </c>
      <c r="E21" s="2">
        <v>10839905</v>
      </c>
      <c r="F21" s="13">
        <f t="shared" si="0"/>
        <v>1.3672858830092859E-2</v>
      </c>
      <c r="G21" s="6">
        <v>0.75</v>
      </c>
      <c r="H21" s="6"/>
      <c r="I21" s="6"/>
      <c r="J21" s="6"/>
      <c r="K21" s="6"/>
      <c r="L21" s="6"/>
      <c r="M21" s="6"/>
      <c r="N21" s="6">
        <f t="shared" si="1"/>
        <v>0.25</v>
      </c>
      <c r="O21" s="6">
        <f t="shared" si="2"/>
        <v>1</v>
      </c>
      <c r="P21" s="12">
        <f t="shared" si="3"/>
        <v>10403951</v>
      </c>
    </row>
    <row r="22" spans="1:16" ht="15">
      <c r="A22" t="s">
        <v>8</v>
      </c>
      <c r="B22" s="1" t="s">
        <v>191</v>
      </c>
      <c r="C22" s="2">
        <v>247009</v>
      </c>
      <c r="D22" s="2">
        <v>301270</v>
      </c>
      <c r="E22" s="2">
        <v>312698</v>
      </c>
      <c r="F22" s="13">
        <f t="shared" si="0"/>
        <v>0.21967215769465889</v>
      </c>
      <c r="G22" s="6">
        <f>49.6%+27%</f>
        <v>0.76600000000000001</v>
      </c>
      <c r="H22" s="6"/>
      <c r="I22" s="6"/>
      <c r="J22" s="6"/>
      <c r="K22" s="6">
        <v>0.14000000000000001</v>
      </c>
      <c r="L22" s="6"/>
      <c r="M22" s="6">
        <v>9.4E-2</v>
      </c>
      <c r="N22" s="6">
        <f t="shared" si="1"/>
        <v>0</v>
      </c>
      <c r="O22" s="6">
        <f t="shared" si="2"/>
        <v>1</v>
      </c>
      <c r="P22" s="12">
        <f t="shared" si="3"/>
        <v>301270</v>
      </c>
    </row>
    <row r="23" spans="1:16" ht="15">
      <c r="A23" t="s">
        <v>6</v>
      </c>
      <c r="B23" s="1" t="s">
        <v>118</v>
      </c>
      <c r="C23" s="2">
        <v>6428396</v>
      </c>
      <c r="D23" s="2">
        <v>8532547</v>
      </c>
      <c r="E23" s="2">
        <v>9100000</v>
      </c>
      <c r="F23" s="13">
        <f t="shared" si="0"/>
        <v>0.3273213100126377</v>
      </c>
      <c r="G23" s="6">
        <v>0.42799999999999999</v>
      </c>
      <c r="H23" s="6">
        <v>0.24399999999999999</v>
      </c>
      <c r="I23" s="6"/>
      <c r="J23" s="6"/>
      <c r="K23" s="6">
        <f>17.3%+15.5%</f>
        <v>0.32800000000000001</v>
      </c>
      <c r="L23" s="6"/>
      <c r="M23" s="6"/>
      <c r="N23" s="6">
        <f t="shared" si="1"/>
        <v>0</v>
      </c>
      <c r="O23" s="6">
        <f t="shared" si="2"/>
        <v>1</v>
      </c>
      <c r="P23" s="12">
        <f t="shared" si="3"/>
        <v>8532547</v>
      </c>
    </row>
    <row r="24" spans="1:16" ht="15">
      <c r="A24" t="s">
        <v>11</v>
      </c>
      <c r="B24" s="1" t="s">
        <v>217</v>
      </c>
      <c r="C24" s="2">
        <v>62971</v>
      </c>
      <c r="D24" s="2">
        <v>67388</v>
      </c>
      <c r="E24" s="2">
        <v>67388</v>
      </c>
      <c r="F24" s="13">
        <f t="shared" si="0"/>
        <v>7.0143399342554508E-2</v>
      </c>
      <c r="G24" s="6">
        <f>23%+15%+18%+11%</f>
        <v>0.67</v>
      </c>
      <c r="H24" s="6"/>
      <c r="I24" s="6"/>
      <c r="J24" s="6"/>
      <c r="K24" s="6">
        <v>0.19</v>
      </c>
      <c r="L24" s="6"/>
      <c r="M24" s="6">
        <v>0.14000000000000001</v>
      </c>
      <c r="N24" s="6">
        <f t="shared" si="1"/>
        <v>0</v>
      </c>
      <c r="O24" s="6">
        <f t="shared" si="2"/>
        <v>1</v>
      </c>
      <c r="P24" s="12">
        <f t="shared" si="3"/>
        <v>67388</v>
      </c>
    </row>
    <row r="25" spans="1:16" ht="15">
      <c r="A25" t="s">
        <v>4</v>
      </c>
      <c r="B25" s="1" t="s">
        <v>181</v>
      </c>
      <c r="C25" s="3">
        <v>605872</v>
      </c>
      <c r="D25" s="2">
        <v>682321</v>
      </c>
      <c r="E25" s="2">
        <v>708265</v>
      </c>
      <c r="F25" s="13">
        <f t="shared" si="0"/>
        <v>0.12618011725248898</v>
      </c>
      <c r="G25" s="6"/>
      <c r="H25" s="6"/>
      <c r="I25" s="6">
        <v>0.25</v>
      </c>
      <c r="J25" s="6">
        <v>0.75</v>
      </c>
      <c r="K25" s="6"/>
      <c r="L25" s="6"/>
      <c r="M25" s="6"/>
      <c r="N25" s="6">
        <f t="shared" si="1"/>
        <v>0</v>
      </c>
      <c r="O25" s="6">
        <f t="shared" si="2"/>
        <v>1</v>
      </c>
      <c r="P25" s="12">
        <f t="shared" si="3"/>
        <v>682321</v>
      </c>
    </row>
    <row r="26" spans="1:16" ht="15">
      <c r="A26" t="s">
        <v>9</v>
      </c>
      <c r="B26" s="1" t="s">
        <v>109</v>
      </c>
      <c r="C26" s="2">
        <v>8152620</v>
      </c>
      <c r="D26" s="2">
        <v>9601257</v>
      </c>
      <c r="E26" s="2">
        <v>10426154</v>
      </c>
      <c r="F26" s="13">
        <f t="shared" si="0"/>
        <v>0.17768974881694474</v>
      </c>
      <c r="G26" s="6">
        <f>95%+5%</f>
        <v>1</v>
      </c>
      <c r="H26" s="6"/>
      <c r="I26" s="6"/>
      <c r="J26" s="6"/>
      <c r="K26" s="6"/>
      <c r="L26" s="6"/>
      <c r="M26" s="6"/>
      <c r="N26" s="6">
        <f t="shared" si="1"/>
        <v>0</v>
      </c>
      <c r="O26" s="6">
        <f t="shared" si="2"/>
        <v>1</v>
      </c>
      <c r="P26" s="12">
        <f t="shared" si="3"/>
        <v>9601257</v>
      </c>
    </row>
    <row r="27" spans="1:16" ht="15">
      <c r="A27" t="s">
        <v>5</v>
      </c>
      <c r="B27" s="1" t="s">
        <v>148</v>
      </c>
      <c r="C27" s="2">
        <v>3835777</v>
      </c>
      <c r="D27" s="2">
        <v>4590310</v>
      </c>
      <c r="E27" s="2">
        <v>3839737</v>
      </c>
      <c r="F27" s="13">
        <f t="shared" si="0"/>
        <v>0.19670929775114665</v>
      </c>
      <c r="G27" s="6">
        <v>0.46</v>
      </c>
      <c r="H27" s="6">
        <v>0.4</v>
      </c>
      <c r="I27" s="6"/>
      <c r="J27" s="6"/>
      <c r="K27" s="6">
        <v>0.14000000000000001</v>
      </c>
      <c r="L27" s="6"/>
      <c r="M27" s="6"/>
      <c r="N27" s="6">
        <f t="shared" si="1"/>
        <v>0</v>
      </c>
      <c r="O27" s="6">
        <f t="shared" si="2"/>
        <v>1</v>
      </c>
      <c r="P27" s="12">
        <f t="shared" si="3"/>
        <v>4590310</v>
      </c>
    </row>
    <row r="28" spans="1:16" ht="15">
      <c r="A28" t="s">
        <v>6</v>
      </c>
      <c r="B28" s="1" t="s">
        <v>166</v>
      </c>
      <c r="C28" s="2">
        <v>1607069</v>
      </c>
      <c r="D28" s="2">
        <v>1952048</v>
      </c>
      <c r="E28" s="2">
        <v>2031000</v>
      </c>
      <c r="F28" s="13">
        <f t="shared" si="0"/>
        <v>0.21466346497879057</v>
      </c>
      <c r="G28" s="6">
        <v>0.71599999999999997</v>
      </c>
      <c r="H28" s="6"/>
      <c r="I28" s="6"/>
      <c r="J28" s="6"/>
      <c r="K28" s="6">
        <v>7.8E-2</v>
      </c>
      <c r="L28" s="6"/>
      <c r="M28" s="6">
        <v>0.20599999999999999</v>
      </c>
      <c r="N28" s="6">
        <f t="shared" si="1"/>
        <v>0</v>
      </c>
      <c r="O28" s="6">
        <f t="shared" si="2"/>
        <v>0.99999999999999989</v>
      </c>
      <c r="P28" s="12">
        <f t="shared" si="3"/>
        <v>1952047.9999999998</v>
      </c>
    </row>
    <row r="29" spans="1:16" ht="15">
      <c r="A29" t="s">
        <v>9</v>
      </c>
      <c r="B29" s="1" t="s">
        <v>40</v>
      </c>
      <c r="C29" s="2">
        <v>175552771</v>
      </c>
      <c r="D29" s="2">
        <v>196342587</v>
      </c>
      <c r="E29" s="2">
        <v>192376496</v>
      </c>
      <c r="F29" s="13">
        <f t="shared" si="0"/>
        <v>0.11842488091515228</v>
      </c>
      <c r="G29" s="6">
        <f>73.6%+15.4%</f>
        <v>0.89</v>
      </c>
      <c r="H29" s="6"/>
      <c r="I29" s="6"/>
      <c r="J29" s="6"/>
      <c r="K29" s="6">
        <v>2.1000000000000001E-2</v>
      </c>
      <c r="L29" s="6"/>
      <c r="M29" s="6">
        <v>7.3999999999999996E-2</v>
      </c>
      <c r="N29" s="6">
        <f t="shared" si="1"/>
        <v>1.5000000000000013E-2</v>
      </c>
      <c r="O29" s="6">
        <f t="shared" si="2"/>
        <v>1</v>
      </c>
      <c r="P29" s="12">
        <f t="shared" si="3"/>
        <v>196342587</v>
      </c>
    </row>
    <row r="30" spans="1:16" ht="15">
      <c r="A30" t="s">
        <v>12</v>
      </c>
      <c r="B30" s="1" t="s">
        <v>187</v>
      </c>
      <c r="C30" s="2">
        <v>336376</v>
      </c>
      <c r="D30" s="2">
        <v>381371</v>
      </c>
      <c r="E30" s="2">
        <v>422700</v>
      </c>
      <c r="F30" s="13">
        <f t="shared" si="0"/>
        <v>0.13376400218802767</v>
      </c>
      <c r="G30" s="6">
        <v>0.1</v>
      </c>
      <c r="H30" s="6">
        <v>0.67</v>
      </c>
      <c r="I30" s="6"/>
      <c r="J30" s="6">
        <v>0.13</v>
      </c>
      <c r="K30" s="6">
        <v>0.1</v>
      </c>
      <c r="L30" s="6"/>
      <c r="M30" s="6"/>
      <c r="N30" s="6">
        <f t="shared" si="1"/>
        <v>0</v>
      </c>
      <c r="O30" s="6">
        <f t="shared" si="2"/>
        <v>1</v>
      </c>
      <c r="P30" s="12">
        <f t="shared" si="3"/>
        <v>381371</v>
      </c>
    </row>
    <row r="31" spans="1:16" ht="15">
      <c r="A31" t="s">
        <v>5</v>
      </c>
      <c r="B31" s="1" t="s">
        <v>126</v>
      </c>
      <c r="C31" s="2">
        <v>7818495</v>
      </c>
      <c r="D31" s="2">
        <v>7262675</v>
      </c>
      <c r="E31" s="2">
        <v>7364570</v>
      </c>
      <c r="F31" s="13">
        <f t="shared" si="0"/>
        <v>-7.1090408064467647E-2</v>
      </c>
      <c r="G31" s="6">
        <v>0.83799999999999997</v>
      </c>
      <c r="H31" s="6">
        <v>0.122</v>
      </c>
      <c r="I31" s="6"/>
      <c r="J31" s="6"/>
      <c r="K31" s="6">
        <v>0.04</v>
      </c>
      <c r="L31" s="6"/>
      <c r="M31" s="6"/>
      <c r="N31" s="6">
        <f t="shared" si="1"/>
        <v>0</v>
      </c>
      <c r="O31" s="6">
        <f t="shared" si="2"/>
        <v>1</v>
      </c>
      <c r="P31" s="12">
        <f t="shared" si="3"/>
        <v>7262675</v>
      </c>
    </row>
    <row r="32" spans="1:16" ht="15">
      <c r="A32" t="s">
        <v>6</v>
      </c>
      <c r="B32" s="1" t="s">
        <v>92</v>
      </c>
      <c r="C32" s="2">
        <v>12217363</v>
      </c>
      <c r="D32" s="2">
        <v>15264735</v>
      </c>
      <c r="E32" s="2">
        <v>15730977</v>
      </c>
      <c r="F32" s="13">
        <f t="shared" si="0"/>
        <v>0.24942960277107262</v>
      </c>
      <c r="G32" s="6">
        <v>0.1</v>
      </c>
      <c r="H32" s="6">
        <v>0.5</v>
      </c>
      <c r="I32" s="6"/>
      <c r="J32" s="6"/>
      <c r="K32" s="6">
        <v>0.4</v>
      </c>
      <c r="L32" s="6"/>
      <c r="M32" s="6"/>
      <c r="N32" s="6">
        <f t="shared" si="1"/>
        <v>0</v>
      </c>
      <c r="O32" s="6">
        <f t="shared" si="2"/>
        <v>1</v>
      </c>
      <c r="P32" s="12">
        <f t="shared" si="3"/>
        <v>15264735</v>
      </c>
    </row>
    <row r="33" spans="1:16" ht="15">
      <c r="A33" t="s">
        <v>12</v>
      </c>
      <c r="B33" s="1" t="s">
        <v>13</v>
      </c>
      <c r="C33" s="2">
        <v>41771657</v>
      </c>
      <c r="D33" s="2">
        <v>47758181</v>
      </c>
      <c r="E33" s="2">
        <v>47758181</v>
      </c>
      <c r="F33" s="13">
        <f t="shared" si="0"/>
        <v>0.14331545430433845</v>
      </c>
      <c r="G33" s="6"/>
      <c r="H33" s="6">
        <v>0.04</v>
      </c>
      <c r="J33" s="9">
        <v>0.89</v>
      </c>
      <c r="K33" s="9">
        <v>0.03</v>
      </c>
      <c r="L33" s="9"/>
      <c r="M33" s="9"/>
      <c r="N33" s="6">
        <f t="shared" si="1"/>
        <v>3.9999999999999925E-2</v>
      </c>
      <c r="O33" s="6">
        <f t="shared" si="2"/>
        <v>1</v>
      </c>
      <c r="P33" s="12">
        <f t="shared" si="3"/>
        <v>47758181</v>
      </c>
    </row>
    <row r="34" spans="1:16" ht="15">
      <c r="A34" t="s">
        <v>6</v>
      </c>
      <c r="B34" s="1" t="s">
        <v>119</v>
      </c>
      <c r="C34" s="2">
        <v>5713711</v>
      </c>
      <c r="D34" s="2">
        <v>8691005</v>
      </c>
      <c r="E34" s="2">
        <v>8575000</v>
      </c>
      <c r="F34" s="13">
        <f t="shared" si="0"/>
        <v>0.52107885750609373</v>
      </c>
      <c r="G34" s="6">
        <v>0.67</v>
      </c>
      <c r="H34" s="6">
        <v>0.1</v>
      </c>
      <c r="I34" s="6"/>
      <c r="J34" s="6"/>
      <c r="K34" s="6">
        <v>0.23</v>
      </c>
      <c r="L34" s="6"/>
      <c r="M34" s="6"/>
      <c r="N34" s="6">
        <f t="shared" si="1"/>
        <v>0</v>
      </c>
      <c r="O34" s="6">
        <f t="shared" si="2"/>
        <v>1</v>
      </c>
      <c r="P34" s="12">
        <f t="shared" si="3"/>
        <v>8691005</v>
      </c>
    </row>
    <row r="35" spans="1:16" ht="15">
      <c r="A35" t="s">
        <v>12</v>
      </c>
      <c r="B35" s="1" t="s">
        <v>96</v>
      </c>
      <c r="C35" s="2">
        <v>12432869</v>
      </c>
      <c r="D35" s="2">
        <v>14241640</v>
      </c>
      <c r="E35" s="2">
        <v>13395682</v>
      </c>
      <c r="F35" s="13">
        <f t="shared" si="0"/>
        <v>0.1454829935069693</v>
      </c>
      <c r="G35" s="6"/>
      <c r="H35" s="6"/>
      <c r="I35" s="6"/>
      <c r="J35" s="6">
        <v>0.95</v>
      </c>
      <c r="K35" s="6">
        <v>0.05</v>
      </c>
      <c r="L35" s="6"/>
      <c r="M35" s="6"/>
      <c r="N35" s="6">
        <f t="shared" si="1"/>
        <v>0</v>
      </c>
      <c r="O35" s="6">
        <f t="shared" si="2"/>
        <v>1</v>
      </c>
      <c r="P35" s="12">
        <f t="shared" si="3"/>
        <v>14241640</v>
      </c>
    </row>
    <row r="36" spans="1:16" ht="15">
      <c r="A36" t="s">
        <v>6</v>
      </c>
      <c r="B36" s="1" t="s">
        <v>86</v>
      </c>
      <c r="C36" s="2">
        <v>14791629</v>
      </c>
      <c r="D36" s="2">
        <v>18467692</v>
      </c>
      <c r="E36" s="2">
        <v>19406100</v>
      </c>
      <c r="F36" s="13">
        <f t="shared" si="0"/>
        <v>0.24852320187316759</v>
      </c>
      <c r="G36" s="6">
        <v>0.4</v>
      </c>
      <c r="H36" s="6">
        <v>0.2</v>
      </c>
      <c r="I36" s="6"/>
      <c r="J36" s="6"/>
      <c r="K36" s="6">
        <v>0.4</v>
      </c>
      <c r="L36" s="6"/>
      <c r="M36" s="6"/>
      <c r="N36" s="6">
        <f t="shared" si="1"/>
        <v>0</v>
      </c>
      <c r="O36" s="6">
        <f t="shared" si="2"/>
        <v>1</v>
      </c>
      <c r="P36" s="12">
        <f t="shared" si="3"/>
        <v>18467692</v>
      </c>
    </row>
    <row r="37" spans="1:16" ht="15">
      <c r="A37" t="s">
        <v>11</v>
      </c>
      <c r="B37" s="1" t="s">
        <v>67</v>
      </c>
      <c r="C37" s="2">
        <v>31278097</v>
      </c>
      <c r="D37" s="2">
        <v>33212696</v>
      </c>
      <c r="E37" s="2">
        <v>34735000</v>
      </c>
      <c r="F37" s="13">
        <f t="shared" si="0"/>
        <v>6.1851557017679179E-2</v>
      </c>
      <c r="G37" s="6">
        <f>42.6%+23.3%+4.4%</f>
        <v>0.70300000000000007</v>
      </c>
      <c r="H37" s="6">
        <v>1.9E-2</v>
      </c>
      <c r="I37" s="6"/>
      <c r="J37" s="6"/>
      <c r="K37" s="6">
        <v>0.11799999999999999</v>
      </c>
      <c r="L37" s="6"/>
      <c r="M37" s="6">
        <v>0.16</v>
      </c>
      <c r="N37" s="6">
        <f t="shared" si="1"/>
        <v>0</v>
      </c>
      <c r="O37" s="6">
        <f t="shared" si="2"/>
        <v>1</v>
      </c>
      <c r="P37" s="12">
        <f t="shared" si="3"/>
        <v>33212696</v>
      </c>
    </row>
    <row r="38" spans="1:16" ht="15">
      <c r="A38" t="s">
        <v>14</v>
      </c>
      <c r="B38" s="1" t="s">
        <v>186</v>
      </c>
      <c r="C38" s="2">
        <v>401343</v>
      </c>
      <c r="D38" s="2">
        <v>426998</v>
      </c>
      <c r="E38" s="2">
        <v>491575</v>
      </c>
      <c r="F38" s="13">
        <f t="shared" si="0"/>
        <v>6.392287893397916E-2</v>
      </c>
      <c r="G38" s="6">
        <v>0.85</v>
      </c>
      <c r="H38" s="6"/>
      <c r="I38" s="6"/>
      <c r="J38" s="6"/>
      <c r="K38" s="6"/>
      <c r="L38" s="6"/>
      <c r="M38" s="6"/>
      <c r="N38" s="6">
        <f t="shared" si="1"/>
        <v>0.15000000000000002</v>
      </c>
      <c r="O38" s="6">
        <f t="shared" si="2"/>
        <v>1</v>
      </c>
      <c r="P38" s="12">
        <f t="shared" si="3"/>
        <v>426998</v>
      </c>
    </row>
    <row r="39" spans="1:16" ht="15">
      <c r="A39" t="s">
        <v>8</v>
      </c>
      <c r="B39" s="1" t="s">
        <v>218</v>
      </c>
      <c r="C39" s="2">
        <v>38410</v>
      </c>
      <c r="D39" s="2">
        <v>47862</v>
      </c>
      <c r="E39" s="2">
        <v>47862</v>
      </c>
      <c r="F39" s="13">
        <f t="shared" si="0"/>
        <v>0.24608174954438949</v>
      </c>
      <c r="G39" s="6"/>
      <c r="H39" s="6"/>
      <c r="I39" s="6"/>
      <c r="J39" s="6"/>
      <c r="K39" s="6">
        <v>4.9000000000000002E-2</v>
      </c>
      <c r="L39" s="6"/>
      <c r="M39" s="6">
        <v>9.8000000000000004E-2</v>
      </c>
      <c r="N39" s="6">
        <f t="shared" si="1"/>
        <v>0.85299999999999998</v>
      </c>
      <c r="O39" s="6">
        <f t="shared" si="2"/>
        <v>1</v>
      </c>
      <c r="P39" s="12">
        <f t="shared" si="3"/>
        <v>47862</v>
      </c>
    </row>
    <row r="40" spans="1:16" ht="15">
      <c r="A40" t="s">
        <v>6</v>
      </c>
      <c r="B40" s="1" t="s">
        <v>143</v>
      </c>
      <c r="C40" s="2">
        <v>3501489</v>
      </c>
      <c r="D40" s="2">
        <v>4444330</v>
      </c>
      <c r="E40" s="2">
        <v>4487000</v>
      </c>
      <c r="F40" s="13">
        <f t="shared" si="0"/>
        <v>0.26926858830628914</v>
      </c>
      <c r="G40" s="6">
        <v>0.5</v>
      </c>
      <c r="H40" s="6">
        <v>0.15</v>
      </c>
      <c r="I40" s="6"/>
      <c r="J40" s="6"/>
      <c r="K40" s="6">
        <v>0.35</v>
      </c>
      <c r="L40" s="6"/>
      <c r="M40" s="6"/>
      <c r="N40" s="6">
        <f t="shared" si="1"/>
        <v>0</v>
      </c>
      <c r="O40" s="6">
        <f t="shared" si="2"/>
        <v>1</v>
      </c>
      <c r="P40" s="12">
        <f t="shared" si="3"/>
        <v>4444330</v>
      </c>
    </row>
    <row r="41" spans="1:16" ht="15">
      <c r="A41" t="s">
        <v>6</v>
      </c>
      <c r="B41" s="1" t="s">
        <v>101</v>
      </c>
      <c r="C41" s="2">
        <v>8418864</v>
      </c>
      <c r="D41" s="2">
        <v>10111337</v>
      </c>
      <c r="E41" s="2">
        <v>11274106</v>
      </c>
      <c r="F41" s="13">
        <f t="shared" si="0"/>
        <v>0.20103341733516542</v>
      </c>
      <c r="G41" s="6">
        <v>0.34300000000000003</v>
      </c>
      <c r="H41" s="6">
        <v>0.53100000000000003</v>
      </c>
      <c r="I41" s="6"/>
      <c r="J41" s="6"/>
      <c r="K41" s="6">
        <v>7.8E-2</v>
      </c>
      <c r="L41" s="6"/>
      <c r="M41" s="6"/>
      <c r="N41" s="6">
        <f t="shared" si="1"/>
        <v>4.7999999999999932E-2</v>
      </c>
      <c r="O41" s="6">
        <f t="shared" si="2"/>
        <v>1</v>
      </c>
      <c r="P41" s="12">
        <f t="shared" si="3"/>
        <v>10111337</v>
      </c>
    </row>
    <row r="42" spans="1:16" ht="15">
      <c r="A42" t="s">
        <v>9</v>
      </c>
      <c r="B42" s="1" t="s">
        <v>88</v>
      </c>
      <c r="C42" s="2">
        <v>15153450</v>
      </c>
      <c r="D42" s="2">
        <v>16454143</v>
      </c>
      <c r="E42" s="2">
        <v>17248450</v>
      </c>
      <c r="F42" s="13">
        <f t="shared" si="0"/>
        <v>8.5834776898989995E-2</v>
      </c>
      <c r="G42" s="6">
        <f>70%+15.1%+1.1%+1%</f>
        <v>0.872</v>
      </c>
      <c r="H42" s="6"/>
      <c r="I42" s="6"/>
      <c r="J42" s="6"/>
      <c r="K42" s="6">
        <v>4.5999999999999999E-2</v>
      </c>
      <c r="L42" s="6"/>
      <c r="M42" s="6">
        <v>8.3000000000000004E-2</v>
      </c>
      <c r="N42" s="6">
        <f t="shared" si="1"/>
        <v>-1.0000000000001119E-3</v>
      </c>
      <c r="O42" s="6">
        <f t="shared" si="2"/>
        <v>1</v>
      </c>
      <c r="P42" s="12">
        <f t="shared" si="3"/>
        <v>16454143</v>
      </c>
    </row>
    <row r="43" spans="1:16" ht="15">
      <c r="A43" t="s">
        <v>4</v>
      </c>
      <c r="B43" s="1" t="s">
        <v>36</v>
      </c>
      <c r="C43" s="2">
        <v>1268853362</v>
      </c>
      <c r="D43" s="2">
        <v>1330044605</v>
      </c>
      <c r="E43" s="2">
        <v>1347350000</v>
      </c>
      <c r="F43" s="13">
        <f t="shared" si="0"/>
        <v>4.8225622307962172E-2</v>
      </c>
      <c r="G43" s="6">
        <v>3.5000000000000003E-2</v>
      </c>
      <c r="H43" s="6">
        <v>1.4999999999999999E-2</v>
      </c>
      <c r="I43" s="6"/>
      <c r="J43" s="6">
        <v>0.08</v>
      </c>
      <c r="K43" s="6"/>
      <c r="L43" s="6"/>
      <c r="M43" s="6"/>
      <c r="N43" s="6">
        <f t="shared" si="1"/>
        <v>0.87</v>
      </c>
      <c r="O43" s="6">
        <f t="shared" si="2"/>
        <v>1</v>
      </c>
      <c r="P43" s="12">
        <f t="shared" si="3"/>
        <v>1330044605</v>
      </c>
    </row>
    <row r="44" spans="1:16" ht="15">
      <c r="A44" t="s">
        <v>9</v>
      </c>
      <c r="B44" s="1" t="s">
        <v>59</v>
      </c>
      <c r="C44" s="2">
        <v>39685655</v>
      </c>
      <c r="D44" s="2">
        <v>45013674</v>
      </c>
      <c r="E44" s="2">
        <v>46420000</v>
      </c>
      <c r="F44" s="13">
        <f t="shared" si="0"/>
        <v>0.13425553893466038</v>
      </c>
      <c r="G44" s="6">
        <v>0.9</v>
      </c>
      <c r="H44" s="6"/>
      <c r="I44" s="6"/>
      <c r="J44" s="6"/>
      <c r="K44" s="6">
        <v>0.1</v>
      </c>
      <c r="L44" s="6"/>
      <c r="M44" s="6"/>
      <c r="N44" s="6">
        <f t="shared" si="1"/>
        <v>0</v>
      </c>
      <c r="O44" s="6">
        <f t="shared" si="2"/>
        <v>1</v>
      </c>
      <c r="P44" s="12">
        <f t="shared" si="3"/>
        <v>45013674</v>
      </c>
    </row>
    <row r="45" spans="1:16" ht="15">
      <c r="A45" t="s">
        <v>6</v>
      </c>
      <c r="B45" s="1" t="s">
        <v>179</v>
      </c>
      <c r="C45" s="2">
        <v>578400</v>
      </c>
      <c r="D45" s="2">
        <v>731775</v>
      </c>
      <c r="E45" s="2">
        <v>754000</v>
      </c>
      <c r="F45" s="13">
        <f t="shared" si="0"/>
        <v>0.26517116182572614</v>
      </c>
      <c r="G45" s="6">
        <v>0.02</v>
      </c>
      <c r="H45" s="6">
        <v>0.98</v>
      </c>
      <c r="I45" s="6"/>
      <c r="J45" s="6"/>
      <c r="K45" s="6"/>
      <c r="L45" s="6"/>
      <c r="M45" s="6"/>
      <c r="N45" s="6">
        <f t="shared" si="1"/>
        <v>0</v>
      </c>
      <c r="O45" s="6">
        <f t="shared" si="2"/>
        <v>1</v>
      </c>
      <c r="P45" s="12">
        <f t="shared" si="3"/>
        <v>731775</v>
      </c>
    </row>
    <row r="46" spans="1:16" ht="15">
      <c r="A46" t="s">
        <v>6</v>
      </c>
      <c r="B46" s="1" t="s">
        <v>15</v>
      </c>
      <c r="C46" s="2">
        <v>2809476</v>
      </c>
      <c r="D46" s="2">
        <v>3905010</v>
      </c>
      <c r="E46" s="2">
        <v>3905010</v>
      </c>
      <c r="F46" s="13">
        <f t="shared" si="0"/>
        <v>0.38994246613959327</v>
      </c>
      <c r="G46" s="6">
        <v>0.5</v>
      </c>
      <c r="H46" s="6">
        <v>0.02</v>
      </c>
      <c r="I46" s="6"/>
      <c r="J46" s="6"/>
      <c r="K46" s="6">
        <v>0.48</v>
      </c>
      <c r="L46" s="6"/>
      <c r="M46" s="6"/>
      <c r="N46" s="6">
        <f t="shared" si="1"/>
        <v>0</v>
      </c>
      <c r="O46" s="6">
        <f t="shared" si="2"/>
        <v>1</v>
      </c>
      <c r="P46" s="12">
        <f t="shared" si="3"/>
        <v>3905010</v>
      </c>
    </row>
    <row r="47" spans="1:16" ht="15">
      <c r="A47" t="s">
        <v>6</v>
      </c>
      <c r="B47" s="1" t="s">
        <v>16</v>
      </c>
      <c r="C47" s="2">
        <v>51809830</v>
      </c>
      <c r="D47" s="2">
        <v>66514506</v>
      </c>
      <c r="E47" s="2">
        <v>66514506</v>
      </c>
      <c r="F47" s="13">
        <f t="shared" si="0"/>
        <v>0.28382019396705221</v>
      </c>
      <c r="G47" s="6">
        <f>50%+20%</f>
        <v>0.7</v>
      </c>
      <c r="H47" s="6">
        <v>0.1</v>
      </c>
      <c r="I47" s="6"/>
      <c r="J47" s="6"/>
      <c r="K47" s="6">
        <v>0.2</v>
      </c>
      <c r="L47" s="6"/>
      <c r="M47" s="6"/>
      <c r="N47" s="6">
        <f t="shared" si="1"/>
        <v>0</v>
      </c>
      <c r="O47" s="6">
        <f t="shared" si="2"/>
        <v>1</v>
      </c>
      <c r="P47" s="12">
        <f t="shared" si="3"/>
        <v>66514506</v>
      </c>
    </row>
    <row r="48" spans="1:16" ht="15.75">
      <c r="A48" t="s">
        <v>7</v>
      </c>
      <c r="B48" s="1" t="s">
        <v>219</v>
      </c>
      <c r="C48" s="2">
        <v>20407</v>
      </c>
      <c r="D48" s="2">
        <v>12271</v>
      </c>
      <c r="E48" s="2">
        <v>12271</v>
      </c>
      <c r="F48" s="13">
        <f t="shared" si="0"/>
        <v>-0.39868672514333314</v>
      </c>
      <c r="G48" s="7">
        <f>55.9%+16.8%+7.9%+3.8%+5.8%</f>
        <v>0.90199999999999991</v>
      </c>
      <c r="H48" s="7"/>
      <c r="I48" s="7"/>
      <c r="J48" s="7"/>
      <c r="K48" s="7">
        <v>0.108</v>
      </c>
      <c r="L48" s="7"/>
      <c r="M48" s="7">
        <v>0.03</v>
      </c>
      <c r="N48" s="6">
        <f t="shared" si="1"/>
        <v>-4.0000000000000036E-2</v>
      </c>
      <c r="O48" s="6">
        <f t="shared" si="2"/>
        <v>1</v>
      </c>
      <c r="P48" s="12">
        <f t="shared" si="3"/>
        <v>12271</v>
      </c>
    </row>
    <row r="49" spans="1:16" ht="15">
      <c r="A49" t="s">
        <v>8</v>
      </c>
      <c r="B49" s="1" t="s">
        <v>145</v>
      </c>
      <c r="C49" s="2">
        <v>3710558</v>
      </c>
      <c r="D49" s="2">
        <v>4195914</v>
      </c>
      <c r="E49" s="2">
        <v>4301712</v>
      </c>
      <c r="F49" s="13">
        <f t="shared" si="0"/>
        <v>0.13080404618388933</v>
      </c>
      <c r="G49" s="6">
        <f>76.3%+13.7%+1.3%+0.7%</f>
        <v>0.92</v>
      </c>
      <c r="H49" s="6"/>
      <c r="I49" s="6"/>
      <c r="J49" s="6"/>
      <c r="K49" s="6">
        <v>4.8000000000000001E-2</v>
      </c>
      <c r="L49" s="6"/>
      <c r="M49" s="6">
        <v>3.2000000000000001E-2</v>
      </c>
      <c r="N49" s="6">
        <f t="shared" si="1"/>
        <v>0</v>
      </c>
      <c r="O49" s="6">
        <f t="shared" si="2"/>
        <v>1</v>
      </c>
      <c r="P49" s="12">
        <f t="shared" si="3"/>
        <v>4195914</v>
      </c>
    </row>
    <row r="50" spans="1:16" ht="15">
      <c r="A50" t="s">
        <v>6</v>
      </c>
      <c r="B50" s="1" t="s">
        <v>220</v>
      </c>
      <c r="C50" s="2">
        <v>15563387</v>
      </c>
      <c r="D50" s="2">
        <v>20179602</v>
      </c>
      <c r="E50" s="2">
        <v>20179602</v>
      </c>
      <c r="F50" s="13">
        <f t="shared" si="0"/>
        <v>0.29660735160026541</v>
      </c>
      <c r="G50" s="6"/>
      <c r="H50" s="6">
        <v>0.38600000000000001</v>
      </c>
      <c r="I50" s="6"/>
      <c r="J50" s="6"/>
      <c r="K50" s="6">
        <v>0.11899999999999999</v>
      </c>
      <c r="L50" s="6"/>
      <c r="M50" s="6">
        <v>0.16700000000000001</v>
      </c>
      <c r="N50" s="6">
        <f t="shared" si="1"/>
        <v>0.32799999999999996</v>
      </c>
      <c r="O50" s="6">
        <f t="shared" si="2"/>
        <v>1</v>
      </c>
      <c r="P50" s="12">
        <f t="shared" si="3"/>
        <v>20179602</v>
      </c>
    </row>
    <row r="51" spans="1:16" ht="15">
      <c r="A51" t="s">
        <v>5</v>
      </c>
      <c r="B51" s="1" t="s">
        <v>146</v>
      </c>
      <c r="C51" s="2">
        <v>4410830</v>
      </c>
      <c r="D51" s="2">
        <v>4491543</v>
      </c>
      <c r="E51" s="2">
        <v>4290612</v>
      </c>
      <c r="F51" s="13">
        <f t="shared" si="0"/>
        <v>1.8298823577421935E-2</v>
      </c>
      <c r="G51" s="6">
        <f>87.8%+4.4%+0.4%</f>
        <v>0.92600000000000005</v>
      </c>
      <c r="H51" s="6">
        <v>1.2999999999999999E-2</v>
      </c>
      <c r="I51" s="6"/>
      <c r="J51" s="6"/>
      <c r="K51" s="6">
        <v>8.9999999999999993E-3</v>
      </c>
      <c r="L51" s="6"/>
      <c r="M51" s="6">
        <v>5.1999999999999998E-2</v>
      </c>
      <c r="N51" s="6">
        <f t="shared" si="1"/>
        <v>0</v>
      </c>
      <c r="O51" s="6">
        <f t="shared" si="2"/>
        <v>1</v>
      </c>
      <c r="P51" s="12">
        <f t="shared" si="3"/>
        <v>4491543</v>
      </c>
    </row>
    <row r="52" spans="1:16" ht="15">
      <c r="A52" t="s">
        <v>8</v>
      </c>
      <c r="B52" s="1" t="s">
        <v>102</v>
      </c>
      <c r="C52" s="2">
        <v>11134273</v>
      </c>
      <c r="D52" s="2">
        <v>11423952</v>
      </c>
      <c r="E52" s="2">
        <v>11241161</v>
      </c>
      <c r="F52" s="13">
        <f t="shared" si="0"/>
        <v>2.6016876000795022E-2</v>
      </c>
      <c r="G52" s="6">
        <v>0.65</v>
      </c>
      <c r="H52" s="6"/>
      <c r="I52" s="6"/>
      <c r="J52" s="6"/>
      <c r="K52" s="6"/>
      <c r="L52" s="6"/>
      <c r="M52" s="6"/>
      <c r="N52" s="6">
        <f t="shared" si="1"/>
        <v>0.35</v>
      </c>
      <c r="O52" s="6">
        <f t="shared" si="2"/>
        <v>1</v>
      </c>
      <c r="P52" s="12">
        <f t="shared" si="3"/>
        <v>11423952</v>
      </c>
    </row>
    <row r="53" spans="1:16" ht="15">
      <c r="A53" t="s">
        <v>10</v>
      </c>
      <c r="B53" s="1" t="s">
        <v>177</v>
      </c>
      <c r="C53" s="2">
        <v>758363</v>
      </c>
      <c r="D53" s="2">
        <v>792604</v>
      </c>
      <c r="E53" s="2">
        <v>838897</v>
      </c>
      <c r="F53" s="13">
        <f t="shared" si="0"/>
        <v>4.5151200678303131E-2</v>
      </c>
      <c r="G53" s="6">
        <v>0.78</v>
      </c>
      <c r="H53" s="6">
        <v>0.18</v>
      </c>
      <c r="I53" s="6"/>
      <c r="J53" s="6"/>
      <c r="K53" s="6">
        <v>0.04</v>
      </c>
      <c r="L53" s="6"/>
      <c r="M53" s="6"/>
      <c r="N53" s="6">
        <f t="shared" si="1"/>
        <v>0</v>
      </c>
      <c r="O53" s="6">
        <f t="shared" si="2"/>
        <v>1</v>
      </c>
      <c r="P53" s="12">
        <f t="shared" si="3"/>
        <v>792604</v>
      </c>
    </row>
    <row r="54" spans="1:16" ht="15">
      <c r="A54" t="s">
        <v>5</v>
      </c>
      <c r="B54" s="1" t="s">
        <v>108</v>
      </c>
      <c r="C54" s="2">
        <v>10270128</v>
      </c>
      <c r="D54" s="2">
        <v>10220911</v>
      </c>
      <c r="E54" s="2">
        <v>10548527</v>
      </c>
      <c r="F54" s="13">
        <f t="shared" si="0"/>
        <v>-4.7922479641928518E-3</v>
      </c>
      <c r="G54" s="6">
        <f>26.8%+2.1%</f>
        <v>0.28900000000000003</v>
      </c>
      <c r="H54" s="6"/>
      <c r="I54" s="6"/>
      <c r="J54" s="6"/>
      <c r="K54" s="6">
        <f>3.3%+8.8%+59%</f>
        <v>0.71099999999999997</v>
      </c>
      <c r="L54" s="6"/>
      <c r="M54" s="6"/>
      <c r="N54" s="6">
        <f t="shared" si="1"/>
        <v>0</v>
      </c>
      <c r="O54" s="6">
        <f t="shared" si="2"/>
        <v>1</v>
      </c>
      <c r="P54" s="12">
        <f t="shared" si="3"/>
        <v>10220911</v>
      </c>
    </row>
    <row r="55" spans="1:16" ht="15">
      <c r="A55" t="s">
        <v>5</v>
      </c>
      <c r="B55" s="1" t="s">
        <v>221</v>
      </c>
      <c r="C55" s="2">
        <v>5337416</v>
      </c>
      <c r="D55" s="2">
        <v>5484723</v>
      </c>
      <c r="E55" s="2">
        <v>5484723</v>
      </c>
      <c r="F55" s="13">
        <f t="shared" si="0"/>
        <v>2.7598935514863372E-2</v>
      </c>
      <c r="G55" s="6">
        <v>0.95</v>
      </c>
      <c r="H55" s="6">
        <v>0.02</v>
      </c>
      <c r="I55" s="6"/>
      <c r="J55" s="6"/>
      <c r="K55" s="6"/>
      <c r="L55" s="6"/>
      <c r="M55" s="6"/>
      <c r="N55" s="6">
        <f t="shared" si="1"/>
        <v>3.0000000000000027E-2</v>
      </c>
      <c r="O55" s="6">
        <f t="shared" si="2"/>
        <v>1</v>
      </c>
      <c r="P55" s="12">
        <f t="shared" si="3"/>
        <v>5484723</v>
      </c>
    </row>
    <row r="56" spans="1:16" ht="15">
      <c r="A56" t="s">
        <v>6</v>
      </c>
      <c r="B56" s="1" t="s">
        <v>175</v>
      </c>
      <c r="C56" s="2">
        <v>430822</v>
      </c>
      <c r="D56" s="2">
        <v>506221</v>
      </c>
      <c r="E56" s="2">
        <v>906000</v>
      </c>
      <c r="F56" s="13">
        <f t="shared" si="0"/>
        <v>0.17501195389279098</v>
      </c>
      <c r="G56" s="6">
        <v>0.06</v>
      </c>
      <c r="H56" s="6">
        <v>0.94</v>
      </c>
      <c r="I56" s="6"/>
      <c r="J56" s="6"/>
      <c r="K56" s="6"/>
      <c r="L56" s="6"/>
      <c r="M56" s="6"/>
      <c r="N56" s="6">
        <f t="shared" si="1"/>
        <v>0</v>
      </c>
      <c r="O56" s="6">
        <f t="shared" si="2"/>
        <v>1</v>
      </c>
      <c r="P56" s="12">
        <f t="shared" si="3"/>
        <v>506221</v>
      </c>
    </row>
    <row r="57" spans="1:16" ht="15">
      <c r="A57" t="s">
        <v>8</v>
      </c>
      <c r="B57" s="1" t="s">
        <v>204</v>
      </c>
      <c r="C57" s="2">
        <v>71540</v>
      </c>
      <c r="D57" s="2">
        <v>72514</v>
      </c>
      <c r="E57" s="2">
        <v>71685</v>
      </c>
      <c r="F57" s="13">
        <f t="shared" si="0"/>
        <v>1.3614760972882304E-2</v>
      </c>
      <c r="G57" s="6">
        <f>61.4%+6%+5.6%+4.1%+3.7%+1.2%+1.2%+7.7%</f>
        <v>0.90900000000000003</v>
      </c>
      <c r="H57" s="6"/>
      <c r="I57" s="6"/>
      <c r="J57" s="6"/>
      <c r="K57" s="6">
        <v>2.9000000000000001E-2</v>
      </c>
      <c r="L57" s="6"/>
      <c r="M57" s="6">
        <v>6.0999999999999999E-2</v>
      </c>
      <c r="N57" s="6">
        <f t="shared" si="1"/>
        <v>9.9999999999988987E-4</v>
      </c>
      <c r="O57" s="6">
        <f t="shared" si="2"/>
        <v>1</v>
      </c>
      <c r="P57" s="12">
        <f t="shared" si="3"/>
        <v>72514</v>
      </c>
    </row>
    <row r="58" spans="1:16" ht="15">
      <c r="A58" t="s">
        <v>8</v>
      </c>
      <c r="B58" s="1" t="s">
        <v>116</v>
      </c>
      <c r="C58" s="2">
        <v>8353525</v>
      </c>
      <c r="D58" s="2">
        <v>9507133</v>
      </c>
      <c r="E58" s="2">
        <v>9378818</v>
      </c>
      <c r="F58" s="13">
        <f t="shared" si="0"/>
        <v>0.1380983477035144</v>
      </c>
      <c r="G58" s="6">
        <v>0.95</v>
      </c>
      <c r="H58" s="6"/>
      <c r="I58" s="6"/>
      <c r="J58" s="6"/>
      <c r="K58" s="6">
        <v>0.05</v>
      </c>
      <c r="L58" s="6"/>
      <c r="M58" s="6"/>
      <c r="N58" s="6">
        <f t="shared" si="1"/>
        <v>0</v>
      </c>
      <c r="O58" s="6">
        <f t="shared" si="2"/>
        <v>1</v>
      </c>
      <c r="P58" s="12">
        <f t="shared" si="3"/>
        <v>9507133</v>
      </c>
    </row>
    <row r="59" spans="1:16" ht="15">
      <c r="A59" t="s">
        <v>12</v>
      </c>
      <c r="B59" s="1" t="s">
        <v>222</v>
      </c>
      <c r="C59" s="2">
        <v>846599</v>
      </c>
      <c r="D59" s="2">
        <v>1108777</v>
      </c>
      <c r="E59" s="2">
        <v>1108777</v>
      </c>
      <c r="F59" s="13">
        <f t="shared" si="0"/>
        <v>0.30968380543799368</v>
      </c>
      <c r="G59" s="6">
        <f>98%+1%</f>
        <v>0.99</v>
      </c>
      <c r="H59" s="6">
        <v>0.01</v>
      </c>
      <c r="I59" s="6"/>
      <c r="J59" s="6"/>
      <c r="K59" s="6"/>
      <c r="L59" s="6"/>
      <c r="M59" s="6"/>
      <c r="N59" s="6">
        <f t="shared" si="1"/>
        <v>0</v>
      </c>
      <c r="O59" s="6">
        <f t="shared" si="2"/>
        <v>1</v>
      </c>
      <c r="P59" s="12">
        <f t="shared" si="3"/>
        <v>1108777</v>
      </c>
    </row>
    <row r="60" spans="1:16" ht="15">
      <c r="A60" t="s">
        <v>9</v>
      </c>
      <c r="B60" s="1" t="s">
        <v>95</v>
      </c>
      <c r="C60" s="2">
        <v>12505204</v>
      </c>
      <c r="D60" s="2">
        <v>14354469</v>
      </c>
      <c r="E60" s="2">
        <v>14483499</v>
      </c>
      <c r="F60" s="13">
        <f t="shared" si="0"/>
        <v>0.14787963475046068</v>
      </c>
      <c r="G60" s="6">
        <v>0.95</v>
      </c>
      <c r="H60" s="6"/>
      <c r="I60" s="6"/>
      <c r="J60" s="6"/>
      <c r="K60" s="6">
        <v>0.05</v>
      </c>
      <c r="L60" s="6"/>
      <c r="M60" s="6"/>
      <c r="N60" s="6">
        <f t="shared" si="1"/>
        <v>0</v>
      </c>
      <c r="O60" s="6">
        <f t="shared" si="2"/>
        <v>1</v>
      </c>
      <c r="P60" s="12">
        <f t="shared" si="3"/>
        <v>14354469</v>
      </c>
    </row>
    <row r="61" spans="1:16" ht="15">
      <c r="A61" t="s">
        <v>6</v>
      </c>
      <c r="B61" s="1" t="s">
        <v>51</v>
      </c>
      <c r="C61" s="2">
        <v>70492342</v>
      </c>
      <c r="D61" s="2">
        <v>81713517</v>
      </c>
      <c r="E61" s="2">
        <v>81664000</v>
      </c>
      <c r="F61" s="13">
        <f t="shared" si="0"/>
        <v>0.15918289393761381</v>
      </c>
      <c r="G61" s="6">
        <v>0.1</v>
      </c>
      <c r="H61" s="6">
        <v>0.9</v>
      </c>
      <c r="I61" s="6"/>
      <c r="J61" s="6"/>
      <c r="K61" s="6"/>
      <c r="L61" s="6"/>
      <c r="M61" s="6"/>
      <c r="N61" s="6">
        <f t="shared" si="1"/>
        <v>0</v>
      </c>
      <c r="O61" s="6">
        <f t="shared" si="2"/>
        <v>1</v>
      </c>
      <c r="P61" s="12">
        <f t="shared" si="3"/>
        <v>81713517</v>
      </c>
    </row>
    <row r="62" spans="1:16" ht="15">
      <c r="A62" t="s">
        <v>8</v>
      </c>
      <c r="B62" s="1" t="s">
        <v>132</v>
      </c>
      <c r="C62" s="2">
        <v>6122515</v>
      </c>
      <c r="D62" s="2">
        <v>7066403</v>
      </c>
      <c r="E62" s="2">
        <v>6227000</v>
      </c>
      <c r="F62" s="13">
        <f t="shared" si="0"/>
        <v>0.15416671090230077</v>
      </c>
      <c r="G62" s="6">
        <f>57.1%+21.2%+1.9%+0.7%</f>
        <v>0.80900000000000005</v>
      </c>
      <c r="H62" s="6"/>
      <c r="I62" s="6"/>
      <c r="J62" s="6"/>
      <c r="K62" s="6">
        <v>2.3E-2</v>
      </c>
      <c r="L62" s="6"/>
      <c r="M62" s="6">
        <v>0.16800000000000001</v>
      </c>
      <c r="N62" s="6">
        <f t="shared" si="1"/>
        <v>0</v>
      </c>
      <c r="O62" s="6">
        <f t="shared" si="2"/>
        <v>1</v>
      </c>
      <c r="P62" s="12">
        <f t="shared" si="3"/>
        <v>7066403</v>
      </c>
    </row>
    <row r="63" spans="1:16" ht="15">
      <c r="A63" t="s">
        <v>6</v>
      </c>
      <c r="B63" s="1" t="s">
        <v>180</v>
      </c>
      <c r="C63" s="2">
        <v>474214</v>
      </c>
      <c r="D63" s="2">
        <v>616459</v>
      </c>
      <c r="E63" s="2">
        <v>720000</v>
      </c>
      <c r="F63" s="13">
        <f t="shared" si="0"/>
        <v>0.29995951195030091</v>
      </c>
      <c r="G63" s="6"/>
      <c r="H63" s="6"/>
      <c r="I63" s="6"/>
      <c r="J63" s="6"/>
      <c r="K63" s="6"/>
      <c r="L63" s="6"/>
      <c r="M63" s="6"/>
      <c r="N63" s="6">
        <f t="shared" si="1"/>
        <v>1</v>
      </c>
      <c r="O63" s="6">
        <f t="shared" si="2"/>
        <v>1</v>
      </c>
      <c r="P63" s="12">
        <f t="shared" si="3"/>
        <v>616459</v>
      </c>
    </row>
    <row r="64" spans="1:16" ht="15">
      <c r="A64" t="s">
        <v>6</v>
      </c>
      <c r="B64" s="1" t="s">
        <v>138</v>
      </c>
      <c r="C64" s="2">
        <v>4243185</v>
      </c>
      <c r="D64" s="2">
        <v>5502026</v>
      </c>
      <c r="E64" s="2">
        <v>5415000</v>
      </c>
      <c r="F64" s="13">
        <f t="shared" si="0"/>
        <v>0.29667360720779318</v>
      </c>
      <c r="G64" s="6"/>
      <c r="H64" s="6">
        <v>0.5</v>
      </c>
      <c r="I64" s="6"/>
      <c r="J64" s="6"/>
      <c r="K64" s="6"/>
      <c r="L64" s="6"/>
      <c r="M64" s="6"/>
      <c r="N64" s="6">
        <f t="shared" si="1"/>
        <v>0.5</v>
      </c>
      <c r="O64" s="6">
        <f t="shared" si="2"/>
        <v>1</v>
      </c>
      <c r="P64" s="12">
        <f t="shared" si="3"/>
        <v>5502026</v>
      </c>
    </row>
    <row r="65" spans="1:16" ht="15.75">
      <c r="A65" t="s">
        <v>5</v>
      </c>
      <c r="B65" s="1" t="s">
        <v>171</v>
      </c>
      <c r="C65" s="2">
        <v>1379835</v>
      </c>
      <c r="D65" s="2">
        <v>1307605</v>
      </c>
      <c r="E65" s="2">
        <v>1316541</v>
      </c>
      <c r="F65" s="13">
        <f t="shared" si="0"/>
        <v>-5.2346838571278448E-2</v>
      </c>
      <c r="G65" s="7">
        <f>13.6%+12.8%+1.4%</f>
        <v>0.27800000000000002</v>
      </c>
      <c r="H65" s="6"/>
      <c r="I65" s="6"/>
      <c r="J65" s="6"/>
      <c r="K65" s="6">
        <v>0.66100000000000003</v>
      </c>
      <c r="L65" s="6"/>
      <c r="M65" s="6">
        <v>6.0999999999999999E-2</v>
      </c>
      <c r="N65" s="6">
        <f t="shared" si="1"/>
        <v>0</v>
      </c>
      <c r="O65" s="6">
        <f t="shared" si="2"/>
        <v>1</v>
      </c>
      <c r="P65" s="12">
        <f t="shared" si="3"/>
        <v>1307605</v>
      </c>
    </row>
    <row r="66" spans="1:16" ht="15">
      <c r="A66" t="s">
        <v>6</v>
      </c>
      <c r="B66" s="1" t="s">
        <v>49</v>
      </c>
      <c r="C66" s="2">
        <v>64690052</v>
      </c>
      <c r="D66" s="2">
        <v>82544838</v>
      </c>
      <c r="E66" s="2">
        <v>84320987</v>
      </c>
      <c r="F66" s="13">
        <f t="shared" ref="F66:F129" si="4">(D66-C66)/C66</f>
        <v>0.27600512672334843</v>
      </c>
      <c r="G66" s="6">
        <v>0.60799999999999998</v>
      </c>
      <c r="H66" s="6">
        <v>0.32800000000000001</v>
      </c>
      <c r="I66" s="6"/>
      <c r="J66" s="6"/>
      <c r="K66" s="6">
        <v>6.4000000000000001E-2</v>
      </c>
      <c r="L66" s="6"/>
      <c r="M66" s="6"/>
      <c r="N66" s="6">
        <f t="shared" ref="N66:N129" si="5">100%-SUM(G66:M66)</f>
        <v>0</v>
      </c>
      <c r="O66" s="6">
        <f t="shared" ref="O66:O129" si="6">SUM(G66:N66)</f>
        <v>1</v>
      </c>
      <c r="P66" s="12">
        <f t="shared" ref="P66:P129" si="7">D66*O66</f>
        <v>82544838</v>
      </c>
    </row>
    <row r="67" spans="1:16">
      <c r="A67" t="s">
        <v>9</v>
      </c>
      <c r="B67" t="s">
        <v>17</v>
      </c>
      <c r="C67" s="2"/>
      <c r="D67" s="2"/>
      <c r="E67" s="2"/>
      <c r="F67" s="13">
        <v>0</v>
      </c>
      <c r="G67" s="6">
        <v>0.67200000000000004</v>
      </c>
      <c r="H67" s="6"/>
      <c r="I67" s="6"/>
      <c r="J67" s="6"/>
      <c r="K67" s="6">
        <v>1.2999999999999999E-2</v>
      </c>
      <c r="L67" s="6"/>
      <c r="M67" s="6">
        <v>0.315</v>
      </c>
      <c r="N67" s="6">
        <f t="shared" si="5"/>
        <v>0</v>
      </c>
      <c r="O67" s="6">
        <f t="shared" si="6"/>
        <v>1</v>
      </c>
      <c r="P67" s="12">
        <f t="shared" si="7"/>
        <v>0</v>
      </c>
    </row>
    <row r="68" spans="1:16" ht="15">
      <c r="A68" t="s">
        <v>5</v>
      </c>
      <c r="B68" s="1" t="s">
        <v>223</v>
      </c>
      <c r="C68" s="2">
        <v>45296</v>
      </c>
      <c r="D68" s="2">
        <v>48668</v>
      </c>
      <c r="E68" s="2">
        <v>48668</v>
      </c>
      <c r="F68" s="13">
        <f t="shared" si="4"/>
        <v>7.4443659484281166E-2</v>
      </c>
      <c r="G68" s="6">
        <v>0.83799999999999997</v>
      </c>
      <c r="H68" s="6"/>
      <c r="I68" s="6"/>
      <c r="J68" s="6"/>
      <c r="K68" s="6">
        <v>0.16200000000000001</v>
      </c>
      <c r="L68" s="6"/>
      <c r="M68" s="6"/>
      <c r="N68" s="6">
        <f t="shared" si="5"/>
        <v>0</v>
      </c>
      <c r="O68" s="6">
        <f t="shared" si="6"/>
        <v>1</v>
      </c>
      <c r="P68" s="12">
        <f t="shared" si="7"/>
        <v>48668</v>
      </c>
    </row>
    <row r="69" spans="1:16" ht="15">
      <c r="A69" t="s">
        <v>7</v>
      </c>
      <c r="B69" s="1" t="s">
        <v>176</v>
      </c>
      <c r="C69" s="2">
        <v>832494</v>
      </c>
      <c r="D69" s="2">
        <v>931741</v>
      </c>
      <c r="E69" s="2">
        <v>868000</v>
      </c>
      <c r="F69" s="13">
        <f t="shared" si="4"/>
        <v>0.11921647483345225</v>
      </c>
      <c r="G69" s="6">
        <v>0.53</v>
      </c>
      <c r="H69" s="6">
        <v>7.0000000000000007E-2</v>
      </c>
      <c r="I69" s="6">
        <v>0.34</v>
      </c>
      <c r="J69" s="6"/>
      <c r="K69" s="6">
        <v>5.6000000000000001E-2</v>
      </c>
      <c r="L69" s="6"/>
      <c r="M69" s="6"/>
      <c r="N69" s="6">
        <f t="shared" si="5"/>
        <v>3.9999999999997815E-3</v>
      </c>
      <c r="O69" s="6">
        <f t="shared" si="6"/>
        <v>1</v>
      </c>
      <c r="P69" s="12">
        <f t="shared" si="7"/>
        <v>931741</v>
      </c>
    </row>
    <row r="70" spans="1:16" ht="15">
      <c r="A70" t="s">
        <v>5</v>
      </c>
      <c r="B70" s="1" t="s">
        <v>224</v>
      </c>
      <c r="C70" s="2">
        <v>5168595</v>
      </c>
      <c r="D70" s="2">
        <v>5244749</v>
      </c>
      <c r="E70" s="2">
        <v>5244749</v>
      </c>
      <c r="F70" s="13">
        <f t="shared" si="4"/>
        <v>1.4733984767620601E-2</v>
      </c>
      <c r="G70" s="6">
        <f>82.5%+2.2%</f>
        <v>0.84699999999999998</v>
      </c>
      <c r="H70" s="6"/>
      <c r="I70" s="6"/>
      <c r="J70" s="6"/>
      <c r="K70" s="6"/>
      <c r="L70" s="6"/>
      <c r="M70" s="6">
        <v>0.151</v>
      </c>
      <c r="N70" s="6">
        <f t="shared" si="5"/>
        <v>2.0000000000000018E-3</v>
      </c>
      <c r="O70" s="6">
        <f t="shared" si="6"/>
        <v>1</v>
      </c>
      <c r="P70" s="12">
        <f t="shared" si="7"/>
        <v>5244749</v>
      </c>
    </row>
    <row r="71" spans="1:16" ht="15">
      <c r="A71" t="s">
        <v>5</v>
      </c>
      <c r="B71" s="1" t="s">
        <v>55</v>
      </c>
      <c r="C71" s="2">
        <v>59381628</v>
      </c>
      <c r="D71" s="2">
        <v>64057790</v>
      </c>
      <c r="E71" s="2">
        <v>65350000</v>
      </c>
      <c r="F71" s="13">
        <f t="shared" si="4"/>
        <v>7.8747622075972717E-2</v>
      </c>
      <c r="G71" s="6">
        <f>85%+2%</f>
        <v>0.87</v>
      </c>
      <c r="H71" s="6">
        <v>7.4999999999999997E-2</v>
      </c>
      <c r="I71" s="6"/>
      <c r="J71" s="6"/>
      <c r="K71" s="6">
        <v>0.04</v>
      </c>
      <c r="L71" s="6">
        <v>0.01</v>
      </c>
      <c r="M71" s="6"/>
      <c r="N71" s="6">
        <f t="shared" si="5"/>
        <v>5.0000000000000044E-3</v>
      </c>
      <c r="O71" s="6">
        <f t="shared" si="6"/>
        <v>1</v>
      </c>
      <c r="P71" s="12">
        <f t="shared" si="7"/>
        <v>64057790</v>
      </c>
    </row>
    <row r="72" spans="1:16" ht="15">
      <c r="A72" t="s">
        <v>9</v>
      </c>
      <c r="B72" s="1" t="s">
        <v>225</v>
      </c>
      <c r="C72" s="2">
        <v>172605</v>
      </c>
      <c r="D72" s="2"/>
      <c r="E72" s="2">
        <f>C72</f>
        <v>172605</v>
      </c>
      <c r="F72" s="13">
        <f t="shared" si="4"/>
        <v>-1</v>
      </c>
      <c r="N72" s="6">
        <f t="shared" si="5"/>
        <v>1</v>
      </c>
      <c r="O72" s="6">
        <f t="shared" si="6"/>
        <v>1</v>
      </c>
      <c r="P72" s="12">
        <f t="shared" si="7"/>
        <v>0</v>
      </c>
    </row>
    <row r="73" spans="1:16" ht="15">
      <c r="A73" t="s">
        <v>7</v>
      </c>
      <c r="B73" s="1" t="s">
        <v>193</v>
      </c>
      <c r="C73" s="2">
        <v>249110</v>
      </c>
      <c r="D73" s="2">
        <v>283019</v>
      </c>
      <c r="E73" s="2">
        <v>274000</v>
      </c>
      <c r="F73" s="13">
        <f t="shared" si="4"/>
        <v>0.13612058929790052</v>
      </c>
      <c r="G73" s="6">
        <f>54%+30%</f>
        <v>0.84000000000000008</v>
      </c>
      <c r="H73" s="6"/>
      <c r="I73" s="6"/>
      <c r="J73" s="6"/>
      <c r="K73" s="6">
        <v>0.1</v>
      </c>
      <c r="L73" s="6"/>
      <c r="M73" s="6">
        <v>0.06</v>
      </c>
      <c r="N73" s="6">
        <f t="shared" si="5"/>
        <v>0</v>
      </c>
      <c r="O73" s="6">
        <f t="shared" si="6"/>
        <v>1</v>
      </c>
      <c r="P73" s="12">
        <f t="shared" si="7"/>
        <v>283019</v>
      </c>
    </row>
    <row r="74" spans="1:16" ht="15">
      <c r="A74" t="s">
        <v>6</v>
      </c>
      <c r="B74" s="1" t="s">
        <v>168</v>
      </c>
      <c r="C74" s="2">
        <v>1222938</v>
      </c>
      <c r="D74" s="2">
        <v>1485832</v>
      </c>
      <c r="E74" s="2">
        <v>1534000</v>
      </c>
      <c r="F74" s="13">
        <f t="shared" si="4"/>
        <v>0.21496919713018975</v>
      </c>
      <c r="G74" s="6">
        <v>0.6</v>
      </c>
      <c r="H74" s="6"/>
      <c r="I74" s="6"/>
      <c r="J74" s="6"/>
      <c r="K74" s="6"/>
      <c r="L74" s="6"/>
      <c r="M74" s="6"/>
      <c r="N74" s="6">
        <f t="shared" si="5"/>
        <v>0.4</v>
      </c>
      <c r="O74" s="6">
        <f t="shared" si="6"/>
        <v>1</v>
      </c>
      <c r="P74" s="12">
        <f t="shared" si="7"/>
        <v>1485832</v>
      </c>
    </row>
    <row r="75" spans="1:16" ht="15">
      <c r="A75" t="s">
        <v>6</v>
      </c>
      <c r="B75" s="1" t="s">
        <v>226</v>
      </c>
      <c r="C75" s="2">
        <v>1367124</v>
      </c>
      <c r="D75" s="2">
        <v>1735464</v>
      </c>
      <c r="E75" s="2">
        <v>1735464</v>
      </c>
      <c r="F75" s="13">
        <f t="shared" si="4"/>
        <v>0.2694269137254558</v>
      </c>
      <c r="G75" s="6">
        <v>0.08</v>
      </c>
      <c r="H75" s="6">
        <v>0.9</v>
      </c>
      <c r="I75" s="6"/>
      <c r="J75" s="6"/>
      <c r="K75" s="6">
        <v>0.02</v>
      </c>
      <c r="L75" s="6"/>
      <c r="M75" s="6"/>
      <c r="N75" s="6">
        <f t="shared" si="5"/>
        <v>0</v>
      </c>
      <c r="O75" s="6">
        <f t="shared" si="6"/>
        <v>1</v>
      </c>
      <c r="P75" s="12">
        <f t="shared" si="7"/>
        <v>1735464</v>
      </c>
    </row>
    <row r="76" spans="1:16" ht="15">
      <c r="A76" t="s">
        <v>10</v>
      </c>
      <c r="B76" s="1" t="s">
        <v>227</v>
      </c>
      <c r="C76" s="2">
        <v>1132063</v>
      </c>
      <c r="D76" s="2">
        <v>1500202</v>
      </c>
      <c r="E76" s="2">
        <v>1500202</v>
      </c>
      <c r="F76" s="13">
        <f t="shared" si="4"/>
        <v>0.32519303254324183</v>
      </c>
      <c r="G76" s="6">
        <v>7.0000000000000001E-3</v>
      </c>
      <c r="H76" s="6">
        <v>0.99299999999999999</v>
      </c>
      <c r="I76" s="6"/>
      <c r="J76" s="6"/>
      <c r="K76" s="6"/>
      <c r="L76" s="6"/>
      <c r="M76" s="6"/>
      <c r="N76" s="6">
        <f t="shared" si="5"/>
        <v>0</v>
      </c>
      <c r="O76" s="6">
        <f t="shared" si="6"/>
        <v>1</v>
      </c>
      <c r="P76" s="12">
        <f t="shared" si="7"/>
        <v>1500202</v>
      </c>
    </row>
    <row r="77" spans="1:16" ht="15">
      <c r="A77" t="s">
        <v>4</v>
      </c>
      <c r="B77" s="1" t="s">
        <v>228</v>
      </c>
      <c r="C77" s="2">
        <v>4777209</v>
      </c>
      <c r="D77" s="2">
        <v>4630841</v>
      </c>
      <c r="E77" s="2">
        <v>4630841</v>
      </c>
      <c r="F77" s="13">
        <f t="shared" si="4"/>
        <v>-3.0638810234176483E-2</v>
      </c>
      <c r="G77" s="6">
        <f>83.9%+0.8%</f>
        <v>0.84700000000000009</v>
      </c>
      <c r="H77" s="6">
        <v>9.9000000000000005E-2</v>
      </c>
      <c r="I77" s="6"/>
      <c r="J77" s="6"/>
      <c r="K77" s="6">
        <v>8.0000000000000002E-3</v>
      </c>
      <c r="L77" s="6"/>
      <c r="M77" s="6">
        <v>7.0000000000000001E-3</v>
      </c>
      <c r="N77" s="6">
        <f t="shared" si="5"/>
        <v>3.8999999999999924E-2</v>
      </c>
      <c r="O77" s="6">
        <f t="shared" si="6"/>
        <v>1</v>
      </c>
      <c r="P77" s="12">
        <f t="shared" si="7"/>
        <v>4630841</v>
      </c>
    </row>
    <row r="78" spans="1:16" ht="15">
      <c r="A78" t="s">
        <v>5</v>
      </c>
      <c r="B78" s="1" t="s">
        <v>50</v>
      </c>
      <c r="C78" s="2">
        <v>82187909</v>
      </c>
      <c r="D78" s="2">
        <v>82369548</v>
      </c>
      <c r="E78" s="2">
        <v>81796000</v>
      </c>
      <c r="F78" s="13">
        <f t="shared" si="4"/>
        <v>2.2100452756378072E-3</v>
      </c>
      <c r="G78" s="6">
        <f>34%+34%</f>
        <v>0.68</v>
      </c>
      <c r="H78" s="6">
        <v>3.6999999999999998E-2</v>
      </c>
      <c r="I78" s="6"/>
      <c r="J78" s="6"/>
      <c r="K78" s="6">
        <v>0.28299999999999997</v>
      </c>
      <c r="L78" s="6"/>
      <c r="M78" s="6"/>
      <c r="N78" s="6">
        <f t="shared" si="5"/>
        <v>0</v>
      </c>
      <c r="O78" s="6">
        <f t="shared" si="6"/>
        <v>1</v>
      </c>
      <c r="P78" s="12">
        <f t="shared" si="7"/>
        <v>82369548</v>
      </c>
    </row>
    <row r="79" spans="1:16" ht="15">
      <c r="A79" t="s">
        <v>6</v>
      </c>
      <c r="B79" s="1" t="s">
        <v>78</v>
      </c>
      <c r="C79" s="2">
        <v>19509240</v>
      </c>
      <c r="D79" s="2">
        <v>23382848</v>
      </c>
      <c r="E79" s="2">
        <v>24233431</v>
      </c>
      <c r="F79" s="13">
        <f t="shared" si="4"/>
        <v>0.19855248077321311</v>
      </c>
      <c r="G79" s="6">
        <v>0.68799999999999994</v>
      </c>
      <c r="H79" s="6">
        <v>0.159</v>
      </c>
      <c r="I79" s="6"/>
      <c r="J79" s="6"/>
      <c r="K79" s="6">
        <v>9.1999999999999998E-2</v>
      </c>
      <c r="L79" s="6"/>
      <c r="M79" s="6">
        <v>6.0999999999999999E-2</v>
      </c>
      <c r="N79" s="6">
        <f t="shared" si="5"/>
        <v>0</v>
      </c>
      <c r="O79" s="6">
        <f t="shared" si="6"/>
        <v>1</v>
      </c>
      <c r="P79" s="12">
        <f t="shared" si="7"/>
        <v>23382848</v>
      </c>
    </row>
    <row r="80" spans="1:16" ht="15">
      <c r="A80" t="s">
        <v>5</v>
      </c>
      <c r="B80" s="1" t="s">
        <v>229</v>
      </c>
      <c r="C80" s="2">
        <v>27578</v>
      </c>
      <c r="D80" s="2">
        <v>28002</v>
      </c>
      <c r="E80" s="2">
        <v>28002</v>
      </c>
      <c r="F80" s="13">
        <f t="shared" si="4"/>
        <v>1.5374573935745884E-2</v>
      </c>
      <c r="G80" s="6">
        <f>78.1%+7%+3.2%</f>
        <v>0.88300000000000001</v>
      </c>
      <c r="H80" s="6">
        <v>0.04</v>
      </c>
      <c r="I80" s="6">
        <v>1.7999999999999999E-2</v>
      </c>
      <c r="J80" s="6"/>
      <c r="K80" s="6"/>
      <c r="L80" s="6">
        <v>2.1000000000000001E-2</v>
      </c>
      <c r="M80" s="6">
        <v>2.9000000000000001E-2</v>
      </c>
      <c r="N80" s="6">
        <f t="shared" si="5"/>
        <v>8.999999999999897E-3</v>
      </c>
      <c r="O80" s="6">
        <f t="shared" si="6"/>
        <v>1</v>
      </c>
      <c r="P80" s="12">
        <f t="shared" si="7"/>
        <v>28002</v>
      </c>
    </row>
    <row r="81" spans="1:16" ht="15">
      <c r="A81" t="s">
        <v>5</v>
      </c>
      <c r="B81" s="1" t="s">
        <v>104</v>
      </c>
      <c r="C81" s="2">
        <v>10559110</v>
      </c>
      <c r="D81" s="2">
        <v>10722816</v>
      </c>
      <c r="E81" s="2">
        <v>10787690</v>
      </c>
      <c r="F81" s="13">
        <f t="shared" si="4"/>
        <v>1.5503768783543309E-2</v>
      </c>
      <c r="G81" s="6">
        <v>0.98</v>
      </c>
      <c r="H81" s="6">
        <v>1.2999999999999999E-2</v>
      </c>
      <c r="I81" s="6"/>
      <c r="J81" s="6"/>
      <c r="K81" s="6">
        <v>7.0000000000000001E-3</v>
      </c>
      <c r="L81" s="6"/>
      <c r="M81" s="6"/>
      <c r="N81" s="6">
        <f t="shared" si="5"/>
        <v>0</v>
      </c>
      <c r="O81" s="6">
        <f t="shared" si="6"/>
        <v>1</v>
      </c>
      <c r="P81" s="12">
        <f t="shared" si="7"/>
        <v>10722816</v>
      </c>
    </row>
    <row r="82" spans="1:16" ht="15">
      <c r="A82" t="s">
        <v>18</v>
      </c>
      <c r="B82" s="1" t="s">
        <v>230</v>
      </c>
      <c r="C82" s="2">
        <v>56309</v>
      </c>
      <c r="D82" s="2">
        <v>57564</v>
      </c>
      <c r="E82" s="2">
        <v>57564</v>
      </c>
      <c r="F82" s="13">
        <f t="shared" si="4"/>
        <v>2.2287733754817171E-2</v>
      </c>
      <c r="G82" s="6"/>
      <c r="H82" s="6"/>
      <c r="I82" s="6"/>
      <c r="J82" s="6"/>
      <c r="K82" s="6"/>
      <c r="L82" s="6"/>
      <c r="M82" s="6"/>
      <c r="N82" s="6">
        <f t="shared" si="5"/>
        <v>1</v>
      </c>
      <c r="O82" s="6">
        <f t="shared" si="6"/>
        <v>1</v>
      </c>
      <c r="P82" s="12">
        <f t="shared" si="7"/>
        <v>57564</v>
      </c>
    </row>
    <row r="83" spans="1:16" ht="15">
      <c r="A83" t="s">
        <v>8</v>
      </c>
      <c r="B83" s="1" t="s">
        <v>197</v>
      </c>
      <c r="C83" s="2">
        <v>89312</v>
      </c>
      <c r="D83" s="2">
        <v>90343</v>
      </c>
      <c r="E83" s="2">
        <v>110821</v>
      </c>
      <c r="F83" s="13">
        <f t="shared" si="4"/>
        <v>1.1543801504836975E-2</v>
      </c>
      <c r="G83" s="6">
        <f>53%+13.8%+33.2%</f>
        <v>1</v>
      </c>
      <c r="H83" s="6"/>
      <c r="I83" s="6"/>
      <c r="J83" s="6"/>
      <c r="K83" s="6"/>
      <c r="L83" s="6"/>
      <c r="M83" s="6"/>
      <c r="N83" s="6">
        <f t="shared" si="5"/>
        <v>0</v>
      </c>
      <c r="O83" s="6">
        <f t="shared" si="6"/>
        <v>1</v>
      </c>
      <c r="P83" s="12">
        <f t="shared" si="7"/>
        <v>90343</v>
      </c>
    </row>
    <row r="84" spans="1:16" ht="15">
      <c r="A84" t="s">
        <v>8</v>
      </c>
      <c r="B84" s="1" t="s">
        <v>231</v>
      </c>
      <c r="C84" s="2">
        <v>426493</v>
      </c>
      <c r="D84" s="2"/>
      <c r="E84" s="2">
        <f>C84</f>
        <v>426493</v>
      </c>
      <c r="F84" s="13">
        <f t="shared" si="4"/>
        <v>-1</v>
      </c>
      <c r="N84" s="6">
        <f t="shared" si="5"/>
        <v>1</v>
      </c>
      <c r="O84" s="6">
        <f t="shared" si="6"/>
        <v>1</v>
      </c>
      <c r="P84" s="12">
        <f t="shared" si="7"/>
        <v>0</v>
      </c>
    </row>
    <row r="85" spans="1:16" ht="15">
      <c r="A85" t="s">
        <v>7</v>
      </c>
      <c r="B85" s="1" t="s">
        <v>232</v>
      </c>
      <c r="C85" s="2">
        <v>155324</v>
      </c>
      <c r="D85" s="2">
        <v>175991</v>
      </c>
      <c r="E85" s="2">
        <v>175991</v>
      </c>
      <c r="F85" s="13">
        <f t="shared" si="4"/>
        <v>0.13305735108547295</v>
      </c>
      <c r="G85" s="6">
        <v>0.85</v>
      </c>
      <c r="H85" s="6"/>
      <c r="I85" s="6"/>
      <c r="J85" s="6"/>
      <c r="K85" s="6">
        <v>0.15</v>
      </c>
      <c r="L85" s="6"/>
      <c r="M85" s="6"/>
      <c r="N85" s="6">
        <f t="shared" si="5"/>
        <v>0</v>
      </c>
      <c r="O85" s="6">
        <f t="shared" si="6"/>
        <v>1</v>
      </c>
      <c r="P85" s="12">
        <f t="shared" si="7"/>
        <v>175991</v>
      </c>
    </row>
    <row r="86" spans="1:16" ht="15">
      <c r="A86" t="s">
        <v>8</v>
      </c>
      <c r="B86" s="1" t="s">
        <v>93</v>
      </c>
      <c r="C86" s="2">
        <v>12820296</v>
      </c>
      <c r="D86" s="2">
        <v>13002206</v>
      </c>
      <c r="E86" s="2">
        <v>14713763</v>
      </c>
      <c r="F86" s="13">
        <f t="shared" si="4"/>
        <v>1.41892199680881E-2</v>
      </c>
      <c r="G86" s="6">
        <v>0.95</v>
      </c>
      <c r="H86" s="6"/>
      <c r="I86" s="6"/>
      <c r="J86" s="6"/>
      <c r="K86" s="6"/>
      <c r="L86" s="6"/>
      <c r="M86" s="6"/>
      <c r="N86" s="6">
        <f t="shared" si="5"/>
        <v>5.0000000000000044E-2</v>
      </c>
      <c r="O86" s="6">
        <f t="shared" si="6"/>
        <v>1</v>
      </c>
      <c r="P86" s="12">
        <f t="shared" si="7"/>
        <v>13002206</v>
      </c>
    </row>
    <row r="87" spans="1:16" ht="15">
      <c r="A87" t="s">
        <v>5</v>
      </c>
      <c r="B87" s="1" t="s">
        <v>233</v>
      </c>
      <c r="C87" s="2">
        <v>64080</v>
      </c>
      <c r="D87" s="2">
        <v>65726</v>
      </c>
      <c r="E87" s="2">
        <v>65726</v>
      </c>
      <c r="F87" s="13">
        <f t="shared" si="4"/>
        <v>2.5686641697877655E-2</v>
      </c>
      <c r="G87" s="6"/>
      <c r="H87" s="6"/>
      <c r="I87" s="6"/>
      <c r="J87" s="6"/>
      <c r="K87" s="6"/>
      <c r="L87" s="6"/>
      <c r="M87" s="6"/>
      <c r="N87" s="6">
        <f t="shared" si="5"/>
        <v>1</v>
      </c>
      <c r="O87" s="6">
        <f t="shared" si="6"/>
        <v>1</v>
      </c>
      <c r="P87" s="12">
        <f t="shared" si="7"/>
        <v>65726</v>
      </c>
    </row>
    <row r="88" spans="1:16" ht="15">
      <c r="A88" t="s">
        <v>6</v>
      </c>
      <c r="B88" s="1" t="s">
        <v>110</v>
      </c>
      <c r="C88" s="2">
        <v>8641965</v>
      </c>
      <c r="D88" s="2">
        <v>9806509</v>
      </c>
      <c r="E88" s="2">
        <v>10217591</v>
      </c>
      <c r="F88" s="13">
        <f t="shared" si="4"/>
        <v>0.13475453788577019</v>
      </c>
      <c r="G88" s="6">
        <v>0.08</v>
      </c>
      <c r="H88" s="6">
        <v>0.85</v>
      </c>
      <c r="I88" s="6"/>
      <c r="J88" s="6"/>
      <c r="K88" s="6">
        <v>7.0000000000000007E-2</v>
      </c>
      <c r="L88" s="6"/>
      <c r="M88" s="6"/>
      <c r="N88" s="6">
        <f t="shared" si="5"/>
        <v>0</v>
      </c>
      <c r="O88" s="6">
        <f t="shared" si="6"/>
        <v>1</v>
      </c>
      <c r="P88" s="12">
        <f t="shared" si="7"/>
        <v>9806509</v>
      </c>
    </row>
    <row r="89" spans="1:16" ht="15">
      <c r="A89" t="s">
        <v>6</v>
      </c>
      <c r="B89" s="1" t="s">
        <v>169</v>
      </c>
      <c r="C89" s="2">
        <v>1278259</v>
      </c>
      <c r="D89" s="2">
        <v>1503182</v>
      </c>
      <c r="E89" s="2">
        <v>1520830</v>
      </c>
      <c r="F89" s="13">
        <f t="shared" si="4"/>
        <v>0.17596042742511495</v>
      </c>
      <c r="G89" s="6">
        <v>0.1</v>
      </c>
      <c r="H89" s="6">
        <v>0.5</v>
      </c>
      <c r="I89" s="6"/>
      <c r="J89" s="6"/>
      <c r="K89" s="6">
        <v>0.4</v>
      </c>
      <c r="L89" s="6"/>
      <c r="M89" s="6"/>
      <c r="N89" s="6">
        <f t="shared" si="5"/>
        <v>0</v>
      </c>
      <c r="O89" s="6">
        <f t="shared" si="6"/>
        <v>1</v>
      </c>
      <c r="P89" s="12">
        <f t="shared" si="7"/>
        <v>1503182</v>
      </c>
    </row>
    <row r="90" spans="1:16" ht="15">
      <c r="A90" t="s">
        <v>9</v>
      </c>
      <c r="B90" s="1" t="s">
        <v>178</v>
      </c>
      <c r="C90" s="2">
        <v>755171</v>
      </c>
      <c r="D90" s="2">
        <v>770794</v>
      </c>
      <c r="E90" s="2">
        <v>784894</v>
      </c>
      <c r="F90" s="13">
        <f t="shared" si="4"/>
        <v>2.0688029598594226E-2</v>
      </c>
      <c r="G90" s="6"/>
      <c r="H90" s="6">
        <v>7.1999999999999995E-2</v>
      </c>
      <c r="I90" s="6">
        <v>0.28399999999999997</v>
      </c>
      <c r="J90" s="6"/>
      <c r="K90" s="6">
        <v>4.2999999999999997E-2</v>
      </c>
      <c r="L90" s="6"/>
      <c r="M90" s="6">
        <v>4.2999999999999997E-2</v>
      </c>
      <c r="N90" s="6">
        <f t="shared" si="5"/>
        <v>0.55800000000000005</v>
      </c>
      <c r="O90" s="6">
        <f t="shared" si="6"/>
        <v>1</v>
      </c>
      <c r="P90" s="12">
        <f t="shared" si="7"/>
        <v>770794</v>
      </c>
    </row>
    <row r="91" spans="1:16" ht="15">
      <c r="A91" t="s">
        <v>8</v>
      </c>
      <c r="B91" s="1" t="s">
        <v>111</v>
      </c>
      <c r="C91" s="2">
        <v>7306302</v>
      </c>
      <c r="D91" s="2">
        <v>8871445</v>
      </c>
      <c r="E91" s="2">
        <v>10085214</v>
      </c>
      <c r="F91" s="13">
        <f t="shared" si="4"/>
        <v>0.21421821873774174</v>
      </c>
      <c r="G91" s="6">
        <f>80%+16%</f>
        <v>0.96000000000000008</v>
      </c>
      <c r="H91" s="6"/>
      <c r="I91" s="6"/>
      <c r="J91" s="6"/>
      <c r="K91" s="6">
        <v>0.03</v>
      </c>
      <c r="L91" s="6"/>
      <c r="M91" s="6">
        <v>0.01</v>
      </c>
      <c r="N91" s="6">
        <f t="shared" si="5"/>
        <v>0</v>
      </c>
      <c r="O91" s="6">
        <f t="shared" si="6"/>
        <v>1</v>
      </c>
      <c r="P91" s="12">
        <f t="shared" si="7"/>
        <v>8871445</v>
      </c>
    </row>
    <row r="92" spans="1:16" ht="15">
      <c r="A92" t="s">
        <v>8</v>
      </c>
      <c r="B92" s="1" t="s">
        <v>122</v>
      </c>
      <c r="C92" s="2">
        <v>6200898</v>
      </c>
      <c r="D92" s="2">
        <v>7639327</v>
      </c>
      <c r="E92" s="2">
        <v>8215313</v>
      </c>
      <c r="F92" s="13">
        <f t="shared" si="4"/>
        <v>0.23197107902758601</v>
      </c>
      <c r="G92" s="6">
        <f>97%+3%</f>
        <v>1</v>
      </c>
      <c r="H92" s="6"/>
      <c r="I92" s="6"/>
      <c r="J92" s="6"/>
      <c r="K92" s="6"/>
      <c r="L92" s="6"/>
      <c r="M92" s="6"/>
      <c r="N92" s="6">
        <f t="shared" si="5"/>
        <v>0</v>
      </c>
      <c r="O92" s="6">
        <f t="shared" si="6"/>
        <v>1</v>
      </c>
      <c r="P92" s="12">
        <f t="shared" si="7"/>
        <v>7639327</v>
      </c>
    </row>
    <row r="93" spans="1:16" ht="15">
      <c r="A93" t="s">
        <v>12</v>
      </c>
      <c r="B93" s="1" t="s">
        <v>234</v>
      </c>
      <c r="C93" s="2">
        <v>6658720</v>
      </c>
      <c r="D93" s="2">
        <v>7018636</v>
      </c>
      <c r="E93" s="2">
        <v>7018636</v>
      </c>
      <c r="F93" s="13">
        <f t="shared" si="4"/>
        <v>5.405182978109907E-2</v>
      </c>
      <c r="G93" s="6"/>
      <c r="H93" s="6"/>
      <c r="I93" s="6"/>
      <c r="J93" s="6"/>
      <c r="K93" s="6"/>
      <c r="L93" s="6"/>
      <c r="M93" s="6"/>
      <c r="N93" s="6">
        <f t="shared" si="5"/>
        <v>1</v>
      </c>
      <c r="O93" s="6">
        <f t="shared" si="6"/>
        <v>1</v>
      </c>
      <c r="P93" s="12">
        <f t="shared" si="7"/>
        <v>7018636</v>
      </c>
    </row>
    <row r="94" spans="1:16" ht="15">
      <c r="A94" t="s">
        <v>5</v>
      </c>
      <c r="B94" s="1" t="s">
        <v>112</v>
      </c>
      <c r="C94" s="2">
        <v>10137449</v>
      </c>
      <c r="D94" s="2">
        <v>9930915</v>
      </c>
      <c r="E94" s="2">
        <v>9985722</v>
      </c>
      <c r="F94" s="13">
        <f t="shared" si="4"/>
        <v>-2.0373370065782822E-2</v>
      </c>
      <c r="G94" s="6">
        <f>51.9%+15.9%+3%+2.6%+1%</f>
        <v>0.74400000000000011</v>
      </c>
      <c r="H94" s="6"/>
      <c r="I94" s="6"/>
      <c r="J94" s="6"/>
      <c r="K94" s="6">
        <v>0.25600000000000001</v>
      </c>
      <c r="L94" s="6"/>
      <c r="M94" s="6"/>
      <c r="N94" s="6">
        <f t="shared" si="5"/>
        <v>0</v>
      </c>
      <c r="O94" s="6">
        <f t="shared" si="6"/>
        <v>1</v>
      </c>
      <c r="P94" s="12">
        <f t="shared" si="7"/>
        <v>9930915</v>
      </c>
    </row>
    <row r="95" spans="1:16" ht="15">
      <c r="A95" t="s">
        <v>18</v>
      </c>
      <c r="B95" s="1" t="s">
        <v>189</v>
      </c>
      <c r="C95" s="2">
        <v>281043</v>
      </c>
      <c r="D95" s="2">
        <v>304367</v>
      </c>
      <c r="E95" s="2">
        <v>319575</v>
      </c>
      <c r="F95" s="13">
        <f t="shared" si="4"/>
        <v>8.2990859050038612E-2</v>
      </c>
      <c r="G95" s="6">
        <f>82.1%+2.4%+2.8%</f>
        <v>0.873</v>
      </c>
      <c r="H95" s="6"/>
      <c r="I95" s="6"/>
      <c r="J95" s="6"/>
      <c r="K95" s="6">
        <f>5.5%+0.9%+2.6%</f>
        <v>0.09</v>
      </c>
      <c r="L95" s="6"/>
      <c r="M95" s="6"/>
      <c r="N95" s="6">
        <f t="shared" si="5"/>
        <v>3.7000000000000033E-2</v>
      </c>
      <c r="O95" s="6">
        <f t="shared" si="6"/>
        <v>1</v>
      </c>
      <c r="P95" s="12">
        <f t="shared" si="7"/>
        <v>304367</v>
      </c>
    </row>
    <row r="96" spans="1:16" ht="15">
      <c r="A96" t="s">
        <v>4</v>
      </c>
      <c r="B96" s="1" t="s">
        <v>37</v>
      </c>
      <c r="C96" s="2">
        <v>1002708291</v>
      </c>
      <c r="D96" s="2">
        <v>1147995898</v>
      </c>
      <c r="E96" s="2">
        <v>1210193422</v>
      </c>
      <c r="F96" s="13">
        <f t="shared" si="4"/>
        <v>0.14489518866459636</v>
      </c>
      <c r="G96" s="6">
        <v>2.3E-2</v>
      </c>
      <c r="H96" s="6">
        <v>0.13400000000000001</v>
      </c>
      <c r="I96" s="6">
        <v>0.80500000000000005</v>
      </c>
      <c r="J96" s="6"/>
      <c r="K96" s="6"/>
      <c r="L96" s="6"/>
      <c r="M96" s="6"/>
      <c r="N96" s="6">
        <f t="shared" si="5"/>
        <v>3.7999999999999923E-2</v>
      </c>
      <c r="O96" s="6">
        <f t="shared" si="6"/>
        <v>1</v>
      </c>
      <c r="P96" s="12">
        <f t="shared" si="7"/>
        <v>1147995898</v>
      </c>
    </row>
    <row r="97" spans="1:16" ht="15">
      <c r="A97" t="s">
        <v>12</v>
      </c>
      <c r="B97" s="1" t="s">
        <v>39</v>
      </c>
      <c r="C97" s="2">
        <v>224138438</v>
      </c>
      <c r="D97" s="2">
        <v>237512355</v>
      </c>
      <c r="E97" s="2">
        <v>237641326</v>
      </c>
      <c r="F97" s="13">
        <f t="shared" si="4"/>
        <v>5.9668110116837703E-2</v>
      </c>
      <c r="G97" s="6">
        <v>8.6999999999999994E-2</v>
      </c>
      <c r="H97" s="6">
        <v>0.86099999999999999</v>
      </c>
      <c r="I97" s="6">
        <v>1.7999999999999999E-2</v>
      </c>
      <c r="J97" s="6"/>
      <c r="K97" s="6">
        <v>3.4000000000000002E-2</v>
      </c>
      <c r="L97" s="6"/>
      <c r="M97" s="6"/>
      <c r="N97" s="6">
        <f t="shared" si="5"/>
        <v>0</v>
      </c>
      <c r="O97" s="6">
        <f t="shared" si="6"/>
        <v>1</v>
      </c>
      <c r="P97" s="12">
        <f t="shared" si="7"/>
        <v>237512355</v>
      </c>
    </row>
    <row r="98" spans="1:16" ht="15">
      <c r="A98" t="s">
        <v>10</v>
      </c>
      <c r="B98" s="1" t="s">
        <v>52</v>
      </c>
      <c r="C98" s="2">
        <v>65660289</v>
      </c>
      <c r="D98" s="2">
        <v>65875223</v>
      </c>
      <c r="E98" s="2">
        <v>76201000</v>
      </c>
      <c r="F98" s="13">
        <f t="shared" si="4"/>
        <v>3.2734245199560422E-3</v>
      </c>
      <c r="G98" s="6"/>
      <c r="H98" s="6">
        <v>0.98</v>
      </c>
      <c r="I98" s="6"/>
      <c r="J98" s="6"/>
      <c r="K98" s="6"/>
      <c r="L98" s="6"/>
      <c r="M98" s="6"/>
      <c r="N98" s="6">
        <f t="shared" si="5"/>
        <v>2.0000000000000018E-2</v>
      </c>
      <c r="O98" s="6">
        <f t="shared" si="6"/>
        <v>1</v>
      </c>
      <c r="P98" s="12">
        <f t="shared" si="7"/>
        <v>65875223</v>
      </c>
    </row>
    <row r="99" spans="1:16" ht="15">
      <c r="A99" t="s">
        <v>10</v>
      </c>
      <c r="B99" s="1" t="s">
        <v>68</v>
      </c>
      <c r="C99" s="2">
        <v>22675617</v>
      </c>
      <c r="D99" s="2">
        <v>28221181</v>
      </c>
      <c r="E99" s="2">
        <v>33330000</v>
      </c>
      <c r="F99" s="13">
        <f t="shared" si="4"/>
        <v>0.2445606661992924</v>
      </c>
      <c r="G99" s="6"/>
      <c r="H99" s="6">
        <v>0.97</v>
      </c>
      <c r="I99" s="6"/>
      <c r="J99" s="6"/>
      <c r="K99" s="6"/>
      <c r="L99" s="6"/>
      <c r="M99" s="6"/>
      <c r="N99" s="6">
        <f t="shared" si="5"/>
        <v>3.0000000000000027E-2</v>
      </c>
      <c r="O99" s="6">
        <f t="shared" si="6"/>
        <v>1</v>
      </c>
      <c r="P99" s="12">
        <f t="shared" si="7"/>
        <v>28221181</v>
      </c>
    </row>
    <row r="100" spans="1:16" ht="15">
      <c r="A100" t="s">
        <v>5</v>
      </c>
      <c r="B100" s="1" t="s">
        <v>142</v>
      </c>
      <c r="C100" s="2">
        <v>3791690</v>
      </c>
      <c r="D100" s="2">
        <v>4156119</v>
      </c>
      <c r="E100" s="2">
        <v>4581269</v>
      </c>
      <c r="F100" s="13">
        <f t="shared" si="4"/>
        <v>9.6112551395288112E-2</v>
      </c>
      <c r="G100" s="6">
        <f>87.4%+2.9%+1.9%</f>
        <v>0.92200000000000015</v>
      </c>
      <c r="H100" s="6"/>
      <c r="I100" s="6"/>
      <c r="J100" s="6"/>
      <c r="K100" s="6">
        <v>3.5999999999999997E-2</v>
      </c>
      <c r="L100" s="6"/>
      <c r="M100" s="6">
        <v>4.2000000000000003E-2</v>
      </c>
      <c r="N100" s="6">
        <f t="shared" si="5"/>
        <v>0</v>
      </c>
      <c r="O100" s="6">
        <f t="shared" si="6"/>
        <v>1.0000000000000002</v>
      </c>
      <c r="P100" s="12">
        <f t="shared" si="7"/>
        <v>4156119.0000000009</v>
      </c>
    </row>
    <row r="101" spans="1:16" ht="15">
      <c r="A101" t="s">
        <v>10</v>
      </c>
      <c r="B101" s="1" t="s">
        <v>124</v>
      </c>
      <c r="C101" s="2">
        <v>5842454</v>
      </c>
      <c r="D101" s="2">
        <v>7112359</v>
      </c>
      <c r="E101" s="2">
        <v>7836300</v>
      </c>
      <c r="F101" s="13">
        <f t="shared" si="4"/>
        <v>0.21735815121522567</v>
      </c>
      <c r="G101" s="6">
        <f>1.7%+0.4%</f>
        <v>2.1000000000000001E-2</v>
      </c>
      <c r="H101" s="6">
        <v>0.16</v>
      </c>
      <c r="I101" s="6"/>
      <c r="J101" s="6"/>
      <c r="K101" s="6">
        <f>1.6%+3.9%</f>
        <v>5.5E-2</v>
      </c>
      <c r="L101" s="6">
        <v>0.76400000000000001</v>
      </c>
      <c r="M101" s="6"/>
      <c r="N101" s="6">
        <f t="shared" si="5"/>
        <v>0</v>
      </c>
      <c r="O101" s="6">
        <f t="shared" si="6"/>
        <v>1</v>
      </c>
      <c r="P101" s="12">
        <f t="shared" si="7"/>
        <v>7112359</v>
      </c>
    </row>
    <row r="102" spans="1:16" ht="15">
      <c r="A102" t="s">
        <v>5</v>
      </c>
      <c r="B102" s="1" t="s">
        <v>57</v>
      </c>
      <c r="C102" s="2">
        <v>57719337</v>
      </c>
      <c r="D102" s="2">
        <v>58145321</v>
      </c>
      <c r="E102" s="2">
        <v>60776531</v>
      </c>
      <c r="F102" s="13">
        <f t="shared" si="4"/>
        <v>7.3802649534938352E-3</v>
      </c>
      <c r="G102" s="6">
        <v>0.9</v>
      </c>
      <c r="H102" s="6"/>
      <c r="I102" s="6"/>
      <c r="J102" s="6"/>
      <c r="K102" s="6"/>
      <c r="L102" s="6"/>
      <c r="M102" s="6"/>
      <c r="N102" s="6">
        <f t="shared" si="5"/>
        <v>9.9999999999999978E-2</v>
      </c>
      <c r="O102" s="6">
        <f t="shared" si="6"/>
        <v>1</v>
      </c>
      <c r="P102" s="12">
        <f t="shared" si="7"/>
        <v>58145321</v>
      </c>
    </row>
    <row r="103" spans="1:16" ht="15">
      <c r="A103" t="s">
        <v>8</v>
      </c>
      <c r="B103" s="1" t="s">
        <v>161</v>
      </c>
      <c r="C103" s="2">
        <v>2652689</v>
      </c>
      <c r="D103" s="2">
        <v>2804332</v>
      </c>
      <c r="E103" s="2">
        <v>2705800</v>
      </c>
      <c r="F103" s="13">
        <f t="shared" si="4"/>
        <v>5.7165766510887631E-2</v>
      </c>
      <c r="G103" s="6">
        <f>62.5%+2.6%</f>
        <v>0.65100000000000002</v>
      </c>
      <c r="H103" s="6"/>
      <c r="I103" s="6"/>
      <c r="J103" s="6"/>
      <c r="K103" s="6">
        <v>0.14199999999999999</v>
      </c>
      <c r="L103" s="6"/>
      <c r="M103" s="6">
        <v>0.20899999999999999</v>
      </c>
      <c r="N103" s="6">
        <f t="shared" si="5"/>
        <v>-2.0000000000000018E-3</v>
      </c>
      <c r="O103" s="6">
        <f t="shared" si="6"/>
        <v>1</v>
      </c>
      <c r="P103" s="12">
        <f t="shared" si="7"/>
        <v>2804332</v>
      </c>
    </row>
    <row r="104" spans="1:16" ht="15">
      <c r="A104" t="s">
        <v>4</v>
      </c>
      <c r="B104" s="1" t="s">
        <v>45</v>
      </c>
      <c r="C104" s="2">
        <v>126699784</v>
      </c>
      <c r="D104" s="2">
        <v>127288419</v>
      </c>
      <c r="E104" s="2">
        <v>127770000</v>
      </c>
      <c r="F104" s="13">
        <f t="shared" si="4"/>
        <v>4.6459037372944536E-3</v>
      </c>
      <c r="G104" s="6"/>
      <c r="H104" s="6"/>
      <c r="I104" s="6"/>
      <c r="J104" s="6">
        <v>0.84</v>
      </c>
      <c r="K104" s="6"/>
      <c r="L104" s="6"/>
      <c r="M104" s="6"/>
      <c r="N104" s="6">
        <f t="shared" si="5"/>
        <v>0.16000000000000003</v>
      </c>
      <c r="O104" s="6">
        <f t="shared" si="6"/>
        <v>1</v>
      </c>
      <c r="P104" s="12">
        <f t="shared" si="7"/>
        <v>127288419</v>
      </c>
    </row>
    <row r="105" spans="1:16" ht="15">
      <c r="A105" t="s">
        <v>5</v>
      </c>
      <c r="B105" s="1" t="s">
        <v>235</v>
      </c>
      <c r="C105" s="2">
        <v>88915</v>
      </c>
      <c r="D105" s="2">
        <v>91427</v>
      </c>
      <c r="E105" s="2">
        <v>91427</v>
      </c>
      <c r="F105" s="13">
        <f t="shared" si="4"/>
        <v>2.8251701062812797E-2</v>
      </c>
      <c r="G105" s="6"/>
      <c r="H105" s="6"/>
      <c r="I105" s="6"/>
      <c r="J105" s="6"/>
      <c r="K105" s="6"/>
      <c r="L105" s="6"/>
      <c r="M105" s="6"/>
      <c r="N105" s="6">
        <f t="shared" si="5"/>
        <v>1</v>
      </c>
      <c r="O105" s="6">
        <f t="shared" si="6"/>
        <v>1</v>
      </c>
      <c r="P105" s="12">
        <f t="shared" si="7"/>
        <v>91427</v>
      </c>
    </row>
    <row r="106" spans="1:16">
      <c r="A106" t="s">
        <v>7</v>
      </c>
      <c r="B106" t="s">
        <v>236</v>
      </c>
      <c r="C106" s="2"/>
      <c r="D106" s="2"/>
      <c r="E106" s="2"/>
      <c r="F106" s="13">
        <v>0</v>
      </c>
      <c r="N106" s="6">
        <f t="shared" si="5"/>
        <v>1</v>
      </c>
      <c r="O106" s="6">
        <f t="shared" si="6"/>
        <v>1</v>
      </c>
      <c r="P106" s="12">
        <f t="shared" si="7"/>
        <v>0</v>
      </c>
    </row>
    <row r="107" spans="1:16" ht="15">
      <c r="A107" t="s">
        <v>10</v>
      </c>
      <c r="B107" s="1" t="s">
        <v>131</v>
      </c>
      <c r="C107" s="2">
        <v>4998564</v>
      </c>
      <c r="D107" s="2">
        <v>6198677</v>
      </c>
      <c r="E107" s="2">
        <v>6275800</v>
      </c>
      <c r="F107" s="13">
        <f t="shared" si="4"/>
        <v>0.24009155429439336</v>
      </c>
      <c r="G107" s="6">
        <v>0.06</v>
      </c>
      <c r="H107" s="6">
        <v>0.92</v>
      </c>
      <c r="I107" s="6"/>
      <c r="J107" s="6"/>
      <c r="K107" s="6"/>
      <c r="L107" s="6"/>
      <c r="M107" s="6"/>
      <c r="N107" s="6">
        <f t="shared" si="5"/>
        <v>2.0000000000000018E-2</v>
      </c>
      <c r="O107" s="6">
        <f t="shared" si="6"/>
        <v>1</v>
      </c>
      <c r="P107" s="12">
        <f t="shared" si="7"/>
        <v>6198677</v>
      </c>
    </row>
    <row r="108" spans="1:16" ht="15">
      <c r="A108" t="s">
        <v>4</v>
      </c>
      <c r="B108" s="1" t="s">
        <v>90</v>
      </c>
      <c r="C108" s="2">
        <v>15032140</v>
      </c>
      <c r="D108" s="2">
        <v>15340533</v>
      </c>
      <c r="E108" s="2">
        <v>16698000</v>
      </c>
      <c r="F108" s="13">
        <f t="shared" si="4"/>
        <v>2.0515575294003382E-2</v>
      </c>
      <c r="G108" s="6">
        <v>0.46</v>
      </c>
      <c r="H108" s="6">
        <v>0.47</v>
      </c>
      <c r="I108" s="6"/>
      <c r="J108" s="6"/>
      <c r="K108" s="6">
        <v>7.0000000000000007E-2</v>
      </c>
      <c r="L108" s="6"/>
      <c r="M108" s="6"/>
      <c r="N108" s="6">
        <f t="shared" si="5"/>
        <v>0</v>
      </c>
      <c r="O108" s="6">
        <f t="shared" si="6"/>
        <v>1</v>
      </c>
      <c r="P108" s="12">
        <f t="shared" si="7"/>
        <v>15340533</v>
      </c>
    </row>
    <row r="109" spans="1:16" ht="15">
      <c r="A109" t="s">
        <v>6</v>
      </c>
      <c r="B109" s="1" t="s">
        <v>64</v>
      </c>
      <c r="C109" s="2">
        <v>29985839</v>
      </c>
      <c r="D109" s="2">
        <v>37953838</v>
      </c>
      <c r="E109" s="2">
        <v>38610097</v>
      </c>
      <c r="F109" s="13">
        <f t="shared" si="4"/>
        <v>0.2657253979119944</v>
      </c>
      <c r="G109" s="6">
        <f>45%+33%</f>
        <v>0.78</v>
      </c>
      <c r="H109" s="6">
        <v>0.1</v>
      </c>
      <c r="I109" s="6"/>
      <c r="J109" s="6"/>
      <c r="K109" s="6">
        <v>0.12</v>
      </c>
      <c r="L109" s="6"/>
      <c r="M109" s="6"/>
      <c r="N109" s="6">
        <f t="shared" si="5"/>
        <v>0</v>
      </c>
      <c r="O109" s="6">
        <f t="shared" si="6"/>
        <v>1</v>
      </c>
      <c r="P109" s="12">
        <f t="shared" si="7"/>
        <v>37953838</v>
      </c>
    </row>
    <row r="110" spans="1:16" ht="15">
      <c r="A110" t="s">
        <v>7</v>
      </c>
      <c r="B110" s="1" t="s">
        <v>199</v>
      </c>
      <c r="C110" s="2">
        <v>91985</v>
      </c>
      <c r="D110" s="2">
        <v>110356</v>
      </c>
      <c r="E110" s="2">
        <v>101000</v>
      </c>
      <c r="F110" s="13">
        <f t="shared" si="4"/>
        <v>0.19971734521932924</v>
      </c>
      <c r="G110" s="6">
        <f>52%+40%</f>
        <v>0.92</v>
      </c>
      <c r="H110" s="6"/>
      <c r="I110" s="6"/>
      <c r="J110" s="6"/>
      <c r="K110" s="6"/>
      <c r="L110" s="6"/>
      <c r="M110" s="6"/>
      <c r="N110" s="6">
        <f t="shared" si="5"/>
        <v>7.999999999999996E-2</v>
      </c>
      <c r="O110" s="6">
        <f t="shared" si="6"/>
        <v>1</v>
      </c>
      <c r="P110" s="12">
        <f t="shared" si="7"/>
        <v>110356</v>
      </c>
    </row>
    <row r="111" spans="1:16" ht="15">
      <c r="A111" t="s">
        <v>4</v>
      </c>
      <c r="B111" s="1" t="s">
        <v>237</v>
      </c>
      <c r="C111" s="2">
        <v>21647682</v>
      </c>
      <c r="D111" s="2">
        <v>22565347</v>
      </c>
      <c r="E111" s="2">
        <v>22565347</v>
      </c>
      <c r="F111" s="13">
        <f t="shared" si="4"/>
        <v>4.2390912800733122E-2</v>
      </c>
      <c r="G111" s="6">
        <v>6.0000000000000002E-6</v>
      </c>
      <c r="H111" s="6"/>
      <c r="I111" s="6"/>
      <c r="J111" s="6"/>
      <c r="K111" s="6"/>
      <c r="L111" s="6"/>
      <c r="M111" s="6"/>
      <c r="N111" s="6">
        <f t="shared" si="5"/>
        <v>0.99999400000000005</v>
      </c>
      <c r="O111" s="6">
        <f t="shared" si="6"/>
        <v>1</v>
      </c>
      <c r="P111" s="12">
        <f t="shared" si="7"/>
        <v>22565347</v>
      </c>
    </row>
    <row r="112" spans="1:16" ht="15">
      <c r="A112" t="s">
        <v>4</v>
      </c>
      <c r="B112" s="1" t="s">
        <v>19</v>
      </c>
      <c r="C112" s="2">
        <v>47261283</v>
      </c>
      <c r="D112" s="2">
        <v>48379392</v>
      </c>
      <c r="E112" s="2">
        <v>48379392</v>
      </c>
      <c r="F112" s="13">
        <f t="shared" si="4"/>
        <v>2.3658033151575678E-2</v>
      </c>
      <c r="G112" s="6">
        <v>0.26300000000000001</v>
      </c>
      <c r="H112" s="6"/>
      <c r="I112" s="6"/>
      <c r="J112" s="6"/>
      <c r="K112" s="6">
        <v>1.3000000000000001E-2</v>
      </c>
      <c r="L112" s="6"/>
      <c r="M112" s="6">
        <v>0.49299999999999999</v>
      </c>
      <c r="N112" s="6">
        <f t="shared" si="5"/>
        <v>0.23099999999999998</v>
      </c>
      <c r="O112" s="6">
        <f t="shared" si="6"/>
        <v>1</v>
      </c>
      <c r="P112" s="12">
        <f t="shared" si="7"/>
        <v>48379392</v>
      </c>
    </row>
    <row r="113" spans="1:16" ht="15">
      <c r="A113" t="s">
        <v>10</v>
      </c>
      <c r="B113" s="1" t="s">
        <v>158</v>
      </c>
      <c r="C113" s="2">
        <v>1973572</v>
      </c>
      <c r="D113" s="2">
        <v>2596799</v>
      </c>
      <c r="E113" s="2">
        <v>2818000</v>
      </c>
      <c r="F113" s="13">
        <f t="shared" si="4"/>
        <v>0.31578630017045234</v>
      </c>
      <c r="G113" s="6"/>
      <c r="H113" s="6">
        <v>0.85</v>
      </c>
      <c r="I113" s="6"/>
      <c r="J113" s="6"/>
      <c r="K113" s="6"/>
      <c r="L113" s="6"/>
      <c r="M113" s="6"/>
      <c r="N113" s="6">
        <f t="shared" si="5"/>
        <v>0.15000000000000002</v>
      </c>
      <c r="O113" s="6">
        <f t="shared" si="6"/>
        <v>1</v>
      </c>
      <c r="P113" s="12">
        <f t="shared" si="7"/>
        <v>2596799</v>
      </c>
    </row>
    <row r="114" spans="1:16" ht="15">
      <c r="A114" t="s">
        <v>4</v>
      </c>
      <c r="B114" s="1" t="s">
        <v>136</v>
      </c>
      <c r="C114" s="2">
        <v>4851054</v>
      </c>
      <c r="D114" s="2">
        <v>5356869</v>
      </c>
      <c r="E114" s="2">
        <v>5477600</v>
      </c>
      <c r="F114" s="13">
        <f t="shared" si="4"/>
        <v>0.10426909286105658</v>
      </c>
      <c r="G114" s="6">
        <v>0.2</v>
      </c>
      <c r="H114" s="6">
        <v>0.75</v>
      </c>
      <c r="I114" s="6"/>
      <c r="J114" s="6"/>
      <c r="K114" s="6">
        <v>0.05</v>
      </c>
      <c r="L114" s="6"/>
      <c r="M114" s="6"/>
      <c r="N114" s="6">
        <f t="shared" si="5"/>
        <v>0</v>
      </c>
      <c r="O114" s="6">
        <f t="shared" si="6"/>
        <v>1</v>
      </c>
      <c r="P114" s="12">
        <f t="shared" si="7"/>
        <v>5356869</v>
      </c>
    </row>
    <row r="115" spans="1:16" ht="15">
      <c r="A115" t="s">
        <v>12</v>
      </c>
      <c r="B115" s="1" t="s">
        <v>129</v>
      </c>
      <c r="C115" s="2">
        <v>5497733</v>
      </c>
      <c r="D115" s="2">
        <v>6677534</v>
      </c>
      <c r="E115" s="2">
        <v>6348800</v>
      </c>
      <c r="F115" s="13">
        <f t="shared" si="4"/>
        <v>0.21459772600815646</v>
      </c>
      <c r="G115" s="6">
        <v>1.4999999999999999E-2</v>
      </c>
      <c r="H115" s="6"/>
      <c r="I115" s="6"/>
      <c r="J115" s="6">
        <v>0.67</v>
      </c>
      <c r="K115" s="6">
        <v>0.315</v>
      </c>
      <c r="L115" s="6"/>
      <c r="M115" s="6"/>
      <c r="N115" s="6">
        <f t="shared" si="5"/>
        <v>0</v>
      </c>
      <c r="O115" s="6">
        <f t="shared" si="6"/>
        <v>1</v>
      </c>
      <c r="P115" s="12">
        <f t="shared" si="7"/>
        <v>6677534</v>
      </c>
    </row>
    <row r="116" spans="1:16" ht="15">
      <c r="A116" t="s">
        <v>5</v>
      </c>
      <c r="B116" s="1" t="s">
        <v>165</v>
      </c>
      <c r="C116" s="2">
        <v>2376178</v>
      </c>
      <c r="D116" s="2">
        <v>2245423</v>
      </c>
      <c r="E116" s="2">
        <v>2049500</v>
      </c>
      <c r="F116" s="13">
        <f t="shared" si="4"/>
        <v>-5.5027443230263054E-2</v>
      </c>
      <c r="G116" s="6">
        <f>19.6%+15.3%+1%</f>
        <v>0.35899999999999999</v>
      </c>
      <c r="H116" s="6"/>
      <c r="I116" s="6"/>
      <c r="J116" s="6"/>
      <c r="K116" s="6"/>
      <c r="L116" s="6">
        <f>10000/2200000</f>
        <v>4.5454545454545452E-3</v>
      </c>
      <c r="M116" s="6"/>
      <c r="N116" s="6">
        <f t="shared" si="5"/>
        <v>0.63645454545454549</v>
      </c>
      <c r="O116" s="6">
        <f t="shared" si="6"/>
        <v>1</v>
      </c>
      <c r="P116" s="12">
        <f t="shared" si="7"/>
        <v>2245423</v>
      </c>
    </row>
    <row r="117" spans="1:16" ht="15">
      <c r="A117" t="s">
        <v>10</v>
      </c>
      <c r="B117" s="1" t="s">
        <v>147</v>
      </c>
      <c r="C117" s="2">
        <v>3578036</v>
      </c>
      <c r="D117" s="2">
        <v>3971941</v>
      </c>
      <c r="E117" s="2">
        <v>4259000</v>
      </c>
      <c r="F117" s="13">
        <f t="shared" si="4"/>
        <v>0.11008972520119976</v>
      </c>
      <c r="G117" s="6">
        <v>0.39</v>
      </c>
      <c r="H117" s="6">
        <v>0.59699999999999998</v>
      </c>
      <c r="I117" s="6"/>
      <c r="J117" s="6"/>
      <c r="K117" s="6"/>
      <c r="L117" s="6"/>
      <c r="M117" s="6"/>
      <c r="N117" s="6">
        <f t="shared" si="5"/>
        <v>1.3000000000000012E-2</v>
      </c>
      <c r="O117" s="6">
        <f t="shared" si="6"/>
        <v>1</v>
      </c>
      <c r="P117" s="12">
        <f t="shared" si="7"/>
        <v>3971941</v>
      </c>
    </row>
    <row r="118" spans="1:16" ht="15">
      <c r="A118" t="s">
        <v>6</v>
      </c>
      <c r="B118" s="1" t="s">
        <v>163</v>
      </c>
      <c r="C118" s="2">
        <v>1846827</v>
      </c>
      <c r="D118" s="2">
        <v>2128180</v>
      </c>
      <c r="E118" s="2">
        <v>2194000</v>
      </c>
      <c r="F118" s="13">
        <f t="shared" si="4"/>
        <v>0.15234399323813222</v>
      </c>
      <c r="G118" s="6">
        <v>0.8</v>
      </c>
      <c r="H118" s="6"/>
      <c r="I118" s="6"/>
      <c r="J118" s="6"/>
      <c r="K118" s="6">
        <v>0.2</v>
      </c>
      <c r="L118" s="6"/>
      <c r="M118" s="6"/>
      <c r="N118" s="6">
        <f t="shared" si="5"/>
        <v>0</v>
      </c>
      <c r="O118" s="6">
        <f t="shared" si="6"/>
        <v>1</v>
      </c>
      <c r="P118" s="12">
        <f t="shared" si="7"/>
        <v>2128180</v>
      </c>
    </row>
    <row r="119" spans="1:16" ht="15">
      <c r="A119" t="s">
        <v>6</v>
      </c>
      <c r="B119" s="1" t="s">
        <v>151</v>
      </c>
      <c r="C119" s="2">
        <v>3148999</v>
      </c>
      <c r="D119" s="2">
        <v>3334587</v>
      </c>
      <c r="E119" s="2">
        <v>3476608</v>
      </c>
      <c r="F119" s="13">
        <f t="shared" si="4"/>
        <v>5.893555380614602E-2</v>
      </c>
      <c r="G119" s="6">
        <v>0.4</v>
      </c>
      <c r="H119" s="6">
        <v>0.2</v>
      </c>
      <c r="I119" s="6"/>
      <c r="J119" s="6"/>
      <c r="K119" s="6">
        <v>0.4</v>
      </c>
      <c r="L119" s="6"/>
      <c r="M119" s="6"/>
      <c r="N119" s="6">
        <f t="shared" si="5"/>
        <v>0</v>
      </c>
      <c r="O119" s="6">
        <f t="shared" si="6"/>
        <v>1</v>
      </c>
      <c r="P119" s="12">
        <f t="shared" si="7"/>
        <v>3334587</v>
      </c>
    </row>
    <row r="120" spans="1:16" ht="15">
      <c r="A120" t="s">
        <v>6</v>
      </c>
      <c r="B120" s="1" t="s">
        <v>128</v>
      </c>
      <c r="C120" s="2">
        <v>5115450</v>
      </c>
      <c r="D120" s="2">
        <v>6173579</v>
      </c>
      <c r="E120" s="2">
        <v>6423000</v>
      </c>
      <c r="F120" s="13">
        <f t="shared" si="4"/>
        <v>0.20684964177149615</v>
      </c>
      <c r="G120" s="6"/>
      <c r="H120" s="6">
        <v>0.97</v>
      </c>
      <c r="I120" s="6"/>
      <c r="J120" s="6"/>
      <c r="K120" s="6">
        <v>0.03</v>
      </c>
      <c r="L120" s="6"/>
      <c r="M120" s="6"/>
      <c r="N120" s="6">
        <f t="shared" si="5"/>
        <v>0</v>
      </c>
      <c r="O120" s="6">
        <f t="shared" si="6"/>
        <v>1</v>
      </c>
      <c r="P120" s="12">
        <f t="shared" si="7"/>
        <v>6173579</v>
      </c>
    </row>
    <row r="121" spans="1:16" ht="15">
      <c r="A121" t="s">
        <v>5</v>
      </c>
      <c r="B121" s="1" t="s">
        <v>208</v>
      </c>
      <c r="C121" s="2">
        <v>32204</v>
      </c>
      <c r="D121" s="2">
        <v>34515</v>
      </c>
      <c r="E121" s="2">
        <v>36157</v>
      </c>
      <c r="F121" s="13">
        <f t="shared" si="4"/>
        <v>7.1761271891690473E-2</v>
      </c>
      <c r="G121" s="6">
        <f>76.2%+7%</f>
        <v>0.83200000000000007</v>
      </c>
      <c r="H121" s="6"/>
      <c r="I121" s="6"/>
      <c r="J121" s="6"/>
      <c r="K121" s="6">
        <v>0.16800000000000001</v>
      </c>
      <c r="L121" s="6"/>
      <c r="M121" s="6"/>
      <c r="N121" s="6">
        <f t="shared" si="5"/>
        <v>0</v>
      </c>
      <c r="O121" s="6">
        <f t="shared" si="6"/>
        <v>1</v>
      </c>
      <c r="P121" s="12">
        <f t="shared" si="7"/>
        <v>34515</v>
      </c>
    </row>
    <row r="122" spans="1:16" ht="15">
      <c r="A122" t="s">
        <v>5</v>
      </c>
      <c r="B122" s="1" t="s">
        <v>156</v>
      </c>
      <c r="C122" s="2">
        <v>3654387</v>
      </c>
      <c r="D122" s="2">
        <v>3565205</v>
      </c>
      <c r="E122" s="2">
        <v>3195700</v>
      </c>
      <c r="F122" s="13">
        <f t="shared" si="4"/>
        <v>-2.4404092943631859E-2</v>
      </c>
      <c r="G122" s="6">
        <f>79%+4.1%+1.9%</f>
        <v>0.85000000000000009</v>
      </c>
      <c r="H122" s="6"/>
      <c r="I122" s="6"/>
      <c r="J122" s="6"/>
      <c r="K122" s="6">
        <v>5.5E-2</v>
      </c>
      <c r="L122" s="6"/>
      <c r="M122" s="6">
        <v>9.5000000000000001E-2</v>
      </c>
      <c r="N122" s="6">
        <f t="shared" si="5"/>
        <v>0</v>
      </c>
      <c r="O122" s="6">
        <f t="shared" si="6"/>
        <v>1.0000000000000002</v>
      </c>
      <c r="P122" s="12">
        <f t="shared" si="7"/>
        <v>3565205.0000000009</v>
      </c>
    </row>
    <row r="123" spans="1:16" ht="15">
      <c r="A123" t="s">
        <v>5</v>
      </c>
      <c r="B123" s="1" t="s">
        <v>185</v>
      </c>
      <c r="C123" s="2">
        <v>438777</v>
      </c>
      <c r="D123" s="2">
        <v>486006</v>
      </c>
      <c r="E123" s="2">
        <v>511840</v>
      </c>
      <c r="F123" s="13">
        <f t="shared" si="4"/>
        <v>0.10763782057856269</v>
      </c>
      <c r="G123" s="6">
        <v>0.87</v>
      </c>
      <c r="H123" s="6"/>
      <c r="I123" s="6"/>
      <c r="J123" s="6"/>
      <c r="K123" s="6"/>
      <c r="L123" s="6"/>
      <c r="M123" s="6"/>
      <c r="N123" s="6">
        <f t="shared" si="5"/>
        <v>0.13</v>
      </c>
      <c r="O123" s="6">
        <f t="shared" si="6"/>
        <v>1</v>
      </c>
      <c r="P123" s="12">
        <f t="shared" si="7"/>
        <v>486006</v>
      </c>
    </row>
    <row r="124" spans="1:16" ht="15">
      <c r="A124" t="s">
        <v>12</v>
      </c>
      <c r="B124" s="1" t="s">
        <v>238</v>
      </c>
      <c r="C124" s="2">
        <v>431338</v>
      </c>
      <c r="D124" s="2">
        <v>545674</v>
      </c>
      <c r="E124" s="2">
        <v>545674</v>
      </c>
      <c r="F124" s="13">
        <f t="shared" si="4"/>
        <v>0.26507286629047289</v>
      </c>
      <c r="G124" s="6"/>
      <c r="H124" s="6"/>
      <c r="I124" s="6"/>
      <c r="J124" s="6">
        <v>0.5</v>
      </c>
      <c r="K124" s="6">
        <v>0.35</v>
      </c>
      <c r="L124" s="6"/>
      <c r="M124" s="6"/>
      <c r="N124" s="6">
        <f t="shared" si="5"/>
        <v>0.15000000000000002</v>
      </c>
      <c r="O124" s="6">
        <f t="shared" si="6"/>
        <v>1</v>
      </c>
      <c r="P124" s="12">
        <f t="shared" si="7"/>
        <v>545674</v>
      </c>
    </row>
    <row r="125" spans="1:16" ht="15">
      <c r="A125" t="s">
        <v>5</v>
      </c>
      <c r="B125" s="1" t="s">
        <v>20</v>
      </c>
      <c r="C125" s="2">
        <v>2014512</v>
      </c>
      <c r="D125" s="2">
        <v>2061315</v>
      </c>
      <c r="E125" s="2">
        <v>2061315</v>
      </c>
      <c r="F125" s="13">
        <f t="shared" si="4"/>
        <v>2.3232921918558937E-2</v>
      </c>
      <c r="G125" s="6">
        <v>0.64700000000000002</v>
      </c>
      <c r="H125" s="6">
        <v>0.33300000000000002</v>
      </c>
      <c r="I125" s="6"/>
      <c r="J125" s="6"/>
      <c r="K125" s="6">
        <v>1.6E-2</v>
      </c>
      <c r="L125" s="6"/>
      <c r="M125" s="6"/>
      <c r="N125" s="6">
        <f t="shared" si="5"/>
        <v>4.0000000000000036E-3</v>
      </c>
      <c r="O125" s="6">
        <f t="shared" si="6"/>
        <v>1</v>
      </c>
      <c r="P125" s="12">
        <f t="shared" si="7"/>
        <v>2061315</v>
      </c>
    </row>
    <row r="126" spans="1:16" ht="15">
      <c r="A126" t="s">
        <v>6</v>
      </c>
      <c r="B126" s="1" t="s">
        <v>83</v>
      </c>
      <c r="C126" s="2">
        <v>15506472</v>
      </c>
      <c r="D126" s="2">
        <v>20042551</v>
      </c>
      <c r="E126" s="2">
        <v>20696070</v>
      </c>
      <c r="F126" s="13">
        <f t="shared" si="4"/>
        <v>0.29252811342257606</v>
      </c>
      <c r="G126" s="6">
        <v>0.41</v>
      </c>
      <c r="H126" s="6">
        <v>7.0000000000000007E-2</v>
      </c>
      <c r="I126" s="6"/>
      <c r="J126" s="6"/>
      <c r="K126" s="6">
        <v>0.52</v>
      </c>
      <c r="L126" s="6"/>
      <c r="M126" s="6"/>
      <c r="N126" s="6">
        <f t="shared" si="5"/>
        <v>0</v>
      </c>
      <c r="O126" s="6">
        <f t="shared" si="6"/>
        <v>1</v>
      </c>
      <c r="P126" s="12">
        <f t="shared" si="7"/>
        <v>20042551</v>
      </c>
    </row>
    <row r="127" spans="1:16" ht="15">
      <c r="A127" t="s">
        <v>6</v>
      </c>
      <c r="B127" s="1" t="s">
        <v>97</v>
      </c>
      <c r="C127" s="2">
        <v>10873591</v>
      </c>
      <c r="D127" s="2">
        <v>13931831</v>
      </c>
      <c r="E127" s="2">
        <v>13077160</v>
      </c>
      <c r="F127" s="13">
        <f t="shared" si="4"/>
        <v>0.28125391142631723</v>
      </c>
      <c r="G127" s="6">
        <v>0.79900000000000004</v>
      </c>
      <c r="H127" s="6">
        <v>0.128</v>
      </c>
      <c r="I127" s="6"/>
      <c r="J127" s="6"/>
      <c r="K127" s="6">
        <v>0.03</v>
      </c>
      <c r="L127" s="6"/>
      <c r="M127" s="6">
        <v>4.2999999999999997E-2</v>
      </c>
      <c r="N127" s="6">
        <f t="shared" si="5"/>
        <v>0</v>
      </c>
      <c r="O127" s="6">
        <f t="shared" si="6"/>
        <v>1</v>
      </c>
      <c r="P127" s="12">
        <f t="shared" si="7"/>
        <v>13931831</v>
      </c>
    </row>
    <row r="128" spans="1:16" ht="15">
      <c r="A128" t="s">
        <v>12</v>
      </c>
      <c r="B128" s="1" t="s">
        <v>72</v>
      </c>
      <c r="C128" s="2">
        <v>21793293</v>
      </c>
      <c r="D128" s="2">
        <v>25274133</v>
      </c>
      <c r="E128" s="2">
        <v>28334135</v>
      </c>
      <c r="F128" s="13">
        <f t="shared" si="4"/>
        <v>0.15972069939132191</v>
      </c>
      <c r="G128" s="6">
        <v>9.0999999999999998E-2</v>
      </c>
      <c r="H128" s="6">
        <v>0.60399999999999998</v>
      </c>
      <c r="I128" s="6">
        <v>6.3E-2</v>
      </c>
      <c r="J128" s="6">
        <v>0.192</v>
      </c>
      <c r="K128" s="6">
        <v>4.1000000000000002E-2</v>
      </c>
      <c r="L128" s="6"/>
      <c r="M128" s="6">
        <v>8.0000000000000002E-3</v>
      </c>
      <c r="N128" s="6">
        <f t="shared" si="5"/>
        <v>1.0000000000000009E-3</v>
      </c>
      <c r="O128" s="6">
        <f t="shared" si="6"/>
        <v>1</v>
      </c>
      <c r="P128" s="12">
        <f t="shared" si="7"/>
        <v>25274133</v>
      </c>
    </row>
    <row r="129" spans="1:16" ht="15">
      <c r="A129" t="s">
        <v>4</v>
      </c>
      <c r="B129" s="1" t="s">
        <v>190</v>
      </c>
      <c r="C129" s="2">
        <v>301475</v>
      </c>
      <c r="D129" s="2">
        <v>385925</v>
      </c>
      <c r="E129" s="2">
        <v>317280</v>
      </c>
      <c r="F129" s="13">
        <f t="shared" si="4"/>
        <v>0.28012272991126957</v>
      </c>
      <c r="G129" s="6"/>
      <c r="H129" s="6">
        <v>1</v>
      </c>
      <c r="I129" s="6"/>
      <c r="J129" s="6"/>
      <c r="K129" s="6"/>
      <c r="L129" s="6"/>
      <c r="M129" s="6"/>
      <c r="N129" s="6">
        <f t="shared" si="5"/>
        <v>0</v>
      </c>
      <c r="O129" s="6">
        <f t="shared" si="6"/>
        <v>1</v>
      </c>
      <c r="P129" s="12">
        <f t="shared" si="7"/>
        <v>385925</v>
      </c>
    </row>
    <row r="130" spans="1:16" ht="15">
      <c r="A130" t="s">
        <v>6</v>
      </c>
      <c r="B130" s="1" t="s">
        <v>94</v>
      </c>
      <c r="C130" s="2">
        <v>10665383</v>
      </c>
      <c r="D130" s="2">
        <v>12324029</v>
      </c>
      <c r="E130" s="2">
        <v>14517176</v>
      </c>
      <c r="F130" s="13">
        <f t="shared" ref="F130:F193" si="8">(D130-C130)/C130</f>
        <v>0.15551677797224911</v>
      </c>
      <c r="G130" s="6">
        <v>0.01</v>
      </c>
      <c r="H130" s="6">
        <v>0.9</v>
      </c>
      <c r="I130" s="6"/>
      <c r="J130" s="6"/>
      <c r="K130" s="6">
        <v>0.09</v>
      </c>
      <c r="L130" s="6"/>
      <c r="M130" s="6"/>
      <c r="N130" s="6">
        <f t="shared" ref="N130:N193" si="9">100%-SUM(G130:M130)</f>
        <v>0</v>
      </c>
      <c r="O130" s="6">
        <f t="shared" ref="O130:O193" si="10">SUM(G130:N130)</f>
        <v>1</v>
      </c>
      <c r="P130" s="12">
        <f t="shared" ref="P130:P193" si="11">D130*O130</f>
        <v>12324029</v>
      </c>
    </row>
    <row r="131" spans="1:16" ht="15">
      <c r="A131" t="s">
        <v>5</v>
      </c>
      <c r="B131" s="1" t="s">
        <v>188</v>
      </c>
      <c r="C131" s="2">
        <v>389947</v>
      </c>
      <c r="D131" s="2">
        <v>403532</v>
      </c>
      <c r="E131" s="2">
        <v>417617</v>
      </c>
      <c r="F131" s="13">
        <f t="shared" si="8"/>
        <v>3.4838067737410466E-2</v>
      </c>
      <c r="G131" s="6">
        <v>0.98</v>
      </c>
      <c r="H131" s="6"/>
      <c r="I131" s="6"/>
      <c r="J131" s="6"/>
      <c r="K131" s="6"/>
      <c r="L131" s="6"/>
      <c r="M131" s="6"/>
      <c r="N131" s="6">
        <f t="shared" si="9"/>
        <v>2.0000000000000018E-2</v>
      </c>
      <c r="O131" s="6">
        <f t="shared" si="10"/>
        <v>1</v>
      </c>
      <c r="P131" s="12">
        <f t="shared" si="11"/>
        <v>403532</v>
      </c>
    </row>
    <row r="132" spans="1:16" ht="15">
      <c r="A132" t="s">
        <v>5</v>
      </c>
      <c r="B132" s="1" t="s">
        <v>239</v>
      </c>
      <c r="C132" s="2">
        <v>73112</v>
      </c>
      <c r="D132" s="2">
        <v>76111</v>
      </c>
      <c r="E132" s="2">
        <v>76111</v>
      </c>
      <c r="F132" s="13">
        <f t="shared" si="8"/>
        <v>4.1019258124521285E-2</v>
      </c>
      <c r="N132" s="6">
        <f t="shared" si="9"/>
        <v>1</v>
      </c>
      <c r="O132" s="6">
        <f t="shared" si="10"/>
        <v>1</v>
      </c>
      <c r="P132" s="12">
        <f t="shared" si="11"/>
        <v>76111</v>
      </c>
    </row>
    <row r="133" spans="1:16" ht="15">
      <c r="A133" t="s">
        <v>7</v>
      </c>
      <c r="B133" s="1" t="s">
        <v>206</v>
      </c>
      <c r="C133" s="2">
        <v>53064</v>
      </c>
      <c r="D133" s="2">
        <v>63174</v>
      </c>
      <c r="E133" s="2">
        <v>54305</v>
      </c>
      <c r="F133" s="13">
        <f t="shared" si="8"/>
        <v>0.19052464947987335</v>
      </c>
      <c r="G133" s="6">
        <f>54.8%+25.8%+8.4%+2.8%+2.1%+3.6%</f>
        <v>0.97499999999999998</v>
      </c>
      <c r="H133" s="6"/>
      <c r="I133" s="6"/>
      <c r="J133" s="6"/>
      <c r="K133" s="6">
        <v>0.01</v>
      </c>
      <c r="L133" s="6"/>
      <c r="M133" s="6">
        <v>1.4999999999999999E-2</v>
      </c>
      <c r="N133" s="6">
        <f t="shared" si="9"/>
        <v>0</v>
      </c>
      <c r="O133" s="6">
        <f t="shared" si="10"/>
        <v>1</v>
      </c>
      <c r="P133" s="12">
        <f t="shared" si="11"/>
        <v>63174</v>
      </c>
    </row>
    <row r="134" spans="1:16" ht="15">
      <c r="A134" t="s">
        <v>8</v>
      </c>
      <c r="B134" s="1" t="s">
        <v>240</v>
      </c>
      <c r="C134" s="2">
        <v>414516</v>
      </c>
      <c r="D134" s="2"/>
      <c r="E134" s="2">
        <f>C134</f>
        <v>414516</v>
      </c>
      <c r="F134" s="13">
        <f t="shared" si="8"/>
        <v>-1</v>
      </c>
      <c r="N134" s="6">
        <f t="shared" si="9"/>
        <v>1</v>
      </c>
      <c r="O134" s="6">
        <f t="shared" si="10"/>
        <v>1</v>
      </c>
      <c r="P134" s="12">
        <f t="shared" si="11"/>
        <v>0</v>
      </c>
    </row>
    <row r="135" spans="1:16" ht="15">
      <c r="A135" t="s">
        <v>6</v>
      </c>
      <c r="B135" s="1" t="s">
        <v>153</v>
      </c>
      <c r="C135" s="2">
        <v>2667859</v>
      </c>
      <c r="D135" s="2">
        <v>3054933</v>
      </c>
      <c r="E135" s="2">
        <v>3340627</v>
      </c>
      <c r="F135" s="13">
        <f t="shared" si="8"/>
        <v>0.14508787758273581</v>
      </c>
      <c r="G135" s="6"/>
      <c r="H135" s="6">
        <v>1</v>
      </c>
      <c r="I135" s="6"/>
      <c r="J135" s="6"/>
      <c r="K135" s="6"/>
      <c r="L135" s="6"/>
      <c r="M135" s="6"/>
      <c r="N135" s="6">
        <f t="shared" si="9"/>
        <v>0</v>
      </c>
      <c r="O135" s="6">
        <f t="shared" si="10"/>
        <v>1</v>
      </c>
      <c r="P135" s="12">
        <f t="shared" si="11"/>
        <v>3054933</v>
      </c>
    </row>
    <row r="136" spans="1:16" ht="15">
      <c r="A136" t="s">
        <v>14</v>
      </c>
      <c r="B136" s="1" t="s">
        <v>172</v>
      </c>
      <c r="C136" s="2">
        <v>1179368</v>
      </c>
      <c r="D136" s="2">
        <v>1274189</v>
      </c>
      <c r="E136" s="2">
        <v>1280924</v>
      </c>
      <c r="F136" s="13">
        <f t="shared" si="8"/>
        <v>8.0399841270917982E-2</v>
      </c>
      <c r="G136" s="6">
        <f>23.6%+8.6%</f>
        <v>0.32200000000000001</v>
      </c>
      <c r="H136" s="6">
        <v>0.16600000000000001</v>
      </c>
      <c r="I136" s="6">
        <v>0.48</v>
      </c>
      <c r="J136" s="6"/>
      <c r="K136" s="6">
        <v>2.5000000000000001E-2</v>
      </c>
      <c r="L136" s="6"/>
      <c r="M136" s="6">
        <v>4.0000000000000001E-3</v>
      </c>
      <c r="N136" s="6">
        <f t="shared" si="9"/>
        <v>3.0000000000000027E-3</v>
      </c>
      <c r="O136" s="6">
        <f t="shared" si="10"/>
        <v>1</v>
      </c>
      <c r="P136" s="12">
        <f t="shared" si="11"/>
        <v>1274189</v>
      </c>
    </row>
    <row r="137" spans="1:16" ht="15">
      <c r="A137" t="s">
        <v>6</v>
      </c>
      <c r="B137" s="1" t="s">
        <v>241</v>
      </c>
      <c r="C137" s="2">
        <v>155911</v>
      </c>
      <c r="D137" s="2">
        <v>216306</v>
      </c>
      <c r="E137" s="2">
        <v>216306</v>
      </c>
      <c r="F137" s="13">
        <f t="shared" si="8"/>
        <v>0.38736843455561187</v>
      </c>
      <c r="G137" s="6">
        <v>0.03</v>
      </c>
      <c r="H137" s="6">
        <v>0.97</v>
      </c>
      <c r="I137" s="6"/>
      <c r="J137" s="6"/>
      <c r="K137" s="6"/>
      <c r="L137" s="6"/>
      <c r="M137" s="6"/>
      <c r="N137" s="6">
        <f t="shared" si="9"/>
        <v>0</v>
      </c>
      <c r="O137" s="6">
        <f t="shared" si="10"/>
        <v>1</v>
      </c>
      <c r="P137" s="12">
        <f t="shared" si="11"/>
        <v>216306</v>
      </c>
    </row>
    <row r="138" spans="1:16" ht="15">
      <c r="A138" t="s">
        <v>11</v>
      </c>
      <c r="B138" s="1" t="s">
        <v>46</v>
      </c>
      <c r="C138" s="2">
        <v>99926620</v>
      </c>
      <c r="D138" s="2">
        <v>109955400</v>
      </c>
      <c r="E138" s="2">
        <v>112336538</v>
      </c>
      <c r="F138" s="13">
        <f t="shared" si="8"/>
        <v>0.10036144522850868</v>
      </c>
      <c r="G138" s="6">
        <f>76.5%+6.3%</f>
        <v>0.82800000000000007</v>
      </c>
      <c r="H138" s="6"/>
      <c r="I138" s="6"/>
      <c r="J138" s="6"/>
      <c r="K138" s="6">
        <v>0.14099999999999999</v>
      </c>
      <c r="L138" s="6"/>
      <c r="M138" s="6">
        <v>3.1E-2</v>
      </c>
      <c r="N138" s="6">
        <f t="shared" si="9"/>
        <v>0</v>
      </c>
      <c r="O138" s="6">
        <f t="shared" si="10"/>
        <v>1</v>
      </c>
      <c r="P138" s="12">
        <f t="shared" si="11"/>
        <v>109955400</v>
      </c>
    </row>
    <row r="139" spans="1:16" ht="15">
      <c r="A139" t="s">
        <v>7</v>
      </c>
      <c r="B139" s="1" t="s">
        <v>242</v>
      </c>
      <c r="C139" s="2">
        <v>107754</v>
      </c>
      <c r="D139" s="2">
        <v>107665</v>
      </c>
      <c r="E139" s="2">
        <v>107665</v>
      </c>
      <c r="F139" s="13">
        <f t="shared" si="8"/>
        <v>-8.2595541696827964E-4</v>
      </c>
      <c r="G139" s="6">
        <f>50%+47%</f>
        <v>0.97</v>
      </c>
      <c r="H139" s="6"/>
      <c r="I139" s="6"/>
      <c r="J139" s="6"/>
      <c r="K139" s="6">
        <v>0.03</v>
      </c>
      <c r="L139" s="6"/>
      <c r="M139" s="6"/>
      <c r="N139" s="6">
        <f t="shared" si="9"/>
        <v>0</v>
      </c>
      <c r="O139" s="6">
        <f t="shared" si="10"/>
        <v>1</v>
      </c>
      <c r="P139" s="12">
        <f t="shared" si="11"/>
        <v>107665</v>
      </c>
    </row>
    <row r="140" spans="1:16" ht="15">
      <c r="A140" t="s">
        <v>5</v>
      </c>
      <c r="B140" s="1" t="s">
        <v>150</v>
      </c>
      <c r="C140" s="2">
        <v>4430654</v>
      </c>
      <c r="D140" s="2">
        <v>4324450</v>
      </c>
      <c r="E140" s="2">
        <v>3560400</v>
      </c>
      <c r="F140" s="13">
        <f t="shared" si="8"/>
        <v>-2.3970276171418486E-2</v>
      </c>
      <c r="G140" s="6">
        <v>0.98499999999999999</v>
      </c>
      <c r="H140" s="6"/>
      <c r="I140" s="6"/>
      <c r="J140" s="6"/>
      <c r="K140" s="6"/>
      <c r="L140" s="6">
        <v>1.4999999999999999E-2</v>
      </c>
      <c r="M140" s="6"/>
      <c r="N140" s="6">
        <f t="shared" si="9"/>
        <v>0</v>
      </c>
      <c r="O140" s="6">
        <f t="shared" si="10"/>
        <v>1</v>
      </c>
      <c r="P140" s="12">
        <f t="shared" si="11"/>
        <v>4324450</v>
      </c>
    </row>
    <row r="141" spans="1:16" ht="15">
      <c r="A141" t="s">
        <v>5</v>
      </c>
      <c r="B141" s="1" t="s">
        <v>209</v>
      </c>
      <c r="C141" s="2">
        <v>31693</v>
      </c>
      <c r="D141" s="2">
        <v>32835</v>
      </c>
      <c r="E141" s="2">
        <v>35881</v>
      </c>
      <c r="F141" s="13">
        <f t="shared" si="8"/>
        <v>3.6033193449657656E-2</v>
      </c>
      <c r="G141" s="6">
        <v>0.9</v>
      </c>
      <c r="H141" s="6"/>
      <c r="I141" s="6"/>
      <c r="J141" s="6"/>
      <c r="K141" s="6">
        <v>0.1</v>
      </c>
      <c r="L141" s="6"/>
      <c r="M141" s="6"/>
      <c r="N141" s="6">
        <f t="shared" si="9"/>
        <v>0</v>
      </c>
      <c r="O141" s="6">
        <f t="shared" si="10"/>
        <v>1</v>
      </c>
      <c r="P141" s="12">
        <f t="shared" si="11"/>
        <v>32835</v>
      </c>
    </row>
    <row r="142" spans="1:16" ht="15">
      <c r="A142" t="s">
        <v>4</v>
      </c>
      <c r="B142" s="1" t="s">
        <v>160</v>
      </c>
      <c r="C142" s="2">
        <v>2600835</v>
      </c>
      <c r="D142" s="2">
        <v>2996081</v>
      </c>
      <c r="E142" s="2">
        <v>2736800</v>
      </c>
      <c r="F142" s="13">
        <f t="shared" si="8"/>
        <v>0.15196888691516378</v>
      </c>
      <c r="G142" s="6"/>
      <c r="H142" s="6">
        <v>0.04</v>
      </c>
      <c r="I142" s="6"/>
      <c r="J142" s="6">
        <v>0.5</v>
      </c>
      <c r="K142" s="6"/>
      <c r="L142" s="6"/>
      <c r="M142" s="6">
        <v>0.4</v>
      </c>
      <c r="N142" s="6">
        <f t="shared" si="9"/>
        <v>5.9999999999999942E-2</v>
      </c>
      <c r="O142" s="6">
        <f t="shared" si="10"/>
        <v>1</v>
      </c>
      <c r="P142" s="12">
        <f t="shared" si="11"/>
        <v>2996081</v>
      </c>
    </row>
    <row r="143" spans="1:16" ht="15">
      <c r="A143" t="s">
        <v>8</v>
      </c>
      <c r="B143" s="1" t="s">
        <v>243</v>
      </c>
      <c r="C143" s="2">
        <v>6409</v>
      </c>
      <c r="D143" s="2">
        <v>5079</v>
      </c>
      <c r="E143" s="2">
        <v>5079</v>
      </c>
      <c r="F143" s="13">
        <f t="shared" si="8"/>
        <v>-0.20752067405211422</v>
      </c>
      <c r="G143" s="6"/>
      <c r="H143" s="6"/>
      <c r="I143" s="6"/>
      <c r="J143" s="6"/>
      <c r="K143" s="6"/>
      <c r="L143" s="6"/>
      <c r="M143" s="6"/>
      <c r="N143" s="6">
        <f t="shared" si="9"/>
        <v>1</v>
      </c>
      <c r="O143" s="6">
        <f t="shared" si="10"/>
        <v>1</v>
      </c>
      <c r="P143" s="12">
        <f t="shared" si="11"/>
        <v>5079</v>
      </c>
    </row>
    <row r="144" spans="1:16" ht="15">
      <c r="A144" t="s">
        <v>6</v>
      </c>
      <c r="B144" s="1" t="s">
        <v>70</v>
      </c>
      <c r="C144" s="2">
        <v>30122350</v>
      </c>
      <c r="D144" s="2">
        <v>34343219</v>
      </c>
      <c r="E144" s="2">
        <v>32490800</v>
      </c>
      <c r="F144" s="13">
        <f t="shared" si="8"/>
        <v>0.14012416029957822</v>
      </c>
      <c r="G144" s="6">
        <v>1.0999999999999999E-2</v>
      </c>
      <c r="H144" s="6">
        <v>0.98699999999999999</v>
      </c>
      <c r="I144" s="6"/>
      <c r="J144" s="6"/>
      <c r="K144" s="6"/>
      <c r="L144" s="6">
        <v>2E-3</v>
      </c>
      <c r="M144" s="6"/>
      <c r="N144" s="6">
        <f t="shared" si="9"/>
        <v>0</v>
      </c>
      <c r="O144" s="6">
        <f t="shared" si="10"/>
        <v>1</v>
      </c>
      <c r="P144" s="12">
        <f t="shared" si="11"/>
        <v>34343219</v>
      </c>
    </row>
    <row r="145" spans="1:16" ht="15.75">
      <c r="A145" t="s">
        <v>6</v>
      </c>
      <c r="B145" s="1" t="s">
        <v>80</v>
      </c>
      <c r="C145" s="2">
        <v>17768457</v>
      </c>
      <c r="D145" s="2">
        <v>21284701</v>
      </c>
      <c r="E145" s="2">
        <v>23049621</v>
      </c>
      <c r="F145" s="13">
        <f t="shared" si="8"/>
        <v>0.19789247878980151</v>
      </c>
      <c r="G145" s="7">
        <f>28.3%+17.5%</f>
        <v>0.45800000000000002</v>
      </c>
      <c r="H145" s="6">
        <v>0.17799999999999999</v>
      </c>
      <c r="I145" s="6"/>
      <c r="J145" s="6"/>
      <c r="K145" s="6">
        <v>0.17799999999999999</v>
      </c>
      <c r="L145" s="6"/>
      <c r="M145" s="6">
        <v>0.23100000000000001</v>
      </c>
      <c r="N145" s="6">
        <f t="shared" si="9"/>
        <v>-4.5000000000000151E-2</v>
      </c>
      <c r="O145" s="6">
        <f t="shared" si="10"/>
        <v>1</v>
      </c>
      <c r="P145" s="12">
        <f t="shared" si="11"/>
        <v>21284701</v>
      </c>
    </row>
    <row r="146" spans="1:16" ht="15">
      <c r="A146" t="s">
        <v>6</v>
      </c>
      <c r="B146" s="1" t="s">
        <v>162</v>
      </c>
      <c r="C146" s="2">
        <v>1905659</v>
      </c>
      <c r="D146" s="2">
        <v>2088669</v>
      </c>
      <c r="E146" s="2">
        <v>2324000</v>
      </c>
      <c r="F146" s="13">
        <f t="shared" si="8"/>
        <v>9.6035019906499541E-2</v>
      </c>
      <c r="G146" s="6">
        <v>0.85</v>
      </c>
      <c r="H146" s="6"/>
      <c r="I146" s="6"/>
      <c r="J146" s="6"/>
      <c r="K146" s="6">
        <v>0.15</v>
      </c>
      <c r="L146" s="6"/>
      <c r="M146" s="6"/>
      <c r="N146" s="6">
        <f t="shared" si="9"/>
        <v>0</v>
      </c>
      <c r="O146" s="6">
        <f t="shared" si="10"/>
        <v>1</v>
      </c>
      <c r="P146" s="12">
        <f t="shared" si="11"/>
        <v>2088669</v>
      </c>
    </row>
    <row r="147" spans="1:16" ht="15">
      <c r="A147" t="s">
        <v>7</v>
      </c>
      <c r="B147" s="1" t="s">
        <v>212</v>
      </c>
      <c r="C147" s="2">
        <v>11845</v>
      </c>
      <c r="D147" s="2">
        <v>13775</v>
      </c>
      <c r="E147" s="2">
        <v>10000</v>
      </c>
      <c r="F147" s="13">
        <f t="shared" si="8"/>
        <v>0.16293794850147741</v>
      </c>
      <c r="G147" s="6">
        <v>0.33200000000000002</v>
      </c>
      <c r="H147" s="6"/>
      <c r="I147" s="6"/>
      <c r="J147" s="6"/>
      <c r="K147" s="6">
        <v>0.14099999999999999</v>
      </c>
      <c r="L147" s="6"/>
      <c r="M147" s="6">
        <v>4.4999999999999998E-2</v>
      </c>
      <c r="N147" s="6">
        <f t="shared" si="9"/>
        <v>0.48199999999999998</v>
      </c>
      <c r="O147" s="6">
        <f t="shared" si="10"/>
        <v>1</v>
      </c>
      <c r="P147" s="12">
        <f t="shared" si="11"/>
        <v>13775</v>
      </c>
    </row>
    <row r="148" spans="1:16" ht="15">
      <c r="A148" t="s">
        <v>4</v>
      </c>
      <c r="B148" s="1" t="s">
        <v>76</v>
      </c>
      <c r="C148" s="2">
        <v>24702119</v>
      </c>
      <c r="D148" s="2">
        <v>28196960</v>
      </c>
      <c r="E148" s="2">
        <v>26620809</v>
      </c>
      <c r="F148" s="13">
        <f t="shared" si="8"/>
        <v>0.14147940101818796</v>
      </c>
      <c r="G148" s="6"/>
      <c r="H148" s="6">
        <v>4.2000000000000003E-2</v>
      </c>
      <c r="I148" s="6">
        <v>0.80600000000000005</v>
      </c>
      <c r="J148" s="6">
        <v>0.107</v>
      </c>
      <c r="K148" s="6">
        <v>8.9999999999999993E-3</v>
      </c>
      <c r="L148" s="6"/>
      <c r="M148" s="6"/>
      <c r="N148" s="6">
        <f t="shared" si="9"/>
        <v>3.5999999999999921E-2</v>
      </c>
      <c r="O148" s="6">
        <f t="shared" si="10"/>
        <v>1</v>
      </c>
      <c r="P148" s="12">
        <f t="shared" si="11"/>
        <v>28196960</v>
      </c>
    </row>
    <row r="149" spans="1:16" ht="15">
      <c r="A149" t="s">
        <v>5</v>
      </c>
      <c r="B149" s="1" t="s">
        <v>89</v>
      </c>
      <c r="C149" s="2">
        <v>15907853</v>
      </c>
      <c r="D149" s="2">
        <v>16645313</v>
      </c>
      <c r="E149" s="2">
        <v>16728091</v>
      </c>
      <c r="F149" s="13">
        <f t="shared" si="8"/>
        <v>4.635823577198004E-2</v>
      </c>
      <c r="G149" s="6">
        <f>30%+11%+6%+3%</f>
        <v>0.5</v>
      </c>
      <c r="H149" s="6">
        <v>5.8000000000000003E-2</v>
      </c>
      <c r="I149" s="6"/>
      <c r="J149" s="6"/>
      <c r="K149" s="6">
        <v>2.1999999999999999E-2</v>
      </c>
      <c r="L149" s="6"/>
      <c r="M149" s="6">
        <v>0.42</v>
      </c>
      <c r="N149" s="6">
        <f t="shared" si="9"/>
        <v>0</v>
      </c>
      <c r="O149" s="6">
        <f t="shared" si="10"/>
        <v>1</v>
      </c>
      <c r="P149" s="12">
        <f t="shared" si="11"/>
        <v>16645313</v>
      </c>
    </row>
    <row r="150" spans="1:16" ht="15">
      <c r="A150" t="s">
        <v>8</v>
      </c>
      <c r="B150" s="1" t="s">
        <v>244</v>
      </c>
      <c r="C150" s="2">
        <v>210134</v>
      </c>
      <c r="D150" s="2">
        <v>225369</v>
      </c>
      <c r="E150" s="2">
        <v>225369</v>
      </c>
      <c r="F150" s="13">
        <f t="shared" si="8"/>
        <v>7.2501356277422976E-2</v>
      </c>
      <c r="G150" s="6">
        <f>72%+4.9%+3.5%+3.1%+2.9%+1.7%+4.2%</f>
        <v>0.92300000000000015</v>
      </c>
      <c r="H150" s="6"/>
      <c r="I150" s="6"/>
      <c r="J150" s="6"/>
      <c r="K150" s="6">
        <v>1.2E-2</v>
      </c>
      <c r="L150" s="6">
        <v>1.2999999999999999E-2</v>
      </c>
      <c r="M150" s="6">
        <v>5.1999999999999998E-2</v>
      </c>
      <c r="N150" s="6">
        <f t="shared" si="9"/>
        <v>0</v>
      </c>
      <c r="O150" s="6">
        <f t="shared" si="10"/>
        <v>1.0000000000000002</v>
      </c>
      <c r="P150" s="12">
        <f t="shared" si="11"/>
        <v>225369.00000000006</v>
      </c>
    </row>
    <row r="151" spans="1:16" ht="15">
      <c r="A151" t="s">
        <v>7</v>
      </c>
      <c r="B151" s="1" t="s">
        <v>245</v>
      </c>
      <c r="C151" s="2">
        <v>201816</v>
      </c>
      <c r="D151" s="2">
        <v>224824</v>
      </c>
      <c r="E151" s="2">
        <v>224824</v>
      </c>
      <c r="F151" s="13">
        <f t="shared" si="8"/>
        <v>0.11400483608831807</v>
      </c>
      <c r="G151" s="6">
        <f>60%+30%</f>
        <v>0.89999999999999991</v>
      </c>
      <c r="H151" s="6"/>
      <c r="I151" s="6"/>
      <c r="J151" s="6"/>
      <c r="K151" s="6">
        <v>0.1</v>
      </c>
      <c r="L151" s="6"/>
      <c r="M151" s="6"/>
      <c r="N151" s="6">
        <f t="shared" si="9"/>
        <v>0</v>
      </c>
      <c r="O151" s="6">
        <f t="shared" si="10"/>
        <v>0.99999999999999989</v>
      </c>
      <c r="P151" s="12">
        <f t="shared" si="11"/>
        <v>224823.99999999997</v>
      </c>
    </row>
    <row r="152" spans="1:16" ht="15.75">
      <c r="A152" t="s">
        <v>7</v>
      </c>
      <c r="B152" s="1" t="s">
        <v>144</v>
      </c>
      <c r="C152" s="2">
        <v>3819762</v>
      </c>
      <c r="D152" s="2">
        <v>4173460</v>
      </c>
      <c r="E152" s="2">
        <v>4488200</v>
      </c>
      <c r="F152" s="13">
        <f t="shared" si="8"/>
        <v>9.2596868600713866E-2</v>
      </c>
      <c r="G152" s="10">
        <f>14.9%+12.4%+10.9%+2.9%+1.7%+1.3%+9.4%</f>
        <v>0.53500000000000003</v>
      </c>
      <c r="H152" s="6"/>
      <c r="I152" s="6"/>
      <c r="J152" s="6"/>
      <c r="K152" s="6">
        <v>0.20499999999999999</v>
      </c>
      <c r="L152" s="6"/>
      <c r="M152" s="6">
        <v>0.26</v>
      </c>
      <c r="N152" s="6">
        <f t="shared" si="9"/>
        <v>0</v>
      </c>
      <c r="O152" s="6">
        <f t="shared" si="10"/>
        <v>1</v>
      </c>
      <c r="P152" s="12">
        <f t="shared" si="11"/>
        <v>4173460</v>
      </c>
    </row>
    <row r="153" spans="1:16" ht="15">
      <c r="A153" t="s">
        <v>8</v>
      </c>
      <c r="B153" s="1" t="s">
        <v>134</v>
      </c>
      <c r="C153" s="2">
        <v>4932420</v>
      </c>
      <c r="D153" s="2">
        <v>5785846</v>
      </c>
      <c r="E153" s="2">
        <v>5815524</v>
      </c>
      <c r="F153" s="13">
        <f t="shared" si="8"/>
        <v>0.17302378953941472</v>
      </c>
      <c r="G153" s="6">
        <f>58.5%+21.6%+1.6%+0.9%</f>
        <v>0.82599999999999996</v>
      </c>
      <c r="H153" s="6"/>
      <c r="I153" s="6"/>
      <c r="J153" s="6"/>
      <c r="K153" s="6">
        <v>1.7000000000000001E-2</v>
      </c>
      <c r="L153" s="6"/>
      <c r="M153" s="6">
        <v>0.157</v>
      </c>
      <c r="N153" s="6">
        <f t="shared" si="9"/>
        <v>0</v>
      </c>
      <c r="O153" s="6">
        <f t="shared" si="10"/>
        <v>1</v>
      </c>
      <c r="P153" s="12">
        <f t="shared" si="11"/>
        <v>5785846</v>
      </c>
    </row>
    <row r="154" spans="1:16" ht="15">
      <c r="A154" t="s">
        <v>6</v>
      </c>
      <c r="B154" s="1" t="s">
        <v>91</v>
      </c>
      <c r="C154" s="2">
        <v>10173661</v>
      </c>
      <c r="D154" s="2">
        <v>14752080</v>
      </c>
      <c r="E154" s="2">
        <v>16274738</v>
      </c>
      <c r="F154" s="13">
        <f t="shared" si="8"/>
        <v>0.45002669147320712</v>
      </c>
      <c r="G154" s="6"/>
      <c r="H154" s="6">
        <v>0.8</v>
      </c>
      <c r="I154" s="6"/>
      <c r="J154" s="6"/>
      <c r="K154" s="6"/>
      <c r="L154" s="6"/>
      <c r="M154" s="6"/>
      <c r="N154" s="6">
        <f t="shared" si="9"/>
        <v>0.19999999999999996</v>
      </c>
      <c r="O154" s="6">
        <f t="shared" si="10"/>
        <v>1</v>
      </c>
      <c r="P154" s="12">
        <f t="shared" si="11"/>
        <v>14752080</v>
      </c>
    </row>
    <row r="155" spans="1:16" ht="15">
      <c r="A155" t="s">
        <v>6</v>
      </c>
      <c r="B155" s="1" t="s">
        <v>42</v>
      </c>
      <c r="C155" s="2">
        <v>114311328</v>
      </c>
      <c r="D155" s="2">
        <v>146255306</v>
      </c>
      <c r="E155" s="2">
        <v>162471000</v>
      </c>
      <c r="F155" s="13">
        <f t="shared" si="8"/>
        <v>0.2794471777985118</v>
      </c>
      <c r="G155" s="6">
        <v>0.4</v>
      </c>
      <c r="H155" s="6">
        <v>0.5</v>
      </c>
      <c r="I155" s="6"/>
      <c r="J155" s="6"/>
      <c r="K155" s="6">
        <v>0.1</v>
      </c>
      <c r="L155" s="6"/>
      <c r="M155" s="6"/>
      <c r="N155" s="6">
        <f t="shared" si="9"/>
        <v>0</v>
      </c>
      <c r="O155" s="6">
        <f t="shared" si="10"/>
        <v>1</v>
      </c>
      <c r="P155" s="12">
        <f t="shared" si="11"/>
        <v>146255306</v>
      </c>
    </row>
    <row r="156" spans="1:16">
      <c r="A156" t="s">
        <v>7</v>
      </c>
      <c r="B156" t="s">
        <v>21</v>
      </c>
      <c r="C156" s="2"/>
      <c r="D156" s="2"/>
      <c r="E156" s="2"/>
      <c r="F156" s="13">
        <v>0</v>
      </c>
      <c r="G156" s="6">
        <f>61.1%+8.8%+7.2%+1.4%</f>
        <v>0.78499999999999992</v>
      </c>
      <c r="H156" s="6"/>
      <c r="I156" s="6"/>
      <c r="J156" s="6"/>
      <c r="K156" s="6">
        <v>0.17100000000000001</v>
      </c>
      <c r="L156" s="6"/>
      <c r="M156" s="6">
        <v>1.9E-2</v>
      </c>
      <c r="N156" s="6">
        <f t="shared" si="9"/>
        <v>2.5000000000000022E-2</v>
      </c>
      <c r="O156" s="6">
        <f t="shared" si="10"/>
        <v>1</v>
      </c>
      <c r="P156" s="12">
        <f t="shared" si="11"/>
        <v>0</v>
      </c>
    </row>
    <row r="157" spans="1:16" ht="15">
      <c r="A157" t="s">
        <v>7</v>
      </c>
      <c r="B157" t="s">
        <v>246</v>
      </c>
      <c r="C157" s="2"/>
      <c r="D157" s="2"/>
      <c r="E157" s="2"/>
      <c r="F157" s="13">
        <v>0</v>
      </c>
      <c r="G157" s="7">
        <f>31.8%+11.5%+10.6%+3.2%+5.6%</f>
        <v>0.627</v>
      </c>
      <c r="H157" s="6"/>
      <c r="I157" s="6"/>
      <c r="J157" s="6"/>
      <c r="K157" s="6">
        <v>0.16600000000000001</v>
      </c>
      <c r="L157" s="6"/>
      <c r="M157" s="6">
        <v>0.19900000000000001</v>
      </c>
      <c r="N157" s="6">
        <f t="shared" si="9"/>
        <v>8.0000000000000071E-3</v>
      </c>
      <c r="O157" s="6">
        <f t="shared" si="10"/>
        <v>1</v>
      </c>
      <c r="P157" s="12">
        <f t="shared" si="11"/>
        <v>0</v>
      </c>
    </row>
    <row r="158" spans="1:16" ht="15">
      <c r="A158" t="s">
        <v>7</v>
      </c>
      <c r="B158" s="1" t="s">
        <v>247</v>
      </c>
      <c r="C158" s="2">
        <v>69706</v>
      </c>
      <c r="D158" s="2">
        <v>86616</v>
      </c>
      <c r="E158" s="2">
        <v>86616</v>
      </c>
      <c r="F158" s="13">
        <f t="shared" si="8"/>
        <v>0.24259030786445929</v>
      </c>
      <c r="G158" s="6"/>
      <c r="H158" s="6"/>
      <c r="I158" s="6"/>
      <c r="J158" s="6"/>
      <c r="K158" s="6"/>
      <c r="L158" s="6"/>
      <c r="M158" s="6"/>
      <c r="N158" s="6">
        <f t="shared" si="9"/>
        <v>1</v>
      </c>
      <c r="O158" s="6">
        <f t="shared" si="10"/>
        <v>1</v>
      </c>
      <c r="P158" s="12">
        <f t="shared" si="11"/>
        <v>86616</v>
      </c>
    </row>
    <row r="159" spans="1:16" ht="15">
      <c r="A159" t="s">
        <v>5</v>
      </c>
      <c r="B159" s="1" t="s">
        <v>141</v>
      </c>
      <c r="C159" s="2">
        <v>4492400</v>
      </c>
      <c r="D159" s="2">
        <v>4644457</v>
      </c>
      <c r="E159" s="2">
        <v>4998500</v>
      </c>
      <c r="F159" s="13">
        <f t="shared" si="8"/>
        <v>3.3847609295699403E-2</v>
      </c>
      <c r="G159" s="6"/>
      <c r="H159" s="6">
        <v>1.7999999999999999E-2</v>
      </c>
      <c r="I159" s="6"/>
      <c r="J159" s="6"/>
      <c r="K159" s="6">
        <v>8.1000000000000003E-2</v>
      </c>
      <c r="L159" s="6"/>
      <c r="M159" s="6"/>
      <c r="N159" s="6">
        <f t="shared" si="9"/>
        <v>0.90100000000000002</v>
      </c>
      <c r="O159" s="6">
        <f t="shared" si="10"/>
        <v>1</v>
      </c>
      <c r="P159" s="12">
        <f t="shared" si="11"/>
        <v>4644457</v>
      </c>
    </row>
    <row r="160" spans="1:16" ht="15">
      <c r="A160" t="s">
        <v>10</v>
      </c>
      <c r="B160" s="1" t="s">
        <v>159</v>
      </c>
      <c r="C160" s="2">
        <v>2533389</v>
      </c>
      <c r="D160" s="2">
        <v>3311640</v>
      </c>
      <c r="E160" s="2">
        <v>2773479</v>
      </c>
      <c r="F160" s="13">
        <f t="shared" si="8"/>
        <v>0.30719759184238976</v>
      </c>
      <c r="G160" s="6"/>
      <c r="H160" s="6">
        <v>0.75</v>
      </c>
      <c r="I160" s="6"/>
      <c r="J160" s="6"/>
      <c r="K160" s="6"/>
      <c r="L160" s="6"/>
      <c r="M160" s="6"/>
      <c r="N160" s="6">
        <f t="shared" si="9"/>
        <v>0.25</v>
      </c>
      <c r="O160" s="6">
        <f t="shared" si="10"/>
        <v>1</v>
      </c>
      <c r="P160" s="12">
        <f t="shared" si="11"/>
        <v>3311640</v>
      </c>
    </row>
    <row r="161" spans="1:16" ht="15">
      <c r="A161" t="s">
        <v>4</v>
      </c>
      <c r="B161" s="1" t="s">
        <v>41</v>
      </c>
      <c r="C161" s="2">
        <v>146342958</v>
      </c>
      <c r="D161" s="2">
        <v>172800051</v>
      </c>
      <c r="E161" s="2">
        <v>178972000</v>
      </c>
      <c r="F161" s="13">
        <f t="shared" si="8"/>
        <v>0.18078828910920333</v>
      </c>
      <c r="G161" s="6"/>
      <c r="H161" s="6">
        <v>0.95</v>
      </c>
      <c r="I161" s="6"/>
      <c r="J161" s="6"/>
      <c r="K161" s="6"/>
      <c r="L161" s="6"/>
      <c r="M161" s="6"/>
      <c r="N161" s="6">
        <f t="shared" si="9"/>
        <v>5.0000000000000044E-2</v>
      </c>
      <c r="O161" s="6">
        <f t="shared" si="10"/>
        <v>1</v>
      </c>
      <c r="P161" s="12">
        <f t="shared" si="11"/>
        <v>172800051</v>
      </c>
    </row>
    <row r="162" spans="1:16" ht="15">
      <c r="A162" t="s">
        <v>7</v>
      </c>
      <c r="B162" s="1" t="s">
        <v>211</v>
      </c>
      <c r="C162" s="2">
        <v>18766</v>
      </c>
      <c r="D162" s="2">
        <v>20701</v>
      </c>
      <c r="E162" s="2">
        <v>21000</v>
      </c>
      <c r="F162" s="13">
        <f t="shared" si="8"/>
        <v>0.10311201108387509</v>
      </c>
      <c r="G162" s="6">
        <f>41.6%+23.3%+5.3%+0.9%+0.6%</f>
        <v>0.71700000000000008</v>
      </c>
      <c r="H162" s="6"/>
      <c r="I162" s="6"/>
      <c r="J162" s="6"/>
      <c r="K162" s="6"/>
      <c r="L162" s="6"/>
      <c r="M162" s="6"/>
      <c r="N162" s="6">
        <f t="shared" si="9"/>
        <v>0.28299999999999992</v>
      </c>
      <c r="O162" s="6">
        <f t="shared" si="10"/>
        <v>1</v>
      </c>
      <c r="P162" s="12">
        <f t="shared" si="11"/>
        <v>20701</v>
      </c>
    </row>
    <row r="163" spans="1:16" ht="15">
      <c r="A163" t="s">
        <v>8</v>
      </c>
      <c r="B163" s="1" t="s">
        <v>152</v>
      </c>
      <c r="C163" s="2">
        <v>2836298</v>
      </c>
      <c r="D163" s="2">
        <v>3309679</v>
      </c>
      <c r="E163" s="2">
        <v>3405813</v>
      </c>
      <c r="F163" s="13">
        <f t="shared" si="8"/>
        <v>0.16690100969644234</v>
      </c>
      <c r="G163" s="6">
        <f>85%+15%</f>
        <v>1</v>
      </c>
      <c r="H163" s="6"/>
      <c r="I163" s="6"/>
      <c r="J163" s="6"/>
      <c r="K163" s="6"/>
      <c r="L163" s="6"/>
      <c r="M163" s="6"/>
      <c r="N163" s="6">
        <f t="shared" si="9"/>
        <v>0</v>
      </c>
      <c r="O163" s="6">
        <f t="shared" si="10"/>
        <v>1</v>
      </c>
      <c r="P163" s="12">
        <f t="shared" si="11"/>
        <v>3309679</v>
      </c>
    </row>
    <row r="164" spans="1:16" ht="15">
      <c r="A164" t="s">
        <v>7</v>
      </c>
      <c r="B164" s="1" t="s">
        <v>127</v>
      </c>
      <c r="C164" s="2">
        <v>4926984</v>
      </c>
      <c r="D164" s="2">
        <v>5931769</v>
      </c>
      <c r="E164" s="2">
        <v>7014000</v>
      </c>
      <c r="F164" s="13">
        <f t="shared" si="8"/>
        <v>0.20393510512719343</v>
      </c>
      <c r="G164" s="6">
        <f>27%+19.5%+11.5%+10%+8.6%+5.2%+3.2%+2.5%+8.9%</f>
        <v>0.96400000000000008</v>
      </c>
      <c r="H164" s="6"/>
      <c r="I164" s="6"/>
      <c r="J164" s="6"/>
      <c r="K164" s="6">
        <f>3.3%+0.3%</f>
        <v>3.6000000000000004E-2</v>
      </c>
      <c r="L164" s="6"/>
      <c r="M164" s="6"/>
      <c r="N164" s="6">
        <f t="shared" si="9"/>
        <v>0</v>
      </c>
      <c r="O164" s="6">
        <f t="shared" si="10"/>
        <v>1</v>
      </c>
      <c r="P164" s="12">
        <f t="shared" si="11"/>
        <v>5931769</v>
      </c>
    </row>
    <row r="165" spans="1:16" ht="15">
      <c r="A165" t="s">
        <v>9</v>
      </c>
      <c r="B165" s="1" t="s">
        <v>130</v>
      </c>
      <c r="C165" s="2">
        <v>5585828</v>
      </c>
      <c r="D165" s="2">
        <v>6831306</v>
      </c>
      <c r="E165" s="2">
        <v>6337127</v>
      </c>
      <c r="F165" s="13">
        <f t="shared" si="8"/>
        <v>0.22297106176559678</v>
      </c>
      <c r="G165" s="6">
        <f>89.6%+6.2%+1.1%</f>
        <v>0.96899999999999997</v>
      </c>
      <c r="H165" s="6"/>
      <c r="I165" s="6"/>
      <c r="J165" s="6"/>
      <c r="K165" s="6">
        <v>1.9E-2</v>
      </c>
      <c r="L165" s="6"/>
      <c r="M165" s="6">
        <v>1.0999999999999999E-2</v>
      </c>
      <c r="N165" s="6">
        <f t="shared" si="9"/>
        <v>1.0000000000000009E-3</v>
      </c>
      <c r="O165" s="6">
        <f t="shared" si="10"/>
        <v>1</v>
      </c>
      <c r="P165" s="12">
        <f t="shared" si="11"/>
        <v>6831306</v>
      </c>
    </row>
    <row r="166" spans="1:16" ht="15">
      <c r="A166" t="s">
        <v>9</v>
      </c>
      <c r="B166" s="1" t="s">
        <v>71</v>
      </c>
      <c r="C166" s="2">
        <v>25979722</v>
      </c>
      <c r="D166" s="2">
        <v>29180899</v>
      </c>
      <c r="E166" s="2">
        <v>29797694</v>
      </c>
      <c r="F166" s="13">
        <f t="shared" si="8"/>
        <v>0.12321829309797849</v>
      </c>
      <c r="G166" s="6">
        <f>81%+1.4%+0.7%</f>
        <v>0.83100000000000007</v>
      </c>
      <c r="H166" s="6"/>
      <c r="I166" s="6"/>
      <c r="J166" s="6"/>
      <c r="K166" s="6">
        <v>0.16900000000000001</v>
      </c>
      <c r="L166" s="6"/>
      <c r="M166" s="6"/>
      <c r="N166" s="6">
        <f t="shared" si="9"/>
        <v>0</v>
      </c>
      <c r="O166" s="6">
        <f t="shared" si="10"/>
        <v>1</v>
      </c>
      <c r="P166" s="12">
        <f t="shared" si="11"/>
        <v>29180899</v>
      </c>
    </row>
    <row r="167" spans="1:16" ht="15">
      <c r="A167" t="s">
        <v>12</v>
      </c>
      <c r="B167" s="1" t="s">
        <v>47</v>
      </c>
      <c r="C167" s="2">
        <v>79739825</v>
      </c>
      <c r="D167" s="2">
        <v>96061683</v>
      </c>
      <c r="E167" s="2">
        <v>94013200</v>
      </c>
      <c r="F167" s="13">
        <f t="shared" si="8"/>
        <v>0.20468891172008466</v>
      </c>
      <c r="G167" s="6">
        <f>80.9%+2.8%+2.3%+4.5%</f>
        <v>0.90500000000000014</v>
      </c>
      <c r="H167" s="6"/>
      <c r="I167" s="6"/>
      <c r="J167" s="6"/>
      <c r="K167" s="6">
        <v>2.4E-2</v>
      </c>
      <c r="L167" s="6"/>
      <c r="M167" s="6">
        <v>1E-3</v>
      </c>
      <c r="N167" s="6">
        <f t="shared" si="9"/>
        <v>6.999999999999984E-2</v>
      </c>
      <c r="O167" s="6">
        <f t="shared" si="10"/>
        <v>1</v>
      </c>
      <c r="P167" s="12">
        <f t="shared" si="11"/>
        <v>96061683</v>
      </c>
    </row>
    <row r="168" spans="1:16">
      <c r="A168" t="s">
        <v>7</v>
      </c>
      <c r="B168" t="s">
        <v>248</v>
      </c>
      <c r="C168" s="2"/>
      <c r="D168" s="2"/>
      <c r="E168" s="2"/>
      <c r="F168" s="13">
        <v>0</v>
      </c>
      <c r="G168" s="6"/>
      <c r="H168" s="6"/>
      <c r="I168" s="6"/>
      <c r="J168" s="6"/>
      <c r="K168" s="6"/>
      <c r="L168" s="6"/>
      <c r="M168" s="6"/>
      <c r="N168" s="6">
        <f t="shared" si="9"/>
        <v>1</v>
      </c>
      <c r="O168" s="6">
        <f t="shared" si="10"/>
        <v>1</v>
      </c>
      <c r="P168" s="12">
        <f t="shared" si="11"/>
        <v>0</v>
      </c>
    </row>
    <row r="169" spans="1:16" ht="15">
      <c r="A169" t="s">
        <v>5</v>
      </c>
      <c r="B169" s="1" t="s">
        <v>65</v>
      </c>
      <c r="C169" s="2">
        <v>38646023</v>
      </c>
      <c r="D169" s="2">
        <v>38500696</v>
      </c>
      <c r="E169" s="2">
        <v>38092000</v>
      </c>
      <c r="F169" s="13">
        <f t="shared" si="8"/>
        <v>-3.7604645631970977E-3</v>
      </c>
      <c r="G169" s="6">
        <f>89.9%+1.3%+0.3%</f>
        <v>0.91500000000000004</v>
      </c>
      <c r="H169" s="6"/>
      <c r="I169" s="6"/>
      <c r="J169" s="6"/>
      <c r="K169" s="6">
        <v>8.5999999999999993E-2</v>
      </c>
      <c r="L169" s="6"/>
      <c r="M169" s="6"/>
      <c r="N169" s="6">
        <f t="shared" si="9"/>
        <v>-1.0000000000001119E-3</v>
      </c>
      <c r="O169" s="6">
        <f t="shared" si="10"/>
        <v>1</v>
      </c>
      <c r="P169" s="12">
        <f t="shared" si="11"/>
        <v>38500696</v>
      </c>
    </row>
    <row r="170" spans="1:16" ht="15">
      <c r="A170" t="s">
        <v>5</v>
      </c>
      <c r="B170" s="1" t="s">
        <v>107</v>
      </c>
      <c r="C170" s="2">
        <v>10335597</v>
      </c>
      <c r="D170" s="2">
        <v>10676910</v>
      </c>
      <c r="E170" s="2">
        <v>10561614</v>
      </c>
      <c r="F170" s="13">
        <f t="shared" si="8"/>
        <v>3.3023056142765628E-2</v>
      </c>
      <c r="G170" s="6">
        <f>84.5%+2.2%</f>
        <v>0.86699999999999999</v>
      </c>
      <c r="H170" s="6"/>
      <c r="I170" s="6"/>
      <c r="J170" s="6"/>
      <c r="K170" s="6">
        <v>9.2999999999999999E-2</v>
      </c>
      <c r="L170" s="6"/>
      <c r="M170" s="6">
        <v>3.9E-2</v>
      </c>
      <c r="N170" s="6">
        <f t="shared" si="9"/>
        <v>1.0000000000000009E-3</v>
      </c>
      <c r="O170" s="6">
        <f t="shared" si="10"/>
        <v>1</v>
      </c>
      <c r="P170" s="12">
        <f t="shared" si="11"/>
        <v>10676910</v>
      </c>
    </row>
    <row r="171" spans="1:16" ht="15">
      <c r="A171" t="s">
        <v>8</v>
      </c>
      <c r="B171" s="1" t="s">
        <v>149</v>
      </c>
      <c r="C171" s="2">
        <v>3815893</v>
      </c>
      <c r="D171" s="2">
        <v>3957098</v>
      </c>
      <c r="E171" s="2">
        <v>3725789</v>
      </c>
      <c r="F171" s="13">
        <f t="shared" si="8"/>
        <v>3.7004444307007563E-2</v>
      </c>
      <c r="G171" s="6">
        <v>0.85</v>
      </c>
      <c r="H171" s="6"/>
      <c r="I171" s="6"/>
      <c r="J171" s="6"/>
      <c r="K171" s="6"/>
      <c r="L171" s="6"/>
      <c r="M171" s="6"/>
      <c r="N171" s="6">
        <f t="shared" si="9"/>
        <v>0.15000000000000002</v>
      </c>
      <c r="O171" s="6">
        <f t="shared" si="10"/>
        <v>1</v>
      </c>
      <c r="P171" s="12">
        <f t="shared" si="11"/>
        <v>3957098</v>
      </c>
    </row>
    <row r="172" spans="1:16" ht="15">
      <c r="A172" t="s">
        <v>10</v>
      </c>
      <c r="B172" s="1" t="s">
        <v>167</v>
      </c>
      <c r="C172" s="2">
        <v>744483</v>
      </c>
      <c r="D172" s="2">
        <v>824789</v>
      </c>
      <c r="E172" s="2">
        <v>1699435</v>
      </c>
      <c r="F172" s="13">
        <f t="shared" si="8"/>
        <v>0.10786814473936947</v>
      </c>
      <c r="G172" s="6">
        <v>8.5000000000000006E-2</v>
      </c>
      <c r="H172" s="6">
        <v>0.77500000000000002</v>
      </c>
      <c r="I172" s="6"/>
      <c r="J172" s="6"/>
      <c r="K172" s="6">
        <v>0.14000000000000001</v>
      </c>
      <c r="L172" s="6"/>
      <c r="M172" s="6"/>
      <c r="N172" s="6">
        <f t="shared" si="9"/>
        <v>0</v>
      </c>
      <c r="O172" s="6">
        <f t="shared" si="10"/>
        <v>1</v>
      </c>
      <c r="P172" s="12">
        <f t="shared" si="11"/>
        <v>824789</v>
      </c>
    </row>
    <row r="173" spans="1:16" ht="15">
      <c r="A173" t="s">
        <v>22</v>
      </c>
      <c r="B173" s="1" t="s">
        <v>249</v>
      </c>
      <c r="C173" s="2">
        <v>720934</v>
      </c>
      <c r="D173" s="2"/>
      <c r="E173" s="2"/>
      <c r="F173" s="13">
        <f t="shared" si="8"/>
        <v>-1</v>
      </c>
      <c r="N173" s="6">
        <f t="shared" si="9"/>
        <v>1</v>
      </c>
      <c r="O173" s="6">
        <f t="shared" si="10"/>
        <v>1</v>
      </c>
      <c r="P173" s="12">
        <f t="shared" si="11"/>
        <v>0</v>
      </c>
    </row>
    <row r="174" spans="1:16" ht="15.75">
      <c r="A174" t="s">
        <v>5</v>
      </c>
      <c r="B174" s="1" t="s">
        <v>87</v>
      </c>
      <c r="C174" s="2">
        <v>22451921</v>
      </c>
      <c r="D174" s="2">
        <v>22246862</v>
      </c>
      <c r="E174" s="2">
        <v>19042936</v>
      </c>
      <c r="F174" s="13">
        <f t="shared" si="8"/>
        <v>-9.1332496671442942E-3</v>
      </c>
      <c r="G174" s="7">
        <f>86.8%+7.5%+4.7%</f>
        <v>0.99</v>
      </c>
      <c r="H174" s="6"/>
      <c r="I174" s="6"/>
      <c r="J174" s="6"/>
      <c r="K174" s="6"/>
      <c r="L174" s="6"/>
      <c r="M174" s="6"/>
      <c r="N174" s="6">
        <f t="shared" si="9"/>
        <v>1.0000000000000009E-2</v>
      </c>
      <c r="O174" s="6">
        <f t="shared" si="10"/>
        <v>1</v>
      </c>
      <c r="P174" s="12">
        <f t="shared" si="11"/>
        <v>22246862</v>
      </c>
    </row>
    <row r="175" spans="1:16" ht="15">
      <c r="A175" t="s">
        <v>4</v>
      </c>
      <c r="B175" s="1" t="s">
        <v>43</v>
      </c>
      <c r="C175" s="2">
        <v>146731774</v>
      </c>
      <c r="D175" s="2">
        <v>140702094</v>
      </c>
      <c r="E175" s="2">
        <v>143030106</v>
      </c>
      <c r="F175" s="13">
        <f t="shared" si="8"/>
        <v>-4.1093212707971484E-2</v>
      </c>
      <c r="G175" s="6">
        <f>17%+2%</f>
        <v>0.19</v>
      </c>
      <c r="H175" s="6">
        <v>0.125</v>
      </c>
      <c r="I175" s="6"/>
      <c r="J175" s="6"/>
      <c r="K175" s="6"/>
      <c r="L175" s="6"/>
      <c r="M175" s="6"/>
      <c r="N175" s="6">
        <f t="shared" si="9"/>
        <v>0.68500000000000005</v>
      </c>
      <c r="O175" s="6">
        <f t="shared" si="10"/>
        <v>1</v>
      </c>
      <c r="P175" s="12">
        <f t="shared" si="11"/>
        <v>140702094</v>
      </c>
    </row>
    <row r="176" spans="1:16" ht="15">
      <c r="A176" t="s">
        <v>6</v>
      </c>
      <c r="B176" s="1" t="s">
        <v>105</v>
      </c>
      <c r="C176" s="2">
        <v>7507056</v>
      </c>
      <c r="D176" s="2">
        <v>10186063</v>
      </c>
      <c r="E176" s="2">
        <v>10718379</v>
      </c>
      <c r="F176" s="13">
        <f t="shared" si="8"/>
        <v>0.35686519455829291</v>
      </c>
      <c r="G176" s="6">
        <f>56.5%+26%+11.1%</f>
        <v>0.93599999999999994</v>
      </c>
      <c r="H176" s="6">
        <v>4.5999999999999999E-2</v>
      </c>
      <c r="I176" s="6"/>
      <c r="J176" s="6"/>
      <c r="K176" s="6">
        <v>1E-3</v>
      </c>
      <c r="L176" s="6"/>
      <c r="M176" s="6">
        <v>1.7000000000000001E-2</v>
      </c>
      <c r="N176" s="6">
        <f t="shared" si="9"/>
        <v>0</v>
      </c>
      <c r="O176" s="6">
        <f t="shared" si="10"/>
        <v>1</v>
      </c>
      <c r="P176" s="12">
        <f t="shared" si="11"/>
        <v>10186063</v>
      </c>
    </row>
    <row r="177" spans="1:16" ht="15">
      <c r="A177" t="s">
        <v>6</v>
      </c>
      <c r="B177" s="1" t="s">
        <v>250</v>
      </c>
      <c r="C177" s="2">
        <v>7212</v>
      </c>
      <c r="D177" s="2">
        <v>7601</v>
      </c>
      <c r="E177" s="2">
        <v>7601</v>
      </c>
      <c r="F177" s="13">
        <f t="shared" si="8"/>
        <v>5.3937881308929563E-2</v>
      </c>
      <c r="G177" s="6"/>
      <c r="H177" s="6"/>
      <c r="I177" s="6"/>
      <c r="J177" s="6"/>
      <c r="K177" s="6"/>
      <c r="L177" s="6"/>
      <c r="M177" s="6"/>
      <c r="N177" s="6">
        <f t="shared" si="9"/>
        <v>1</v>
      </c>
      <c r="O177" s="6">
        <f t="shared" si="10"/>
        <v>1</v>
      </c>
      <c r="P177" s="12">
        <f t="shared" si="11"/>
        <v>7601</v>
      </c>
    </row>
    <row r="178" spans="1:16" ht="15">
      <c r="A178" t="s">
        <v>8</v>
      </c>
      <c r="B178" s="1" t="s">
        <v>207</v>
      </c>
      <c r="C178" s="2">
        <v>38819</v>
      </c>
      <c r="D178" s="2">
        <v>39817</v>
      </c>
      <c r="E178" s="2">
        <v>51970</v>
      </c>
      <c r="F178" s="13">
        <f t="shared" si="8"/>
        <v>2.5709059996393519E-2</v>
      </c>
      <c r="G178" s="6"/>
      <c r="H178" s="6"/>
      <c r="I178" s="6"/>
      <c r="J178" s="6"/>
      <c r="K178" s="6"/>
      <c r="L178" s="6"/>
      <c r="M178" s="6"/>
      <c r="N178" s="6">
        <f t="shared" si="9"/>
        <v>1</v>
      </c>
      <c r="O178" s="6">
        <f t="shared" si="10"/>
        <v>1</v>
      </c>
      <c r="P178" s="12">
        <f t="shared" si="11"/>
        <v>39817</v>
      </c>
    </row>
    <row r="179" spans="1:16" ht="15">
      <c r="A179" t="s">
        <v>8</v>
      </c>
      <c r="B179" s="1" t="s">
        <v>196</v>
      </c>
      <c r="C179" s="2">
        <v>156260</v>
      </c>
      <c r="D179" s="2">
        <v>159585</v>
      </c>
      <c r="E179" s="2">
        <v>166526</v>
      </c>
      <c r="F179" s="13">
        <f t="shared" si="8"/>
        <v>2.1278638167157301E-2</v>
      </c>
      <c r="G179" s="6">
        <f>67.5%+8.5%+5.7%+2%+2%+5.1%</f>
        <v>0.90800000000000014</v>
      </c>
      <c r="H179" s="6"/>
      <c r="I179" s="6"/>
      <c r="J179" s="6"/>
      <c r="K179" s="6">
        <v>2.5999999999999999E-2</v>
      </c>
      <c r="L179" s="6"/>
      <c r="M179" s="6">
        <v>4.4999999999999998E-2</v>
      </c>
      <c r="N179" s="6">
        <f t="shared" si="9"/>
        <v>2.0999999999999797E-2</v>
      </c>
      <c r="O179" s="6">
        <f t="shared" si="10"/>
        <v>1</v>
      </c>
      <c r="P179" s="12">
        <f t="shared" si="11"/>
        <v>159585</v>
      </c>
    </row>
    <row r="180" spans="1:16" ht="15">
      <c r="A180" t="s">
        <v>11</v>
      </c>
      <c r="B180" s="1" t="s">
        <v>251</v>
      </c>
      <c r="C180" s="2">
        <v>6896</v>
      </c>
      <c r="D180" s="2">
        <v>7044</v>
      </c>
      <c r="E180" s="2">
        <v>7044</v>
      </c>
      <c r="F180" s="13">
        <f t="shared" si="8"/>
        <v>2.1461716937354988E-2</v>
      </c>
      <c r="G180" s="6">
        <v>0.99</v>
      </c>
      <c r="H180" s="6"/>
      <c r="I180" s="6"/>
      <c r="J180" s="6"/>
      <c r="K180" s="6">
        <v>0.01</v>
      </c>
      <c r="L180" s="6"/>
      <c r="M180" s="6"/>
      <c r="N180" s="6">
        <f t="shared" si="9"/>
        <v>0</v>
      </c>
      <c r="O180" s="6">
        <f t="shared" si="10"/>
        <v>1</v>
      </c>
      <c r="P180" s="12">
        <f t="shared" si="11"/>
        <v>7044</v>
      </c>
    </row>
    <row r="181" spans="1:16" ht="15">
      <c r="A181" t="s">
        <v>8</v>
      </c>
      <c r="B181" s="1" t="s">
        <v>200</v>
      </c>
      <c r="C181" s="2">
        <v>115461</v>
      </c>
      <c r="D181" s="2">
        <v>104938</v>
      </c>
      <c r="E181" s="2">
        <v>100892</v>
      </c>
      <c r="F181" s="13">
        <f t="shared" si="8"/>
        <v>-9.1138999315786284E-2</v>
      </c>
      <c r="G181" s="6">
        <f>47%+28%+13%</f>
        <v>0.88</v>
      </c>
      <c r="H181" s="6"/>
      <c r="I181" s="6"/>
      <c r="J181" s="6"/>
      <c r="K181" s="6"/>
      <c r="L181" s="6"/>
      <c r="M181" s="6"/>
      <c r="N181" s="6">
        <f t="shared" si="9"/>
        <v>0.12</v>
      </c>
      <c r="O181" s="6">
        <f t="shared" si="10"/>
        <v>1</v>
      </c>
      <c r="P181" s="12">
        <f t="shared" si="11"/>
        <v>104938</v>
      </c>
    </row>
    <row r="182" spans="1:16" ht="15">
      <c r="A182" t="s">
        <v>7</v>
      </c>
      <c r="B182" s="1" t="s">
        <v>195</v>
      </c>
      <c r="C182" s="2">
        <v>179466</v>
      </c>
      <c r="D182" s="2">
        <v>217083</v>
      </c>
      <c r="E182" s="2">
        <v>184032</v>
      </c>
      <c r="F182" s="13">
        <f t="shared" si="8"/>
        <v>0.20960516198054227</v>
      </c>
      <c r="G182" s="6"/>
      <c r="H182" s="6"/>
      <c r="I182" s="6"/>
      <c r="J182" s="6"/>
      <c r="K182" s="6">
        <v>0.02</v>
      </c>
      <c r="L182" s="6"/>
      <c r="M182" s="6"/>
      <c r="N182" s="6">
        <f t="shared" si="9"/>
        <v>0.98</v>
      </c>
      <c r="O182" s="6">
        <f t="shared" si="10"/>
        <v>1</v>
      </c>
      <c r="P182" s="12">
        <f t="shared" si="11"/>
        <v>217083</v>
      </c>
    </row>
    <row r="183" spans="1:16" ht="15">
      <c r="A183" t="s">
        <v>5</v>
      </c>
      <c r="B183" s="1" t="s">
        <v>210</v>
      </c>
      <c r="C183" s="2">
        <v>26937</v>
      </c>
      <c r="D183" s="2">
        <v>29973</v>
      </c>
      <c r="E183" s="2">
        <v>32252</v>
      </c>
      <c r="F183" s="13">
        <f t="shared" si="8"/>
        <v>0.11270742844414745</v>
      </c>
      <c r="G183" s="6"/>
      <c r="H183" s="6"/>
      <c r="I183" s="6"/>
      <c r="J183" s="6"/>
      <c r="K183" s="6"/>
      <c r="L183" s="6"/>
      <c r="M183" s="6"/>
      <c r="N183" s="6">
        <f t="shared" si="9"/>
        <v>1</v>
      </c>
      <c r="O183" s="6">
        <f t="shared" si="10"/>
        <v>1</v>
      </c>
      <c r="P183" s="12">
        <f t="shared" si="11"/>
        <v>29973</v>
      </c>
    </row>
    <row r="184" spans="1:16" ht="15.75">
      <c r="A184" t="s">
        <v>6</v>
      </c>
      <c r="B184" s="1" t="s">
        <v>252</v>
      </c>
      <c r="C184" s="2">
        <v>159883</v>
      </c>
      <c r="D184" s="2">
        <v>206178</v>
      </c>
      <c r="E184" s="2">
        <v>206178</v>
      </c>
      <c r="F184" s="13">
        <f t="shared" si="8"/>
        <v>0.28955548745019793</v>
      </c>
      <c r="G184" s="7">
        <f>70.3%+3.4%+3.8%</f>
        <v>0.77500000000000002</v>
      </c>
      <c r="H184" s="6"/>
      <c r="I184" s="6"/>
      <c r="J184" s="6"/>
      <c r="K184" s="6">
        <v>3.1E-2</v>
      </c>
      <c r="L184" s="6"/>
      <c r="M184" s="6">
        <v>0.19400000000000001</v>
      </c>
      <c r="N184" s="6">
        <f t="shared" si="9"/>
        <v>0</v>
      </c>
      <c r="O184" s="6">
        <f t="shared" si="10"/>
        <v>1</v>
      </c>
      <c r="P184" s="12">
        <f t="shared" si="11"/>
        <v>206178</v>
      </c>
    </row>
    <row r="185" spans="1:16" ht="15">
      <c r="A185" t="s">
        <v>10</v>
      </c>
      <c r="B185" s="1" t="s">
        <v>75</v>
      </c>
      <c r="C185" s="2">
        <v>23153090</v>
      </c>
      <c r="D185" s="2">
        <v>28146657</v>
      </c>
      <c r="E185" s="2">
        <v>27136977</v>
      </c>
      <c r="F185" s="13">
        <f t="shared" si="8"/>
        <v>0.21567605015140529</v>
      </c>
      <c r="G185" s="6"/>
      <c r="H185" s="6">
        <v>1</v>
      </c>
      <c r="I185" s="6"/>
      <c r="J185" s="6"/>
      <c r="K185" s="6"/>
      <c r="L185" s="6"/>
      <c r="M185" s="6"/>
      <c r="N185" s="6">
        <f t="shared" si="9"/>
        <v>0</v>
      </c>
      <c r="O185" s="6">
        <f t="shared" si="10"/>
        <v>1</v>
      </c>
      <c r="P185" s="12">
        <f t="shared" si="11"/>
        <v>28146657</v>
      </c>
    </row>
    <row r="186" spans="1:16" ht="15">
      <c r="A186" t="s">
        <v>6</v>
      </c>
      <c r="B186" s="1" t="s">
        <v>99</v>
      </c>
      <c r="C186" s="2">
        <v>9784325</v>
      </c>
      <c r="D186" s="2">
        <v>13343424</v>
      </c>
      <c r="E186" s="2">
        <v>12855153</v>
      </c>
      <c r="F186" s="13">
        <f t="shared" si="8"/>
        <v>0.36375519006165474</v>
      </c>
      <c r="G186" s="6">
        <v>0.05</v>
      </c>
      <c r="H186" s="6">
        <v>0.94</v>
      </c>
      <c r="I186" s="6"/>
      <c r="J186" s="6"/>
      <c r="K186" s="6">
        <v>0.01</v>
      </c>
      <c r="L186" s="6"/>
      <c r="M186" s="6"/>
      <c r="N186" s="6">
        <f t="shared" si="9"/>
        <v>0</v>
      </c>
      <c r="O186" s="6">
        <f t="shared" si="10"/>
        <v>1</v>
      </c>
      <c r="P186" s="12">
        <f t="shared" si="11"/>
        <v>13343424</v>
      </c>
    </row>
    <row r="187" spans="1:16" ht="15">
      <c r="A187" t="s">
        <v>5</v>
      </c>
      <c r="B187" s="1" t="s">
        <v>253</v>
      </c>
      <c r="C187" s="2">
        <v>10850210</v>
      </c>
      <c r="D187" s="2"/>
      <c r="E187" s="2">
        <f>C187</f>
        <v>10850210</v>
      </c>
      <c r="F187" s="13">
        <f t="shared" si="8"/>
        <v>-1</v>
      </c>
      <c r="N187" s="6">
        <f t="shared" si="9"/>
        <v>1</v>
      </c>
      <c r="O187" s="6">
        <f t="shared" si="10"/>
        <v>1</v>
      </c>
      <c r="P187" s="12">
        <f t="shared" si="11"/>
        <v>0</v>
      </c>
    </row>
    <row r="188" spans="1:16" ht="15">
      <c r="A188" t="s">
        <v>6</v>
      </c>
      <c r="B188" s="1" t="s">
        <v>201</v>
      </c>
      <c r="C188" s="2">
        <v>79326</v>
      </c>
      <c r="D188" s="2">
        <v>86595</v>
      </c>
      <c r="E188" s="2">
        <v>90945</v>
      </c>
      <c r="F188" s="13">
        <f t="shared" si="8"/>
        <v>9.163452083806066E-2</v>
      </c>
      <c r="G188" s="6">
        <f>82.3%+6.4%+1.1%+3.4%</f>
        <v>0.93200000000000005</v>
      </c>
      <c r="H188" s="6">
        <v>1.0999999999999999E-2</v>
      </c>
      <c r="I188" s="6">
        <v>2.1000000000000001E-2</v>
      </c>
      <c r="J188" s="6"/>
      <c r="K188" s="6">
        <v>1.4999999999999999E-2</v>
      </c>
      <c r="L188" s="6"/>
      <c r="M188" s="6">
        <v>6.0000000000000001E-3</v>
      </c>
      <c r="N188" s="6">
        <f t="shared" si="9"/>
        <v>1.4999999999999902E-2</v>
      </c>
      <c r="O188" s="6">
        <f t="shared" si="10"/>
        <v>1</v>
      </c>
      <c r="P188" s="12">
        <f t="shared" si="11"/>
        <v>86595</v>
      </c>
    </row>
    <row r="189" spans="1:16" ht="15">
      <c r="A189" t="s">
        <v>6</v>
      </c>
      <c r="B189" s="1" t="s">
        <v>133</v>
      </c>
      <c r="C189" s="2">
        <v>5202659</v>
      </c>
      <c r="D189" s="2">
        <v>6294774</v>
      </c>
      <c r="E189" s="2">
        <v>5997000</v>
      </c>
      <c r="F189" s="13">
        <f t="shared" si="8"/>
        <v>0.20991477627113367</v>
      </c>
      <c r="G189" s="6">
        <v>0.1</v>
      </c>
      <c r="H189" s="6">
        <v>0.6</v>
      </c>
      <c r="I189" s="6"/>
      <c r="J189" s="6"/>
      <c r="K189" s="6">
        <v>0.3</v>
      </c>
      <c r="L189" s="6"/>
      <c r="M189" s="6"/>
      <c r="N189" s="6">
        <f t="shared" si="9"/>
        <v>0</v>
      </c>
      <c r="O189" s="6">
        <f t="shared" si="10"/>
        <v>1</v>
      </c>
      <c r="P189" s="12">
        <f t="shared" si="11"/>
        <v>6294774</v>
      </c>
    </row>
    <row r="190" spans="1:16" ht="15">
      <c r="A190" t="s">
        <v>12</v>
      </c>
      <c r="B190" s="1" t="s">
        <v>139</v>
      </c>
      <c r="C190" s="2">
        <v>4036753</v>
      </c>
      <c r="D190" s="2">
        <v>4608167</v>
      </c>
      <c r="E190" s="2">
        <v>5183700</v>
      </c>
      <c r="F190" s="13">
        <f t="shared" si="8"/>
        <v>0.14155287677992684</v>
      </c>
      <c r="G190" s="6">
        <f>4.8%+9.8%</f>
        <v>0.14600000000000002</v>
      </c>
      <c r="H190" s="6">
        <v>0.14899999999999999</v>
      </c>
      <c r="I190" s="6">
        <v>0.04</v>
      </c>
      <c r="J190" s="6">
        <v>0.42499999999999999</v>
      </c>
      <c r="K190" s="6">
        <f>8.5%+0.7%</f>
        <v>9.1999999999999998E-2</v>
      </c>
      <c r="L190" s="6"/>
      <c r="M190" s="6">
        <v>0.14799999999999999</v>
      </c>
      <c r="N190" s="6">
        <f t="shared" si="9"/>
        <v>0</v>
      </c>
      <c r="O190" s="6">
        <f t="shared" si="10"/>
        <v>1</v>
      </c>
      <c r="P190" s="12">
        <f t="shared" si="11"/>
        <v>4608167</v>
      </c>
    </row>
    <row r="191" spans="1:16" ht="15">
      <c r="A191" t="s">
        <v>5</v>
      </c>
      <c r="B191" s="1" t="s">
        <v>137</v>
      </c>
      <c r="C191" s="2">
        <v>5400320</v>
      </c>
      <c r="D191" s="2">
        <v>5455407</v>
      </c>
      <c r="E191" s="2">
        <v>5445324</v>
      </c>
      <c r="F191" s="13">
        <f t="shared" si="8"/>
        <v>1.0200691810855653E-2</v>
      </c>
      <c r="G191" s="6">
        <f>68.9%+10.8%+4.1%</f>
        <v>0.83800000000000008</v>
      </c>
      <c r="H191" s="6"/>
      <c r="I191" s="6"/>
      <c r="J191" s="6"/>
      <c r="K191" s="6">
        <v>3.2000000000000001E-2</v>
      </c>
      <c r="L191" s="6"/>
      <c r="M191" s="6">
        <v>0.13</v>
      </c>
      <c r="N191" s="6">
        <f t="shared" si="9"/>
        <v>0</v>
      </c>
      <c r="O191" s="6">
        <f t="shared" si="10"/>
        <v>1</v>
      </c>
      <c r="P191" s="12">
        <f t="shared" si="11"/>
        <v>5455407</v>
      </c>
    </row>
    <row r="192" spans="1:16" ht="15.75">
      <c r="A192" t="s">
        <v>5</v>
      </c>
      <c r="B192" s="1" t="s">
        <v>164</v>
      </c>
      <c r="C192" s="2">
        <v>2010557</v>
      </c>
      <c r="D192" s="2">
        <v>2007711</v>
      </c>
      <c r="E192" s="2">
        <v>2057020</v>
      </c>
      <c r="F192" s="13">
        <f t="shared" si="8"/>
        <v>-1.4155281347407709E-3</v>
      </c>
      <c r="G192" s="7">
        <f>57.8%+2.3%+0.9%</f>
        <v>0.61</v>
      </c>
      <c r="H192" s="6">
        <v>2.4E-2</v>
      </c>
      <c r="I192" s="6"/>
      <c r="J192" s="6"/>
      <c r="K192" s="6">
        <v>3.5000000000000003E-2</v>
      </c>
      <c r="L192" s="6"/>
      <c r="M192" s="6">
        <v>0.10100000000000001</v>
      </c>
      <c r="N192" s="6">
        <f t="shared" si="9"/>
        <v>0.22999999999999998</v>
      </c>
      <c r="O192" s="6">
        <f t="shared" si="10"/>
        <v>1</v>
      </c>
      <c r="P192" s="12">
        <f t="shared" si="11"/>
        <v>2007711</v>
      </c>
    </row>
    <row r="193" spans="1:16" ht="15">
      <c r="A193" t="s">
        <v>7</v>
      </c>
      <c r="B193" s="1" t="s">
        <v>183</v>
      </c>
      <c r="C193" s="2">
        <v>466194</v>
      </c>
      <c r="D193" s="2">
        <v>581318</v>
      </c>
      <c r="E193" s="2">
        <v>542287</v>
      </c>
      <c r="F193" s="13">
        <f t="shared" si="8"/>
        <v>0.24694440511889901</v>
      </c>
      <c r="G193" s="6"/>
      <c r="H193" s="6"/>
      <c r="I193" s="6"/>
      <c r="J193" s="6"/>
      <c r="K193" s="6">
        <v>2.7E-2</v>
      </c>
      <c r="L193" s="6"/>
      <c r="M193" s="6">
        <v>2E-3</v>
      </c>
      <c r="N193" s="6">
        <f t="shared" si="9"/>
        <v>0.97099999999999997</v>
      </c>
      <c r="O193" s="6">
        <f t="shared" si="10"/>
        <v>1</v>
      </c>
      <c r="P193" s="12">
        <f t="shared" si="11"/>
        <v>581318</v>
      </c>
    </row>
    <row r="194" spans="1:16" ht="15">
      <c r="A194" t="s">
        <v>6</v>
      </c>
      <c r="B194" s="1" t="s">
        <v>113</v>
      </c>
      <c r="C194" s="2">
        <v>7253137</v>
      </c>
      <c r="D194" s="2">
        <v>9558666</v>
      </c>
      <c r="E194" s="2">
        <v>9557000</v>
      </c>
      <c r="F194" s="13">
        <f t="shared" ref="F194:F236" si="12">(D194-C194)/C194</f>
        <v>0.31786646246996297</v>
      </c>
      <c r="G194" s="6"/>
      <c r="H194" s="6">
        <v>0.85</v>
      </c>
      <c r="I194" s="6"/>
      <c r="J194" s="6"/>
      <c r="K194" s="6"/>
      <c r="L194" s="6"/>
      <c r="M194" s="6"/>
      <c r="N194" s="6">
        <f t="shared" ref="N194:N236" si="13">100%-SUM(G194:M194)</f>
        <v>0.15000000000000002</v>
      </c>
      <c r="O194" s="6">
        <f t="shared" ref="O194:O236" si="14">SUM(G194:N194)</f>
        <v>1</v>
      </c>
      <c r="P194" s="12">
        <f t="shared" ref="P194:P236" si="15">D194*O194</f>
        <v>9558666</v>
      </c>
    </row>
    <row r="195" spans="1:16" ht="15">
      <c r="A195" t="s">
        <v>6</v>
      </c>
      <c r="B195" s="1" t="s">
        <v>58</v>
      </c>
      <c r="C195" s="2">
        <v>44066197</v>
      </c>
      <c r="D195" s="2">
        <v>48782755</v>
      </c>
      <c r="E195" s="2">
        <v>50586757</v>
      </c>
      <c r="F195" s="13">
        <f t="shared" si="12"/>
        <v>0.10703347057609713</v>
      </c>
      <c r="G195" s="6">
        <f>11.1%+8.2%+7.1%+6.8%+6.7%+3.8%</f>
        <v>0.437</v>
      </c>
      <c r="H195" s="6">
        <v>1.4999999999999999E-2</v>
      </c>
      <c r="I195" s="6"/>
      <c r="J195" s="6"/>
      <c r="K195" s="6">
        <v>3.6999999999999998E-2</v>
      </c>
      <c r="L195" s="6"/>
      <c r="M195" s="6">
        <v>0.151</v>
      </c>
      <c r="N195" s="6">
        <f t="shared" si="13"/>
        <v>0.36</v>
      </c>
      <c r="O195" s="6">
        <f t="shared" si="14"/>
        <v>1</v>
      </c>
      <c r="P195" s="12">
        <f t="shared" si="15"/>
        <v>48782755</v>
      </c>
    </row>
    <row r="196" spans="1:16" ht="15">
      <c r="A196" t="s">
        <v>5</v>
      </c>
      <c r="B196" s="1" t="s">
        <v>60</v>
      </c>
      <c r="C196" s="2">
        <v>40016081</v>
      </c>
      <c r="D196" s="2">
        <v>40491051</v>
      </c>
      <c r="E196" s="2">
        <v>46196278</v>
      </c>
      <c r="F196" s="13">
        <f t="shared" si="12"/>
        <v>1.1869478173037485E-2</v>
      </c>
      <c r="G196" s="6">
        <v>0.94</v>
      </c>
      <c r="H196" s="6"/>
      <c r="I196" s="6"/>
      <c r="J196" s="6"/>
      <c r="K196" s="6">
        <v>0.06</v>
      </c>
      <c r="L196" s="6"/>
      <c r="M196" s="6"/>
      <c r="N196" s="6">
        <f t="shared" si="13"/>
        <v>0</v>
      </c>
      <c r="O196" s="6">
        <f t="shared" si="14"/>
        <v>1</v>
      </c>
      <c r="P196" s="12">
        <f t="shared" si="15"/>
        <v>40491051</v>
      </c>
    </row>
    <row r="197" spans="1:16" ht="15">
      <c r="A197" t="s">
        <v>4</v>
      </c>
      <c r="B197" s="1" t="s">
        <v>84</v>
      </c>
      <c r="C197" s="2">
        <v>19238575</v>
      </c>
      <c r="D197" s="2">
        <v>21128773</v>
      </c>
      <c r="E197" s="2">
        <v>20653000</v>
      </c>
      <c r="F197" s="13">
        <f t="shared" si="12"/>
        <v>9.8250416156082251E-2</v>
      </c>
      <c r="G197" s="6">
        <v>6.2E-2</v>
      </c>
      <c r="H197" s="6">
        <v>7.5999999999999998E-2</v>
      </c>
      <c r="I197" s="6">
        <v>7.0999999999999994E-2</v>
      </c>
      <c r="J197" s="6">
        <v>0.69099999999999995</v>
      </c>
      <c r="K197" s="6">
        <v>0.1</v>
      </c>
      <c r="L197" s="6"/>
      <c r="M197" s="6"/>
      <c r="N197" s="6">
        <f t="shared" si="13"/>
        <v>0</v>
      </c>
      <c r="O197" s="6">
        <f t="shared" si="14"/>
        <v>0.99999999999999989</v>
      </c>
      <c r="P197" s="12">
        <f t="shared" si="15"/>
        <v>21128772.999999996</v>
      </c>
    </row>
    <row r="198" spans="1:16" ht="15">
      <c r="A198" t="s">
        <v>6</v>
      </c>
      <c r="B198" s="1" t="s">
        <v>254</v>
      </c>
      <c r="C198" s="2">
        <v>35079814</v>
      </c>
      <c r="D198" s="2">
        <v>40218455</v>
      </c>
      <c r="E198" s="2">
        <v>40218455</v>
      </c>
      <c r="F198" s="13">
        <f t="shared" si="12"/>
        <v>0.14648427155286514</v>
      </c>
      <c r="G198" s="6">
        <v>0.05</v>
      </c>
      <c r="H198" s="6">
        <v>0.7</v>
      </c>
      <c r="I198" s="6"/>
      <c r="J198" s="6"/>
      <c r="K198" s="6">
        <v>0.25</v>
      </c>
      <c r="L198" s="6"/>
      <c r="M198" s="6"/>
      <c r="N198" s="6">
        <f t="shared" si="13"/>
        <v>0</v>
      </c>
      <c r="O198" s="6">
        <f t="shared" si="14"/>
        <v>1</v>
      </c>
      <c r="P198" s="12">
        <f t="shared" si="15"/>
        <v>40218455</v>
      </c>
    </row>
    <row r="199" spans="1:16" ht="15">
      <c r="A199" t="s">
        <v>9</v>
      </c>
      <c r="B199" s="1" t="s">
        <v>184</v>
      </c>
      <c r="C199" s="2">
        <v>429323</v>
      </c>
      <c r="D199" s="2">
        <v>475996</v>
      </c>
      <c r="E199" s="2">
        <v>529000</v>
      </c>
      <c r="F199" s="13">
        <f t="shared" si="12"/>
        <v>0.10871302026679214</v>
      </c>
      <c r="G199" s="6"/>
      <c r="H199" s="6">
        <v>0.19600000000000001</v>
      </c>
      <c r="I199" s="6">
        <v>0.27400000000000002</v>
      </c>
      <c r="J199" s="6"/>
      <c r="K199" s="6">
        <v>0.05</v>
      </c>
      <c r="L199" s="6"/>
      <c r="M199" s="6"/>
      <c r="N199" s="6">
        <f t="shared" si="13"/>
        <v>0.48</v>
      </c>
      <c r="O199" s="6">
        <f t="shared" si="14"/>
        <v>1</v>
      </c>
      <c r="P199" s="12">
        <f t="shared" si="15"/>
        <v>475996</v>
      </c>
    </row>
    <row r="200" spans="1:16">
      <c r="A200" t="s">
        <v>18</v>
      </c>
      <c r="B200" t="s">
        <v>255</v>
      </c>
      <c r="C200" s="2"/>
      <c r="D200" s="2"/>
      <c r="E200" s="2"/>
      <c r="F200" s="13">
        <v>0</v>
      </c>
      <c r="N200" s="6">
        <f t="shared" si="13"/>
        <v>1</v>
      </c>
      <c r="O200" s="6">
        <f t="shared" si="14"/>
        <v>1</v>
      </c>
      <c r="P200" s="12">
        <f t="shared" si="15"/>
        <v>0</v>
      </c>
    </row>
    <row r="201" spans="1:16" ht="15">
      <c r="A201" t="s">
        <v>6</v>
      </c>
      <c r="B201" s="1" t="s">
        <v>174</v>
      </c>
      <c r="C201" s="2">
        <v>1120183</v>
      </c>
      <c r="D201" s="2">
        <v>1128814</v>
      </c>
      <c r="E201" s="2">
        <v>1203000</v>
      </c>
      <c r="F201" s="13">
        <f t="shared" si="12"/>
        <v>7.7049910594965288E-3</v>
      </c>
      <c r="G201" s="6"/>
      <c r="H201" s="6">
        <v>0.1</v>
      </c>
      <c r="I201" s="6"/>
      <c r="J201" s="6"/>
      <c r="K201" s="6"/>
      <c r="L201" s="6"/>
      <c r="M201" s="6"/>
      <c r="N201" s="6">
        <f t="shared" si="13"/>
        <v>0.9</v>
      </c>
      <c r="O201" s="6">
        <f t="shared" si="14"/>
        <v>1</v>
      </c>
      <c r="P201" s="12">
        <f t="shared" si="15"/>
        <v>1128814</v>
      </c>
    </row>
    <row r="202" spans="1:16" ht="15">
      <c r="A202" t="s">
        <v>5</v>
      </c>
      <c r="B202" s="1" t="s">
        <v>114</v>
      </c>
      <c r="C202" s="2">
        <v>8923569</v>
      </c>
      <c r="D202" s="2">
        <v>9045389</v>
      </c>
      <c r="E202" s="2">
        <v>9486591</v>
      </c>
      <c r="F202" s="13">
        <f t="shared" si="12"/>
        <v>1.3651488546791088E-2</v>
      </c>
      <c r="G202" s="6">
        <v>0.87</v>
      </c>
      <c r="H202" s="6">
        <v>0.05</v>
      </c>
      <c r="I202" s="6"/>
      <c r="J202" s="6"/>
      <c r="K202" s="6"/>
      <c r="L202" s="6"/>
      <c r="M202" s="6"/>
      <c r="N202" s="6">
        <f t="shared" si="13"/>
        <v>7.999999999999996E-2</v>
      </c>
      <c r="O202" s="6">
        <f t="shared" si="14"/>
        <v>1</v>
      </c>
      <c r="P202" s="12">
        <f t="shared" si="15"/>
        <v>9045389</v>
      </c>
    </row>
    <row r="203" spans="1:16" ht="15">
      <c r="A203" t="s">
        <v>5</v>
      </c>
      <c r="B203" s="1" t="s">
        <v>123</v>
      </c>
      <c r="C203" s="2">
        <v>7266920</v>
      </c>
      <c r="D203" s="2">
        <v>7581520</v>
      </c>
      <c r="E203" s="2">
        <v>7870100</v>
      </c>
      <c r="F203" s="13">
        <f t="shared" si="12"/>
        <v>4.329206871687042E-2</v>
      </c>
      <c r="G203" s="6">
        <f>41.8%+35.3%+1.8%+0.4%</f>
        <v>0.79299999999999993</v>
      </c>
      <c r="H203" s="6">
        <v>4.2999999999999997E-2</v>
      </c>
      <c r="I203" s="6"/>
      <c r="J203" s="6"/>
      <c r="K203" s="6">
        <v>5.2999999999999999E-2</v>
      </c>
      <c r="L203" s="6"/>
      <c r="M203" s="6">
        <v>0.111</v>
      </c>
      <c r="N203" s="6">
        <f t="shared" si="13"/>
        <v>0</v>
      </c>
      <c r="O203" s="6">
        <f t="shared" si="14"/>
        <v>1</v>
      </c>
      <c r="P203" s="12">
        <f t="shared" si="15"/>
        <v>7581520</v>
      </c>
    </row>
    <row r="204" spans="1:16" ht="15">
      <c r="A204" t="s">
        <v>10</v>
      </c>
      <c r="B204" s="1" t="s">
        <v>82</v>
      </c>
      <c r="C204" s="2">
        <v>16305659</v>
      </c>
      <c r="D204" s="2">
        <v>19747586</v>
      </c>
      <c r="E204" s="2">
        <v>21480000</v>
      </c>
      <c r="F204" s="13">
        <f t="shared" si="12"/>
        <v>0.21108788059409314</v>
      </c>
      <c r="G204" s="6">
        <v>0.1</v>
      </c>
      <c r="H204" s="6">
        <f>74%+16%</f>
        <v>0.9</v>
      </c>
      <c r="I204" s="6"/>
      <c r="J204" s="6"/>
      <c r="K204" s="6"/>
      <c r="L204" s="6"/>
      <c r="M204" s="6"/>
      <c r="N204" s="6">
        <f t="shared" si="13"/>
        <v>0</v>
      </c>
      <c r="O204" s="6">
        <f t="shared" si="14"/>
        <v>1</v>
      </c>
      <c r="P204" s="12">
        <f t="shared" si="15"/>
        <v>19747586</v>
      </c>
    </row>
    <row r="205" spans="1:16" ht="15">
      <c r="A205" t="s">
        <v>12</v>
      </c>
      <c r="B205" s="1" t="s">
        <v>256</v>
      </c>
      <c r="C205" s="2">
        <v>22151237</v>
      </c>
      <c r="D205" s="2">
        <v>22920946</v>
      </c>
      <c r="E205" s="2">
        <v>22920946</v>
      </c>
      <c r="F205" s="13">
        <f t="shared" si="12"/>
        <v>3.474790143773912E-2</v>
      </c>
      <c r="G205" s="6">
        <v>4.4999999999999998E-2</v>
      </c>
      <c r="H205" s="6"/>
      <c r="I205" s="6"/>
      <c r="J205" s="6">
        <v>0.93</v>
      </c>
      <c r="K205" s="6">
        <v>2.5000000000000001E-2</v>
      </c>
      <c r="L205" s="6"/>
      <c r="M205" s="6"/>
      <c r="N205" s="6">
        <f t="shared" si="13"/>
        <v>0</v>
      </c>
      <c r="O205" s="6">
        <f t="shared" si="14"/>
        <v>1</v>
      </c>
      <c r="P205" s="12">
        <f t="shared" si="15"/>
        <v>22920946</v>
      </c>
    </row>
    <row r="206" spans="1:16" ht="15">
      <c r="A206" t="s">
        <v>4</v>
      </c>
      <c r="B206" s="1" t="s">
        <v>125</v>
      </c>
      <c r="C206" s="2">
        <v>6440732</v>
      </c>
      <c r="D206" s="2">
        <v>7211884</v>
      </c>
      <c r="E206" s="2">
        <v>7616000</v>
      </c>
      <c r="F206" s="13">
        <f t="shared" si="12"/>
        <v>0.11973049026104486</v>
      </c>
      <c r="G206" s="6"/>
      <c r="H206" s="6">
        <f>85%+5%</f>
        <v>0.9</v>
      </c>
      <c r="I206" s="6"/>
      <c r="J206" s="6"/>
      <c r="K206" s="6">
        <v>0.1</v>
      </c>
      <c r="L206" s="6"/>
      <c r="M206" s="6"/>
      <c r="N206" s="6">
        <f t="shared" si="13"/>
        <v>0</v>
      </c>
      <c r="O206" s="6">
        <f t="shared" si="14"/>
        <v>1</v>
      </c>
      <c r="P206" s="12">
        <f t="shared" si="15"/>
        <v>7211884</v>
      </c>
    </row>
    <row r="207" spans="1:16" ht="15">
      <c r="A207" t="s">
        <v>6</v>
      </c>
      <c r="B207" s="1" t="s">
        <v>62</v>
      </c>
      <c r="C207" s="2">
        <v>33065142</v>
      </c>
      <c r="D207" s="2">
        <v>40213162</v>
      </c>
      <c r="E207" s="2">
        <v>43188000</v>
      </c>
      <c r="F207" s="13">
        <f t="shared" si="12"/>
        <v>0.2161799274898018</v>
      </c>
      <c r="G207" s="6">
        <v>0.3</v>
      </c>
      <c r="H207" s="6">
        <v>0.35</v>
      </c>
      <c r="I207" s="6"/>
      <c r="J207" s="6"/>
      <c r="K207" s="6">
        <v>0.35</v>
      </c>
      <c r="L207" s="6"/>
      <c r="M207" s="6"/>
      <c r="N207" s="6">
        <f t="shared" si="13"/>
        <v>0</v>
      </c>
      <c r="O207" s="6">
        <f t="shared" si="14"/>
        <v>0.99999999999999989</v>
      </c>
      <c r="P207" s="12">
        <f t="shared" si="15"/>
        <v>40213161.999999993</v>
      </c>
    </row>
    <row r="208" spans="1:16" ht="15">
      <c r="A208" t="s">
        <v>12</v>
      </c>
      <c r="B208" s="1" t="s">
        <v>54</v>
      </c>
      <c r="C208" s="2">
        <v>62352043</v>
      </c>
      <c r="D208" s="2">
        <v>65493298</v>
      </c>
      <c r="E208" s="2">
        <v>65926261</v>
      </c>
      <c r="F208" s="13">
        <f t="shared" si="12"/>
        <v>5.0379343624714912E-2</v>
      </c>
      <c r="G208" s="6">
        <v>7.0000000000000001E-3</v>
      </c>
      <c r="H208" s="6">
        <v>4.5999999999999999E-2</v>
      </c>
      <c r="I208" s="6"/>
      <c r="J208" s="6">
        <v>0.94599999999999995</v>
      </c>
      <c r="K208" s="6">
        <v>1E-3</v>
      </c>
      <c r="L208" s="6"/>
      <c r="M208" s="6"/>
      <c r="N208" s="6">
        <f t="shared" si="13"/>
        <v>0</v>
      </c>
      <c r="O208" s="6">
        <f t="shared" si="14"/>
        <v>1</v>
      </c>
      <c r="P208" s="12">
        <f t="shared" si="15"/>
        <v>65493298</v>
      </c>
    </row>
    <row r="209" spans="1:16" ht="15">
      <c r="A209" t="s">
        <v>6</v>
      </c>
      <c r="B209" s="1" t="s">
        <v>135</v>
      </c>
      <c r="C209" s="2">
        <v>5032783</v>
      </c>
      <c r="D209" s="2">
        <v>5858673</v>
      </c>
      <c r="E209" s="2">
        <v>5753324</v>
      </c>
      <c r="F209" s="13">
        <f t="shared" si="12"/>
        <v>0.16410204850874754</v>
      </c>
      <c r="G209" s="6">
        <v>0.28999999999999998</v>
      </c>
      <c r="H209" s="6">
        <v>0.2</v>
      </c>
      <c r="I209" s="6"/>
      <c r="J209" s="6"/>
      <c r="K209" s="6">
        <v>0.51</v>
      </c>
      <c r="L209" s="6"/>
      <c r="M209" s="6"/>
      <c r="N209" s="6">
        <f t="shared" si="13"/>
        <v>0</v>
      </c>
      <c r="O209" s="6">
        <f t="shared" si="14"/>
        <v>1</v>
      </c>
      <c r="P209" s="12">
        <f t="shared" si="15"/>
        <v>5858673</v>
      </c>
    </row>
    <row r="210" spans="1:16">
      <c r="A210" t="s">
        <v>7</v>
      </c>
      <c r="B210" t="s">
        <v>257</v>
      </c>
      <c r="C210" s="2"/>
      <c r="D210" s="2"/>
      <c r="E210" s="2"/>
      <c r="F210" s="13">
        <v>0</v>
      </c>
      <c r="G210" s="6">
        <v>0.98</v>
      </c>
      <c r="H210" s="6"/>
      <c r="I210" s="6"/>
      <c r="J210" s="6"/>
      <c r="K210" s="6">
        <v>0.02</v>
      </c>
      <c r="L210" s="6"/>
      <c r="M210" s="6"/>
      <c r="N210" s="6">
        <f t="shared" si="13"/>
        <v>0</v>
      </c>
      <c r="O210" s="6">
        <f t="shared" si="14"/>
        <v>1</v>
      </c>
      <c r="P210" s="12">
        <f t="shared" si="15"/>
        <v>0</v>
      </c>
    </row>
    <row r="211" spans="1:16" ht="15">
      <c r="A211" t="s">
        <v>7</v>
      </c>
      <c r="B211" s="1" t="s">
        <v>198</v>
      </c>
      <c r="C211" s="2">
        <v>102321</v>
      </c>
      <c r="D211" s="2">
        <v>119009</v>
      </c>
      <c r="E211" s="2">
        <v>103036</v>
      </c>
      <c r="F211" s="13">
        <f t="shared" si="12"/>
        <v>0.16309457491619511</v>
      </c>
      <c r="G211" s="6"/>
      <c r="H211" s="6"/>
      <c r="I211" s="6"/>
      <c r="J211" s="6"/>
      <c r="K211" s="6"/>
      <c r="L211" s="6"/>
      <c r="M211" s="6"/>
      <c r="N211" s="6">
        <f t="shared" si="13"/>
        <v>1</v>
      </c>
      <c r="O211" s="6">
        <f t="shared" si="14"/>
        <v>1</v>
      </c>
      <c r="P211" s="12">
        <f t="shared" si="15"/>
        <v>119009</v>
      </c>
    </row>
    <row r="212" spans="1:16" ht="15">
      <c r="A212" t="s">
        <v>8</v>
      </c>
      <c r="B212" s="1" t="s">
        <v>170</v>
      </c>
      <c r="C212" s="2">
        <v>1125066</v>
      </c>
      <c r="D212" s="2">
        <v>1231323</v>
      </c>
      <c r="E212" s="2">
        <v>1317714</v>
      </c>
      <c r="F212" s="13">
        <f t="shared" si="12"/>
        <v>9.4445125885948028E-2</v>
      </c>
      <c r="G212" s="6">
        <f>26%+7.8%+7.2%+6.8%+4%+5.8%</f>
        <v>0.57600000000000007</v>
      </c>
      <c r="H212" s="6">
        <v>5.8000000000000003E-2</v>
      </c>
      <c r="I212" s="6">
        <v>0.22500000000000001</v>
      </c>
      <c r="J212" s="6"/>
      <c r="K212" s="6">
        <v>0.122</v>
      </c>
      <c r="L212" s="6"/>
      <c r="M212" s="6">
        <v>1.9E-2</v>
      </c>
      <c r="N212" s="6">
        <f t="shared" si="13"/>
        <v>0</v>
      </c>
      <c r="O212" s="6">
        <f t="shared" si="14"/>
        <v>1</v>
      </c>
      <c r="P212" s="12">
        <f t="shared" si="15"/>
        <v>1231323</v>
      </c>
    </row>
    <row r="213" spans="1:16" ht="15">
      <c r="A213" t="s">
        <v>6</v>
      </c>
      <c r="B213" s="1" t="s">
        <v>106</v>
      </c>
      <c r="C213" s="2">
        <v>9563816</v>
      </c>
      <c r="D213" s="2">
        <v>10383577</v>
      </c>
      <c r="E213" s="2">
        <v>10673800</v>
      </c>
      <c r="F213" s="13">
        <f t="shared" si="12"/>
        <v>8.5714844367562062E-2</v>
      </c>
      <c r="G213" s="6">
        <v>0.01</v>
      </c>
      <c r="H213" s="6">
        <v>0.98</v>
      </c>
      <c r="I213" s="6"/>
      <c r="J213" s="6"/>
      <c r="K213" s="6"/>
      <c r="L213" s="6"/>
      <c r="M213" s="6"/>
      <c r="N213" s="6">
        <f t="shared" si="13"/>
        <v>1.0000000000000009E-2</v>
      </c>
      <c r="O213" s="6">
        <f t="shared" si="14"/>
        <v>1</v>
      </c>
      <c r="P213" s="12">
        <f t="shared" si="15"/>
        <v>10383577</v>
      </c>
    </row>
    <row r="214" spans="1:16" ht="15">
      <c r="A214" t="s">
        <v>10</v>
      </c>
      <c r="B214" s="1" t="s">
        <v>53</v>
      </c>
      <c r="C214" s="2">
        <v>65666677</v>
      </c>
      <c r="D214" s="2">
        <v>75793836</v>
      </c>
      <c r="E214" s="2">
        <v>74724269</v>
      </c>
      <c r="F214" s="13">
        <f t="shared" si="12"/>
        <v>0.15422067116324464</v>
      </c>
      <c r="G214" s="6"/>
      <c r="H214" s="6">
        <v>0.998</v>
      </c>
      <c r="I214" s="6"/>
      <c r="J214" s="6"/>
      <c r="K214" s="6"/>
      <c r="L214" s="6"/>
      <c r="M214" s="6"/>
      <c r="N214" s="6">
        <f t="shared" si="13"/>
        <v>2.0000000000000018E-3</v>
      </c>
      <c r="O214" s="6">
        <f t="shared" si="14"/>
        <v>1</v>
      </c>
      <c r="P214" s="12">
        <f t="shared" si="15"/>
        <v>75793836</v>
      </c>
    </row>
    <row r="215" spans="1:16" ht="15">
      <c r="A215" t="s">
        <v>4</v>
      </c>
      <c r="B215" s="1" t="s">
        <v>140</v>
      </c>
      <c r="C215" s="2">
        <v>4518268</v>
      </c>
      <c r="D215" s="2">
        <v>4829332</v>
      </c>
      <c r="E215" s="2">
        <v>5105000</v>
      </c>
      <c r="F215" s="13">
        <f t="shared" si="12"/>
        <v>6.8845849781376409E-2</v>
      </c>
      <c r="G215" s="6">
        <v>0.09</v>
      </c>
      <c r="H215" s="6">
        <v>0.89</v>
      </c>
      <c r="I215" s="6"/>
      <c r="J215" s="6"/>
      <c r="K215" s="6">
        <v>0.02</v>
      </c>
      <c r="L215" s="6"/>
      <c r="M215" s="6"/>
      <c r="N215" s="6">
        <f t="shared" si="13"/>
        <v>0</v>
      </c>
      <c r="O215" s="6">
        <f t="shared" si="14"/>
        <v>1</v>
      </c>
      <c r="P215" s="12">
        <f t="shared" si="15"/>
        <v>4829332</v>
      </c>
    </row>
    <row r="216" spans="1:16" ht="15">
      <c r="A216" t="s">
        <v>8</v>
      </c>
      <c r="B216" s="1" t="s">
        <v>258</v>
      </c>
      <c r="C216" s="2">
        <v>17502</v>
      </c>
      <c r="D216" s="2">
        <v>22352</v>
      </c>
      <c r="E216" s="2">
        <v>22352</v>
      </c>
      <c r="F216" s="13">
        <f t="shared" si="12"/>
        <v>0.27711118729288081</v>
      </c>
      <c r="G216" s="8">
        <f>40%+18%+16%+12%</f>
        <v>0.8600000000000001</v>
      </c>
      <c r="H216" s="6"/>
      <c r="I216" s="6"/>
      <c r="J216" s="6"/>
      <c r="K216" s="6">
        <v>0.14000000000000001</v>
      </c>
      <c r="L216" s="6"/>
      <c r="M216" s="6"/>
      <c r="N216" s="6">
        <f t="shared" si="13"/>
        <v>0</v>
      </c>
      <c r="O216" s="6">
        <f t="shared" si="14"/>
        <v>1</v>
      </c>
      <c r="P216" s="12">
        <f t="shared" si="15"/>
        <v>22352</v>
      </c>
    </row>
    <row r="217" spans="1:16" ht="15">
      <c r="A217" t="s">
        <v>7</v>
      </c>
      <c r="B217" s="1" t="s">
        <v>213</v>
      </c>
      <c r="C217" s="2">
        <v>10838</v>
      </c>
      <c r="D217" s="2">
        <v>12177</v>
      </c>
      <c r="E217" s="2">
        <v>10000</v>
      </c>
      <c r="F217" s="13">
        <f t="shared" si="12"/>
        <v>0.12354677984868057</v>
      </c>
      <c r="G217" s="6"/>
      <c r="H217" s="6"/>
      <c r="I217" s="6"/>
      <c r="J217" s="6"/>
      <c r="K217" s="6">
        <v>6.0000000000000001E-3</v>
      </c>
      <c r="L217" s="6"/>
      <c r="M217" s="6"/>
      <c r="N217" s="6">
        <f t="shared" si="13"/>
        <v>0.99399999999999999</v>
      </c>
      <c r="O217" s="6">
        <f t="shared" si="14"/>
        <v>1</v>
      </c>
      <c r="P217" s="12">
        <f t="shared" si="15"/>
        <v>12177</v>
      </c>
    </row>
    <row r="218" spans="1:16" ht="15">
      <c r="A218" t="s">
        <v>6</v>
      </c>
      <c r="B218" s="1" t="s">
        <v>69</v>
      </c>
      <c r="C218" s="2">
        <v>23248553</v>
      </c>
      <c r="D218" s="2">
        <v>31367972</v>
      </c>
      <c r="E218" s="2">
        <v>32939800</v>
      </c>
      <c r="F218" s="13">
        <f t="shared" si="12"/>
        <v>0.34924405832913558</v>
      </c>
      <c r="G218" s="6">
        <f>41.9%+42%</f>
        <v>0.83899999999999997</v>
      </c>
      <c r="H218" s="6">
        <v>0.121</v>
      </c>
      <c r="I218" s="6"/>
      <c r="J218" s="6"/>
      <c r="K218" s="6">
        <v>3.1E-2</v>
      </c>
      <c r="L218" s="6"/>
      <c r="M218" s="6">
        <v>8.9999999999999993E-3</v>
      </c>
      <c r="N218" s="6">
        <f t="shared" si="13"/>
        <v>0</v>
      </c>
      <c r="O218" s="6">
        <f t="shared" si="14"/>
        <v>1</v>
      </c>
      <c r="P218" s="12">
        <f t="shared" si="15"/>
        <v>31367972</v>
      </c>
    </row>
    <row r="219" spans="1:16" ht="15">
      <c r="A219" t="s">
        <v>23</v>
      </c>
      <c r="B219" s="1" t="s">
        <v>61</v>
      </c>
      <c r="C219" s="2">
        <v>49153027</v>
      </c>
      <c r="D219" s="2">
        <v>45994287</v>
      </c>
      <c r="E219" s="2">
        <v>45644419</v>
      </c>
      <c r="F219" s="13">
        <f t="shared" si="12"/>
        <v>-6.4263387074818407E-2</v>
      </c>
      <c r="G219" s="6">
        <f>50.4%+26.1%+8%+7.2%+2.2%+2.2%</f>
        <v>0.96100000000000008</v>
      </c>
      <c r="H219" s="6"/>
      <c r="I219" s="6"/>
      <c r="J219" s="6"/>
      <c r="K219" s="6">
        <v>3.2000000000000001E-2</v>
      </c>
      <c r="L219" s="6">
        <v>6.0000000000000001E-3</v>
      </c>
      <c r="M219" s="6"/>
      <c r="N219" s="6">
        <f t="shared" si="13"/>
        <v>9.9999999999988987E-4</v>
      </c>
      <c r="O219" s="6">
        <f t="shared" si="14"/>
        <v>1</v>
      </c>
      <c r="P219" s="12">
        <f t="shared" si="15"/>
        <v>45994287</v>
      </c>
    </row>
    <row r="220" spans="1:16" ht="15">
      <c r="A220" t="s">
        <v>10</v>
      </c>
      <c r="B220" s="1" t="s">
        <v>121</v>
      </c>
      <c r="C220" s="2">
        <v>2369153</v>
      </c>
      <c r="D220" s="2">
        <v>4621399</v>
      </c>
      <c r="E220" s="2">
        <v>8264070</v>
      </c>
      <c r="F220" s="13">
        <f t="shared" si="12"/>
        <v>0.95065451661416545</v>
      </c>
      <c r="G220" s="6"/>
      <c r="H220" s="6">
        <v>0.96</v>
      </c>
      <c r="I220" s="6"/>
      <c r="J220" s="6"/>
      <c r="K220" s="6"/>
      <c r="L220" s="6"/>
      <c r="M220" s="6"/>
      <c r="N220" s="6">
        <f t="shared" si="13"/>
        <v>4.0000000000000036E-2</v>
      </c>
      <c r="O220" s="6">
        <f t="shared" si="14"/>
        <v>1</v>
      </c>
      <c r="P220" s="12">
        <f t="shared" si="15"/>
        <v>4621399</v>
      </c>
    </row>
    <row r="221" spans="1:16" ht="15">
      <c r="A221" t="s">
        <v>5</v>
      </c>
      <c r="B221" s="1" t="s">
        <v>56</v>
      </c>
      <c r="C221" s="2">
        <v>59522468</v>
      </c>
      <c r="D221" s="2">
        <v>60943912</v>
      </c>
      <c r="E221" s="2">
        <v>62300000</v>
      </c>
      <c r="F221" s="13">
        <f t="shared" si="12"/>
        <v>2.3880797415859838E-2</v>
      </c>
      <c r="G221" s="6">
        <v>0.71599999999999997</v>
      </c>
      <c r="H221" s="6">
        <v>2.7E-2</v>
      </c>
      <c r="I221" s="6">
        <v>0.01</v>
      </c>
      <c r="J221" s="6"/>
      <c r="K221" s="6"/>
      <c r="L221" s="6"/>
      <c r="M221" s="6">
        <v>0.15</v>
      </c>
      <c r="N221" s="6">
        <f t="shared" si="13"/>
        <v>9.6999999999999975E-2</v>
      </c>
      <c r="O221" s="6">
        <f t="shared" si="14"/>
        <v>1</v>
      </c>
      <c r="P221" s="12">
        <f t="shared" si="15"/>
        <v>60943912</v>
      </c>
    </row>
    <row r="222" spans="1:16" ht="15">
      <c r="A222" t="s">
        <v>11</v>
      </c>
      <c r="B222" s="1" t="s">
        <v>38</v>
      </c>
      <c r="C222" s="2">
        <v>282338631</v>
      </c>
      <c r="D222" s="2">
        <v>304228257</v>
      </c>
      <c r="E222" s="2">
        <v>313166000</v>
      </c>
      <c r="F222" s="13">
        <f t="shared" si="12"/>
        <v>7.7529688099961067E-2</v>
      </c>
      <c r="G222" s="6">
        <f>51.3%+23.9%+1.7%+1.6%</f>
        <v>0.78500000000000003</v>
      </c>
      <c r="H222" s="6">
        <v>6.0000000000000001E-3</v>
      </c>
      <c r="I222" s="6"/>
      <c r="J222" s="6">
        <v>7.0000000000000001E-3</v>
      </c>
      <c r="K222" s="6">
        <v>0.14599999999999999</v>
      </c>
      <c r="L222" s="6">
        <v>1.7000000000000001E-2</v>
      </c>
      <c r="M222" s="6">
        <v>0.04</v>
      </c>
      <c r="N222" s="6">
        <f t="shared" si="13"/>
        <v>-1.0000000000001119E-3</v>
      </c>
      <c r="O222" s="6">
        <f t="shared" si="14"/>
        <v>1</v>
      </c>
      <c r="P222" s="12">
        <f t="shared" si="15"/>
        <v>304228257</v>
      </c>
    </row>
    <row r="223" spans="1:16" ht="15">
      <c r="A223" t="s">
        <v>9</v>
      </c>
      <c r="B223" s="1" t="s">
        <v>155</v>
      </c>
      <c r="C223" s="2">
        <v>3323876</v>
      </c>
      <c r="D223" s="2">
        <v>3477778</v>
      </c>
      <c r="E223" s="2">
        <v>3203792</v>
      </c>
      <c r="F223" s="13">
        <f t="shared" si="12"/>
        <v>4.6301967943449152E-2</v>
      </c>
      <c r="G223" s="6">
        <f>47.1%+11.1%</f>
        <v>0.58200000000000007</v>
      </c>
      <c r="H223" s="6"/>
      <c r="I223" s="6"/>
      <c r="J223" s="6"/>
      <c r="K223" s="6"/>
      <c r="L223" s="6">
        <v>3.0000000000000001E-3</v>
      </c>
      <c r="M223" s="6"/>
      <c r="N223" s="6">
        <f t="shared" si="13"/>
        <v>0.41499999999999992</v>
      </c>
      <c r="O223" s="6">
        <f t="shared" si="14"/>
        <v>1</v>
      </c>
      <c r="P223" s="12">
        <f t="shared" si="15"/>
        <v>3477778</v>
      </c>
    </row>
    <row r="224" spans="1:16" ht="15">
      <c r="A224" t="s">
        <v>4</v>
      </c>
      <c r="B224" s="1" t="s">
        <v>73</v>
      </c>
      <c r="C224" s="2">
        <v>24755519</v>
      </c>
      <c r="D224" s="2">
        <v>27345026</v>
      </c>
      <c r="E224" s="2">
        <v>28000000</v>
      </c>
      <c r="F224" s="13">
        <f t="shared" si="12"/>
        <v>0.10460321999308518</v>
      </c>
      <c r="G224" s="6">
        <v>0.09</v>
      </c>
      <c r="H224" s="6">
        <v>0.88</v>
      </c>
      <c r="I224" s="6"/>
      <c r="J224" s="6"/>
      <c r="K224" s="6">
        <v>0.03</v>
      </c>
      <c r="L224" s="6"/>
      <c r="M224" s="6"/>
      <c r="N224" s="6">
        <f t="shared" si="13"/>
        <v>0</v>
      </c>
      <c r="O224" s="6">
        <f t="shared" si="14"/>
        <v>1</v>
      </c>
      <c r="P224" s="12">
        <f t="shared" si="15"/>
        <v>27345026</v>
      </c>
    </row>
    <row r="225" spans="1:16" ht="15">
      <c r="A225" t="s">
        <v>7</v>
      </c>
      <c r="B225" s="1" t="s">
        <v>194</v>
      </c>
      <c r="C225" s="2">
        <v>189618</v>
      </c>
      <c r="D225" s="2">
        <v>215446</v>
      </c>
      <c r="E225" s="2">
        <v>234023</v>
      </c>
      <c r="F225" s="13">
        <f t="shared" si="12"/>
        <v>0.13621069729667015</v>
      </c>
      <c r="G225" s="6">
        <f>31.4%+13.4%+13.1%+10.8%+13.8%</f>
        <v>0.82499999999999996</v>
      </c>
      <c r="H225" s="6"/>
      <c r="I225" s="6"/>
      <c r="J225" s="6"/>
      <c r="K225" s="6">
        <f>9.6%+5.6%</f>
        <v>0.152</v>
      </c>
      <c r="L225" s="6"/>
      <c r="M225" s="6">
        <v>0.01</v>
      </c>
      <c r="N225" s="6">
        <f t="shared" si="13"/>
        <v>1.3000000000000012E-2</v>
      </c>
      <c r="O225" s="6">
        <f t="shared" si="14"/>
        <v>1</v>
      </c>
      <c r="P225" s="12">
        <f t="shared" si="15"/>
        <v>215446</v>
      </c>
    </row>
    <row r="226" spans="1:16" ht="15">
      <c r="A226" t="s">
        <v>9</v>
      </c>
      <c r="B226" s="1" t="s">
        <v>74</v>
      </c>
      <c r="C226" s="2">
        <v>23542649</v>
      </c>
      <c r="D226" s="2">
        <v>26414815</v>
      </c>
      <c r="E226" s="2">
        <v>27150095</v>
      </c>
      <c r="F226" s="13">
        <f t="shared" si="12"/>
        <v>0.12199842082341711</v>
      </c>
      <c r="G226" s="6">
        <v>0.96</v>
      </c>
      <c r="H226" s="6"/>
      <c r="I226" s="6"/>
      <c r="J226" s="6"/>
      <c r="K226" s="6">
        <v>0.02</v>
      </c>
      <c r="L226" s="6"/>
      <c r="M226" s="6"/>
      <c r="N226" s="6">
        <f t="shared" si="13"/>
        <v>2.0000000000000018E-2</v>
      </c>
      <c r="O226" s="6">
        <f t="shared" si="14"/>
        <v>1</v>
      </c>
      <c r="P226" s="12">
        <f t="shared" si="15"/>
        <v>26414815</v>
      </c>
    </row>
    <row r="227" spans="1:16" ht="15">
      <c r="A227" t="s">
        <v>12</v>
      </c>
      <c r="B227" s="1" t="s">
        <v>48</v>
      </c>
      <c r="C227" s="2">
        <v>79060410</v>
      </c>
      <c r="D227" s="2">
        <v>86116559</v>
      </c>
      <c r="E227" s="2">
        <v>87840000</v>
      </c>
      <c r="F227" s="13">
        <f t="shared" si="12"/>
        <v>8.9250093694176386E-2</v>
      </c>
      <c r="G227" s="6">
        <f>6.7%+0.5%</f>
        <v>7.2000000000000008E-2</v>
      </c>
      <c r="H227" s="6">
        <v>1E-3</v>
      </c>
      <c r="I227" s="6">
        <v>2.5999999999999999E-2</v>
      </c>
      <c r="J227" s="6">
        <v>9.2999999999999999E-2</v>
      </c>
      <c r="K227" s="6"/>
      <c r="L227" s="6"/>
      <c r="M227" s="6">
        <v>0.80800000000000005</v>
      </c>
      <c r="N227" s="6">
        <f t="shared" si="13"/>
        <v>0</v>
      </c>
      <c r="O227" s="6">
        <f t="shared" si="14"/>
        <v>1</v>
      </c>
      <c r="P227" s="12">
        <f t="shared" si="15"/>
        <v>86116559</v>
      </c>
    </row>
    <row r="228" spans="1:16" ht="15">
      <c r="A228" t="s">
        <v>8</v>
      </c>
      <c r="B228" s="1" t="s">
        <v>259</v>
      </c>
      <c r="C228" s="2">
        <v>108637</v>
      </c>
      <c r="D228" s="2">
        <v>109840</v>
      </c>
      <c r="E228" s="2">
        <v>109840</v>
      </c>
      <c r="F228" s="13">
        <f t="shared" si="12"/>
        <v>1.1073575301232545E-2</v>
      </c>
      <c r="G228" s="8">
        <f>42%+34%+17%</f>
        <v>0.93</v>
      </c>
      <c r="H228" s="6"/>
      <c r="I228" s="6"/>
      <c r="J228" s="6"/>
      <c r="K228" s="6">
        <v>7.0000000000000007E-2</v>
      </c>
      <c r="L228" s="6"/>
      <c r="M228" s="6"/>
      <c r="N228" s="6">
        <f t="shared" si="13"/>
        <v>0</v>
      </c>
      <c r="O228" s="6">
        <f t="shared" si="14"/>
        <v>1</v>
      </c>
      <c r="P228" s="12">
        <f t="shared" si="15"/>
        <v>109840</v>
      </c>
    </row>
    <row r="229" spans="1:16" ht="15">
      <c r="A229" t="s">
        <v>8</v>
      </c>
      <c r="B229" s="1" t="s">
        <v>260</v>
      </c>
      <c r="C229" s="2">
        <v>20353</v>
      </c>
      <c r="D229" s="2">
        <v>24041</v>
      </c>
      <c r="E229" s="2">
        <v>24041</v>
      </c>
      <c r="F229" s="13">
        <f t="shared" si="12"/>
        <v>0.18120178843413748</v>
      </c>
      <c r="G229" s="6">
        <f>86%+10%</f>
        <v>0.96</v>
      </c>
      <c r="H229" s="6"/>
      <c r="I229" s="6"/>
      <c r="J229" s="6"/>
      <c r="K229" s="6">
        <v>0.02</v>
      </c>
      <c r="L229" s="6"/>
      <c r="M229" s="6">
        <v>0.02</v>
      </c>
      <c r="N229" s="6">
        <f t="shared" si="13"/>
        <v>0</v>
      </c>
      <c r="O229" s="6">
        <f t="shared" si="14"/>
        <v>1</v>
      </c>
      <c r="P229" s="12">
        <f t="shared" si="15"/>
        <v>24041</v>
      </c>
    </row>
    <row r="230" spans="1:16">
      <c r="A230" t="s">
        <v>7</v>
      </c>
      <c r="B230" t="s">
        <v>24</v>
      </c>
      <c r="C230" s="2"/>
      <c r="D230" s="2"/>
      <c r="E230" s="2"/>
      <c r="F230" s="13">
        <v>0</v>
      </c>
      <c r="N230" s="6">
        <f t="shared" si="13"/>
        <v>1</v>
      </c>
      <c r="O230" s="6">
        <f t="shared" si="14"/>
        <v>1</v>
      </c>
      <c r="P230" s="12">
        <f t="shared" si="15"/>
        <v>0</v>
      </c>
    </row>
    <row r="231" spans="1:16" ht="15">
      <c r="A231" t="s">
        <v>7</v>
      </c>
      <c r="B231" s="1" t="s">
        <v>261</v>
      </c>
      <c r="C231" s="2">
        <v>15283</v>
      </c>
      <c r="D231" s="2">
        <v>15237</v>
      </c>
      <c r="E231" s="2">
        <v>15237</v>
      </c>
      <c r="F231" s="13">
        <f t="shared" si="12"/>
        <v>-3.009880259111431E-3</v>
      </c>
      <c r="G231" s="6">
        <v>0.99</v>
      </c>
      <c r="H231" s="6"/>
      <c r="I231" s="6"/>
      <c r="J231" s="6"/>
      <c r="K231" s="6">
        <v>0.01</v>
      </c>
      <c r="L231" s="6"/>
      <c r="M231" s="6"/>
      <c r="N231" s="6">
        <f t="shared" si="13"/>
        <v>0</v>
      </c>
      <c r="O231" s="6">
        <f t="shared" si="14"/>
        <v>1</v>
      </c>
      <c r="P231" s="12">
        <f t="shared" si="15"/>
        <v>15237</v>
      </c>
    </row>
    <row r="232" spans="1:16" ht="15">
      <c r="A232" t="s">
        <v>10</v>
      </c>
      <c r="B232" s="1" t="s">
        <v>262</v>
      </c>
      <c r="C232" s="2">
        <v>2020298</v>
      </c>
      <c r="D232" s="2">
        <v>2407681</v>
      </c>
      <c r="E232" s="2">
        <v>2407681</v>
      </c>
      <c r="F232" s="13">
        <f t="shared" si="12"/>
        <v>0.19174547517247456</v>
      </c>
      <c r="G232" s="6"/>
      <c r="H232" s="6">
        <v>0.75</v>
      </c>
      <c r="I232" s="6"/>
      <c r="J232" s="6"/>
      <c r="K232" s="6"/>
      <c r="L232" s="6">
        <v>0.17</v>
      </c>
      <c r="M232" s="6"/>
      <c r="N232" s="6">
        <f t="shared" si="13"/>
        <v>7.999999999999996E-2</v>
      </c>
      <c r="O232" s="6">
        <f t="shared" si="14"/>
        <v>1</v>
      </c>
      <c r="P232" s="12">
        <f t="shared" si="15"/>
        <v>2407681</v>
      </c>
    </row>
    <row r="233" spans="1:16" ht="15">
      <c r="A233" t="s">
        <v>6</v>
      </c>
      <c r="B233" s="1" t="s">
        <v>182</v>
      </c>
      <c r="C233" s="2">
        <v>244943</v>
      </c>
      <c r="D233" s="2">
        <v>393831</v>
      </c>
      <c r="E233" s="2">
        <v>548000</v>
      </c>
      <c r="F233" s="13">
        <f t="shared" si="12"/>
        <v>0.60784754003992769</v>
      </c>
      <c r="G233" s="6"/>
      <c r="H233" s="6"/>
      <c r="I233" s="6"/>
      <c r="J233" s="6"/>
      <c r="K233" s="6"/>
      <c r="L233" s="6"/>
      <c r="M233" s="6"/>
      <c r="N233" s="6">
        <f t="shared" si="13"/>
        <v>1</v>
      </c>
      <c r="O233" s="6">
        <f t="shared" si="14"/>
        <v>1</v>
      </c>
      <c r="P233" s="12">
        <f t="shared" si="15"/>
        <v>393831</v>
      </c>
    </row>
    <row r="234" spans="1:16" ht="15">
      <c r="A234" t="s">
        <v>10</v>
      </c>
      <c r="B234" s="1" t="s">
        <v>79</v>
      </c>
      <c r="C234" s="2">
        <v>17479206</v>
      </c>
      <c r="D234" s="2">
        <v>23013376</v>
      </c>
      <c r="E234" s="2">
        <v>23833000</v>
      </c>
      <c r="F234" s="13">
        <f t="shared" si="12"/>
        <v>0.31661449610468578</v>
      </c>
      <c r="G234" s="6"/>
      <c r="H234" s="6">
        <v>1</v>
      </c>
      <c r="I234" s="6"/>
      <c r="J234" s="6"/>
      <c r="K234" s="6"/>
      <c r="L234" s="6"/>
      <c r="M234" s="6"/>
      <c r="N234" s="6">
        <f t="shared" si="13"/>
        <v>0</v>
      </c>
      <c r="O234" s="6">
        <f t="shared" si="14"/>
        <v>1</v>
      </c>
      <c r="P234" s="12">
        <f t="shared" si="15"/>
        <v>23013376</v>
      </c>
    </row>
    <row r="235" spans="1:16" ht="15">
      <c r="A235" t="s">
        <v>6</v>
      </c>
      <c r="B235" s="1" t="s">
        <v>98</v>
      </c>
      <c r="C235" s="2">
        <v>10116606</v>
      </c>
      <c r="D235" s="2">
        <v>11669534</v>
      </c>
      <c r="E235" s="2">
        <v>13046508</v>
      </c>
      <c r="F235" s="13">
        <f t="shared" si="12"/>
        <v>0.15350286449823192</v>
      </c>
      <c r="G235" s="6">
        <v>0.87</v>
      </c>
      <c r="H235" s="6"/>
      <c r="I235" s="6"/>
      <c r="J235" s="6"/>
      <c r="K235" s="6">
        <v>0.01</v>
      </c>
      <c r="L235" s="6"/>
      <c r="M235" s="6"/>
      <c r="N235" s="6">
        <f t="shared" si="13"/>
        <v>0.12</v>
      </c>
      <c r="O235" s="6">
        <f t="shared" si="14"/>
        <v>1</v>
      </c>
      <c r="P235" s="12">
        <f t="shared" si="15"/>
        <v>11669534</v>
      </c>
    </row>
    <row r="236" spans="1:16" ht="15">
      <c r="A236" t="s">
        <v>6</v>
      </c>
      <c r="B236" s="1" t="s">
        <v>100</v>
      </c>
      <c r="C236" s="2">
        <v>12185932</v>
      </c>
      <c r="D236" s="2">
        <v>11350111</v>
      </c>
      <c r="E236" s="2">
        <v>12754000</v>
      </c>
      <c r="F236" s="13">
        <f t="shared" si="12"/>
        <v>-6.8589009031069598E-2</v>
      </c>
      <c r="G236" s="6">
        <v>0.25</v>
      </c>
      <c r="H236" s="6"/>
      <c r="I236" s="6"/>
      <c r="J236" s="6"/>
      <c r="K236" s="6">
        <v>0.24</v>
      </c>
      <c r="L236" s="6"/>
      <c r="M236" s="6"/>
      <c r="N236" s="6">
        <f t="shared" si="13"/>
        <v>0.51</v>
      </c>
      <c r="O236" s="6">
        <f t="shared" si="14"/>
        <v>1</v>
      </c>
      <c r="P236" s="12">
        <f t="shared" si="15"/>
        <v>11350111</v>
      </c>
    </row>
    <row r="238" spans="1:16"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P238" s="12">
        <f>SUM(P2:P237)</f>
        <v>6701002206</v>
      </c>
    </row>
    <row r="240" spans="1:16">
      <c r="G240" s="6"/>
      <c r="H240" s="6"/>
      <c r="I240" s="6"/>
      <c r="J240" s="6"/>
      <c r="K240" s="6"/>
      <c r="L240" s="6"/>
      <c r="M240" s="6"/>
      <c r="N240" s="6"/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7"/>
  <sheetViews>
    <sheetView workbookViewId="0"/>
  </sheetViews>
  <sheetFormatPr defaultRowHeight="12.75"/>
  <cols>
    <col min="2" max="2" width="25.7109375" bestFit="1" customWidth="1"/>
  </cols>
  <sheetData>
    <row r="2" spans="2:8">
      <c r="B2" s="14" t="s">
        <v>271</v>
      </c>
      <c r="C2" s="14" t="s">
        <v>272</v>
      </c>
    </row>
    <row r="3" spans="2:8">
      <c r="B3" s="14" t="s">
        <v>264</v>
      </c>
    </row>
    <row r="4" spans="2:8">
      <c r="B4" s="14" t="s">
        <v>263</v>
      </c>
    </row>
    <row r="5" spans="2:8">
      <c r="B5" s="14" t="s">
        <v>265</v>
      </c>
    </row>
    <row r="7" spans="2:8">
      <c r="B7" s="14" t="s">
        <v>266</v>
      </c>
    </row>
    <row r="8" spans="2:8">
      <c r="B8" s="14" t="s">
        <v>267</v>
      </c>
    </row>
    <row r="9" spans="2:8">
      <c r="B9" s="14" t="s">
        <v>268</v>
      </c>
    </row>
    <row r="11" spans="2:8">
      <c r="B11" s="14" t="s">
        <v>269</v>
      </c>
    </row>
    <row r="12" spans="2:8">
      <c r="B12" s="14" t="s">
        <v>270</v>
      </c>
    </row>
    <row r="14" spans="2:8">
      <c r="B14" s="14" t="s">
        <v>273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</row>
    <row r="15" spans="2:8">
      <c r="B15">
        <v>2000</v>
      </c>
    </row>
    <row r="16" spans="2:8">
      <c r="B16">
        <v>2008</v>
      </c>
    </row>
    <row r="17" spans="2:2">
      <c r="B17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Scorecard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2009-12-01T21:11:05Z</dcterms:created>
  <dcterms:modified xsi:type="dcterms:W3CDTF">2012-04-19T08:54:39Z</dcterms:modified>
</cp:coreProperties>
</file>