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pum\Documents\GitHub\rupumped.github.io\blog-posts\"/>
    </mc:Choice>
  </mc:AlternateContent>
  <xr:revisionPtr revIDLastSave="0" documentId="8_{2932B9CB-D01D-4FBA-83BD-DDF69D843FB4}" xr6:coauthVersionLast="47" xr6:coauthVersionMax="47" xr10:uidLastSave="{00000000-0000-0000-0000-000000000000}"/>
  <bookViews>
    <workbookView xWindow="-96" yWindow="-96" windowWidth="20928" windowHeight="12432" xr2:uid="{1551AAD6-5FC8-4B2F-8B2B-6343C0AFC811}"/>
  </bookViews>
  <sheets>
    <sheet name="Pie" sheetId="1" r:id="rId1"/>
    <sheet name="Diesel" sheetId="6" r:id="rId2"/>
  </sheets>
  <definedNames>
    <definedName name="CORD">_xlfn.LAMBDA(_xlpm.moreDieselNeeded,_xlpm.oldestDieselIndex,_xlpm.supply,_xlpm.pricePerLiter,  _xlfn.LET(   _xlpm.supplyFromOldestDiesel, INDEX(_xlpm.supply,_xlpm.oldestDieselIndex,1),   _xlpm.pricePerLiterOfOldestDiesel, INDEX(_xlpm.pricePerLiter,_xlpm.oldestDieselIndex,1),   IF(_xlpm.moreDieselNeeded &lt;= _xlpm.supplyFromOldestDiesel,    _xlpm.moreDieselNeeded * _xlpm.pricePerLiterOfOldestDiesel,    _xlpm.supplyFromOldestDiesel * _xlpm.pricePerLiterOfOldestDiesel + CORD(_xlpm.moreDieselNeeded - _xlpm.supplyFromOldestDiesel, _xlpm.oldestDieselIndex+1, _xlpm.supply, _xlpm.pricePerLiter)   )  ) )</definedName>
    <definedName name="CORGS">_xlfn.LAMBDA(_xlpm.moreStockNeeded,_xlpm.oldestOrderIndex,_xlpm.supply,_xlpm.costPerUnit,  _xlfn.LET(   _xlpm.supplyFromOldestOrder, INDEX(_xlpm.supply,_xlpm.oldestOrderIndex,1),   _xlpm.costPerUnitOfOldestOrder, INDEX(_xlpm.costPerUnit,_xlpm.oldestOrderIndex,1),   IF(_xlpm.moreStockNeeded &lt;= _xlpm.supplyFromOldestOrder,    _xlpm.moreStockNeeded * _xlpm.costPerUnitOfOldestOrder,    _xlpm.supplyFromOldestOrder * _xlpm.costPerUnitOfOldestOrder + CORGS(_xlpm.moreStockNeeded - _xlpm.supplyFromOldestOrder, _xlpm.oldestOrderIndex+1, _xlpm.supply, _xlpm.costPerUnit)   )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/>
  <c r="I18" i="6"/>
  <c r="I21" i="6"/>
  <c r="I20" i="6"/>
  <c r="I19" i="6"/>
  <c r="I17" i="6"/>
  <c r="J22" i="6"/>
  <c r="I22" i="6"/>
  <c r="J21" i="6"/>
  <c r="J20" i="6"/>
  <c r="J19" i="6"/>
  <c r="J18" i="6"/>
  <c r="J17" i="6"/>
  <c r="F5" i="6"/>
  <c r="I5" i="6"/>
  <c r="J5" i="6"/>
  <c r="F6" i="6"/>
  <c r="I6" i="6"/>
  <c r="G6" i="6" s="1" a="1"/>
  <c r="G6" i="6" s="1"/>
  <c r="J6" i="6"/>
  <c r="F7" i="6"/>
  <c r="I7" i="6"/>
  <c r="J7" i="6"/>
  <c r="F8" i="6"/>
  <c r="I8" i="6"/>
  <c r="J8" i="6"/>
  <c r="F9" i="6"/>
  <c r="J9" i="6"/>
  <c r="F10" i="6"/>
  <c r="I10" i="6"/>
  <c r="J10" i="6"/>
  <c r="F11" i="6"/>
  <c r="I11" i="6"/>
  <c r="J11" i="6"/>
  <c r="F12" i="6"/>
  <c r="I12" i="6"/>
  <c r="G12" i="6" s="1" a="1"/>
  <c r="G12" i="6" s="1"/>
  <c r="J12" i="6"/>
  <c r="F13" i="6"/>
  <c r="I13" i="6"/>
  <c r="J13" i="6"/>
  <c r="F14" i="6"/>
  <c r="I14" i="6"/>
  <c r="J14" i="6"/>
  <c r="F15" i="6"/>
  <c r="I15" i="6"/>
  <c r="J15" i="6"/>
  <c r="F16" i="6"/>
  <c r="I16" i="6"/>
  <c r="J16" i="6"/>
  <c r="F17" i="6"/>
  <c r="F18" i="6"/>
  <c r="F19" i="6"/>
  <c r="F20" i="6"/>
  <c r="F21" i="6"/>
  <c r="F22" i="6"/>
  <c r="J4" i="6"/>
  <c r="J2" i="6"/>
  <c r="J3" i="6"/>
  <c r="F3" i="6"/>
  <c r="F4" i="6"/>
  <c r="I3" i="6"/>
  <c r="G3" i="6" s="1" a="1"/>
  <c r="G3" i="6" s="1"/>
  <c r="I4" i="6"/>
  <c r="G4" i="6" s="1" a="1"/>
  <c r="G4" i="6" s="1"/>
  <c r="I2" i="6"/>
  <c r="G2" i="6" s="1" a="1"/>
  <c r="G2" i="6" s="1"/>
  <c r="L8" i="1"/>
  <c r="F2" i="6"/>
  <c r="G11" i="6" l="1" a="1"/>
  <c r="G11" i="6" s="1"/>
  <c r="G18" i="6" a="1"/>
  <c r="G18" i="6" s="1"/>
  <c r="G8" i="6" a="1"/>
  <c r="G8" i="6" s="1"/>
  <c r="M3" i="6" a="1"/>
  <c r="M3" i="6" s="1"/>
  <c r="G15" i="6" a="1"/>
  <c r="G15" i="6" s="1"/>
  <c r="G9" i="6" a="1"/>
  <c r="G9" i="6" s="1"/>
  <c r="K6" i="6"/>
  <c r="L6" i="6" s="1"/>
  <c r="M6" i="6" s="1" a="1"/>
  <c r="M6" i="6" s="1"/>
  <c r="G17" i="6" a="1"/>
  <c r="G17" i="6" s="1"/>
  <c r="G5" i="6" a="1"/>
  <c r="G5" i="6" s="1"/>
  <c r="K5" i="6" s="1"/>
  <c r="L5" i="6" s="1"/>
  <c r="M5" i="6" s="1" a="1"/>
  <c r="M5" i="6" s="1"/>
  <c r="N2" i="6" a="1"/>
  <c r="N2" i="6" s="1"/>
  <c r="M2" i="6" a="1"/>
  <c r="M2" i="6" s="1"/>
  <c r="G14" i="6" a="1"/>
  <c r="G14" i="6" s="1"/>
  <c r="G20" i="6" a="1"/>
  <c r="G20" i="6" s="1"/>
  <c r="G22" i="6" a="1"/>
  <c r="G22" i="6" s="1"/>
  <c r="G16" i="6" a="1"/>
  <c r="G16" i="6" s="1"/>
  <c r="G13" i="6" a="1"/>
  <c r="G13" i="6" s="1"/>
  <c r="G10" i="6" a="1"/>
  <c r="G10" i="6" s="1"/>
  <c r="G7" i="6" a="1"/>
  <c r="G7" i="6" s="1"/>
  <c r="G21" i="6" a="1"/>
  <c r="G21" i="6" s="1"/>
  <c r="G19" i="6" a="1"/>
  <c r="G19" i="6" s="1"/>
  <c r="K4" i="6"/>
  <c r="L4" i="6" s="1"/>
  <c r="O4" i="6" a="1"/>
  <c r="O4" i="6" s="1"/>
  <c r="O3" i="6" a="1"/>
  <c r="O3" i="6" s="1"/>
  <c r="O2" i="6" a="1"/>
  <c r="O2" i="6" s="1"/>
  <c r="N4" i="6" a="1"/>
  <c r="N4" i="6" s="1"/>
  <c r="P4" i="6" s="1"/>
  <c r="N3" i="6" a="1"/>
  <c r="N3" i="6" s="1"/>
  <c r="M4" i="6" a="1"/>
  <c r="M4" i="6" s="1"/>
  <c r="K3" i="6"/>
  <c r="L3" i="6" s="1"/>
  <c r="K2" i="6"/>
  <c r="L2" i="6" s="1"/>
  <c r="O5" i="6" l="1" a="1"/>
  <c r="O5" i="6" s="1"/>
  <c r="K8" i="6"/>
  <c r="L8" i="6" s="1"/>
  <c r="M8" i="6" s="1" a="1"/>
  <c r="M8" i="6" s="1"/>
  <c r="O8" i="6" s="1" a="1"/>
  <c r="O8" i="6" s="1"/>
  <c r="K17" i="6"/>
  <c r="L17" i="6" s="1"/>
  <c r="M17" i="6" s="1" a="1"/>
  <c r="M17" i="6" s="1"/>
  <c r="O17" i="6" s="1" a="1"/>
  <c r="O17" i="6" s="1"/>
  <c r="K12" i="6"/>
  <c r="L12" i="6" s="1"/>
  <c r="M12" i="6" s="1" a="1"/>
  <c r="M12" i="6" s="1"/>
  <c r="O12" i="6" s="1" a="1"/>
  <c r="O12" i="6" s="1"/>
  <c r="K14" i="6"/>
  <c r="L14" i="6" s="1"/>
  <c r="M14" i="6" s="1" a="1"/>
  <c r="M14" i="6" s="1"/>
  <c r="K9" i="6"/>
  <c r="L9" i="6" s="1"/>
  <c r="M9" i="6" s="1" a="1"/>
  <c r="M9" i="6" s="1"/>
  <c r="N9" i="6" s="1" a="1"/>
  <c r="N9" i="6" s="1"/>
  <c r="P9" i="6" s="1"/>
  <c r="K13" i="6"/>
  <c r="L13" i="6" s="1"/>
  <c r="M13" i="6" s="1" a="1"/>
  <c r="M13" i="6" s="1"/>
  <c r="O13" i="6" s="1" a="1"/>
  <c r="O13" i="6" s="1"/>
  <c r="K20" i="6"/>
  <c r="L20" i="6" s="1"/>
  <c r="M20" i="6" s="1" a="1"/>
  <c r="M20" i="6" s="1"/>
  <c r="K18" i="6"/>
  <c r="L18" i="6" s="1"/>
  <c r="M18" i="6" s="1" a="1"/>
  <c r="M18" i="6" s="1"/>
  <c r="K19" i="6"/>
  <c r="L19" i="6" s="1"/>
  <c r="M19" i="6" s="1" a="1"/>
  <c r="M19" i="6" s="1"/>
  <c r="K21" i="6"/>
  <c r="L21" i="6" s="1"/>
  <c r="M21" i="6" s="1" a="1"/>
  <c r="M21" i="6" s="1"/>
  <c r="K22" i="6"/>
  <c r="L22" i="6" s="1"/>
  <c r="M22" i="6" s="1" a="1"/>
  <c r="M22" i="6" s="1"/>
  <c r="K16" i="6"/>
  <c r="L16" i="6" s="1"/>
  <c r="M16" i="6" s="1" a="1"/>
  <c r="M16" i="6" s="1"/>
  <c r="K7" i="6"/>
  <c r="L7" i="6" s="1"/>
  <c r="M7" i="6" s="1" a="1"/>
  <c r="M7" i="6" s="1"/>
  <c r="K10" i="6"/>
  <c r="L10" i="6" s="1"/>
  <c r="M10" i="6" s="1" a="1"/>
  <c r="M10" i="6" s="1"/>
  <c r="K11" i="6"/>
  <c r="L11" i="6" s="1"/>
  <c r="M11" i="6" s="1" a="1"/>
  <c r="M11" i="6" s="1"/>
  <c r="N6" i="6" a="1"/>
  <c r="N6" i="6" s="1"/>
  <c r="P6" i="6" s="1"/>
  <c r="O6" i="6" a="1"/>
  <c r="O6" i="6" s="1"/>
  <c r="K15" i="6"/>
  <c r="L15" i="6" s="1"/>
  <c r="M15" i="6" s="1" a="1"/>
  <c r="M15" i="6" s="1"/>
  <c r="N5" i="6" a="1"/>
  <c r="N5" i="6" s="1"/>
  <c r="P5" i="6" s="1"/>
  <c r="P3" i="6"/>
  <c r="Q3" i="6" s="1"/>
  <c r="P2" i="6"/>
  <c r="Q2" i="6" s="1"/>
  <c r="Q4" i="6"/>
  <c r="R4" i="6"/>
  <c r="S4" i="6" s="1" a="1"/>
  <c r="S4" i="6" s="1"/>
  <c r="N14" i="6" l="1" a="1"/>
  <c r="N14" i="6" s="1"/>
  <c r="P14" i="6" s="1"/>
  <c r="N17" i="6" a="1"/>
  <c r="N17" i="6" s="1"/>
  <c r="P17" i="6" s="1"/>
  <c r="Q17" i="6" s="1"/>
  <c r="N12" i="6" a="1"/>
  <c r="N12" i="6" s="1"/>
  <c r="P12" i="6" s="1"/>
  <c r="R12" i="6" s="1"/>
  <c r="S12" i="6" s="1" a="1"/>
  <c r="S12" i="6" s="1"/>
  <c r="O14" i="6" a="1"/>
  <c r="O14" i="6" s="1"/>
  <c r="N8" i="6" a="1"/>
  <c r="N8" i="6" s="1"/>
  <c r="P8" i="6" s="1"/>
  <c r="R8" i="6" s="1"/>
  <c r="S8" i="6" s="1" a="1"/>
  <c r="S8" i="6" s="1"/>
  <c r="O9" i="6" a="1"/>
  <c r="O9" i="6" s="1"/>
  <c r="Q9" i="6" s="1"/>
  <c r="N13" i="6" a="1"/>
  <c r="N13" i="6" s="1"/>
  <c r="P13" i="6" s="1"/>
  <c r="R13" i="6" s="1"/>
  <c r="S13" i="6" s="1" a="1"/>
  <c r="S13" i="6" s="1"/>
  <c r="N20" i="6" a="1"/>
  <c r="N20" i="6" s="1"/>
  <c r="P20" i="6" s="1"/>
  <c r="R20" i="6" s="1"/>
  <c r="S20" i="6" s="1" a="1"/>
  <c r="S20" i="6" s="1"/>
  <c r="O20" i="6" a="1"/>
  <c r="O20" i="6" s="1"/>
  <c r="O16" i="6" a="1"/>
  <c r="O16" i="6" s="1"/>
  <c r="O21" i="6" a="1"/>
  <c r="O21" i="6" s="1"/>
  <c r="O19" i="6" a="1"/>
  <c r="O19" i="6" s="1"/>
  <c r="O18" i="6" a="1"/>
  <c r="O18" i="6" s="1"/>
  <c r="N21" i="6" a="1"/>
  <c r="N21" i="6" s="1"/>
  <c r="P21" i="6" s="1"/>
  <c r="R21" i="6" s="1"/>
  <c r="S21" i="6" s="1" a="1"/>
  <c r="S21" i="6" s="1"/>
  <c r="N19" i="6" a="1"/>
  <c r="N19" i="6" s="1"/>
  <c r="P19" i="6" s="1"/>
  <c r="O22" i="6" a="1"/>
  <c r="O22" i="6" s="1"/>
  <c r="N22" i="6" a="1"/>
  <c r="N22" i="6" s="1"/>
  <c r="P22" i="6" s="1"/>
  <c r="N18" i="6" a="1"/>
  <c r="N18" i="6" s="1"/>
  <c r="P18" i="6" s="1"/>
  <c r="Q5" i="6"/>
  <c r="R5" i="6"/>
  <c r="S5" i="6" s="1" a="1"/>
  <c r="S5" i="6" s="1"/>
  <c r="Q6" i="6"/>
  <c r="R6" i="6"/>
  <c r="S6" i="6" s="1" a="1"/>
  <c r="S6" i="6" s="1"/>
  <c r="N10" i="6" a="1"/>
  <c r="N10" i="6" s="1"/>
  <c r="P10" i="6" s="1"/>
  <c r="O10" i="6" a="1"/>
  <c r="O10" i="6" s="1"/>
  <c r="O11" i="6" a="1"/>
  <c r="O11" i="6" s="1"/>
  <c r="N11" i="6" a="1"/>
  <c r="N11" i="6" s="1"/>
  <c r="P11" i="6" s="1"/>
  <c r="O7" i="6" a="1"/>
  <c r="O7" i="6" s="1"/>
  <c r="N7" i="6" a="1"/>
  <c r="N7" i="6" s="1"/>
  <c r="P7" i="6" s="1"/>
  <c r="R14" i="6"/>
  <c r="S14" i="6" s="1" a="1"/>
  <c r="S14" i="6" s="1"/>
  <c r="R9" i="6"/>
  <c r="S9" i="6" s="1" a="1"/>
  <c r="S9" i="6" s="1"/>
  <c r="N16" i="6" a="1"/>
  <c r="N16" i="6" s="1"/>
  <c r="P16" i="6" s="1"/>
  <c r="O15" i="6" a="1"/>
  <c r="O15" i="6" s="1"/>
  <c r="N15" i="6" a="1"/>
  <c r="N15" i="6" s="1"/>
  <c r="P15" i="6" s="1"/>
  <c r="H4" i="6"/>
  <c r="R2" i="6"/>
  <c r="R3" i="6"/>
  <c r="Q14" i="6" l="1"/>
  <c r="H14" i="6" s="1"/>
  <c r="Q12" i="6"/>
  <c r="H12" i="6" s="1"/>
  <c r="R17" i="6"/>
  <c r="S17" i="6" s="1" a="1"/>
  <c r="S17" i="6" s="1"/>
  <c r="Q13" i="6"/>
  <c r="H13" i="6" s="1"/>
  <c r="Q20" i="6"/>
  <c r="S3" i="6" a="1"/>
  <c r="S3" i="6" s="1"/>
  <c r="H3" i="6" s="1"/>
  <c r="S2" i="6" a="1"/>
  <c r="S2" i="6" s="1"/>
  <c r="H2" i="6" s="1"/>
  <c r="Q8" i="6"/>
  <c r="H8" i="6" s="1"/>
  <c r="Q19" i="6"/>
  <c r="Q21" i="6"/>
  <c r="R19" i="6"/>
  <c r="S19" i="6" s="1" a="1"/>
  <c r="S19" i="6" s="1"/>
  <c r="Q18" i="6"/>
  <c r="R18" i="6"/>
  <c r="S18" i="6" s="1" a="1"/>
  <c r="S18" i="6" s="1"/>
  <c r="Q22" i="6"/>
  <c r="R22" i="6"/>
  <c r="S22" i="6" s="1" a="1"/>
  <c r="S22" i="6" s="1"/>
  <c r="H5" i="6"/>
  <c r="H6" i="6"/>
  <c r="H9" i="6"/>
  <c r="Q11" i="6"/>
  <c r="R11" i="6"/>
  <c r="S11" i="6" s="1" a="1"/>
  <c r="S11" i="6" s="1"/>
  <c r="Q10" i="6"/>
  <c r="R10" i="6"/>
  <c r="S10" i="6" s="1" a="1"/>
  <c r="S10" i="6" s="1"/>
  <c r="Q15" i="6"/>
  <c r="R15" i="6"/>
  <c r="S15" i="6" s="1" a="1"/>
  <c r="S15" i="6" s="1"/>
  <c r="Q16" i="6"/>
  <c r="R16" i="6"/>
  <c r="S16" i="6" s="1" a="1"/>
  <c r="S16" i="6" s="1"/>
  <c r="Q7" i="6"/>
  <c r="R7" i="6"/>
  <c r="S7" i="6" s="1" a="1"/>
  <c r="S7" i="6" s="1"/>
  <c r="H18" i="6" l="1"/>
  <c r="H19" i="6"/>
  <c r="H7" i="6"/>
  <c r="H21" i="6"/>
  <c r="H16" i="6"/>
  <c r="H10" i="6"/>
  <c r="H17" i="6"/>
  <c r="H20" i="6"/>
  <c r="H22" i="6"/>
  <c r="H11" i="6"/>
  <c r="H15" i="6"/>
  <c r="L4" i="1" l="1"/>
  <c r="L5" i="1"/>
  <c r="L6" i="1"/>
  <c r="L7" i="1"/>
  <c r="L9" i="1"/>
  <c r="L10" i="1"/>
  <c r="L11" i="1"/>
  <c r="L12" i="1"/>
  <c r="L13" i="1"/>
  <c r="L14" i="1"/>
  <c r="L15" i="1"/>
  <c r="L3" i="1"/>
  <c r="K4" i="1"/>
  <c r="M4" i="1" s="1"/>
  <c r="N4" i="1" s="1" a="1"/>
  <c r="N4" i="1" s="1"/>
  <c r="K5" i="1"/>
  <c r="M5" i="1" s="1"/>
  <c r="N5" i="1" s="1" a="1"/>
  <c r="N5" i="1" s="1"/>
  <c r="P5" i="1" s="1" a="1"/>
  <c r="P5" i="1" s="1"/>
  <c r="K6" i="1"/>
  <c r="M6" i="1" s="1"/>
  <c r="N6" i="1" s="1" a="1"/>
  <c r="N6" i="1" s="1"/>
  <c r="P6" i="1" s="1" a="1"/>
  <c r="P6" i="1" s="1"/>
  <c r="K7" i="1"/>
  <c r="M7" i="1" s="1"/>
  <c r="N7" i="1" s="1" a="1"/>
  <c r="N7" i="1" s="1"/>
  <c r="K8" i="1"/>
  <c r="M8" i="1" s="1"/>
  <c r="N8" i="1" s="1" a="1"/>
  <c r="N8" i="1" s="1"/>
  <c r="P8" i="1" s="1" a="1"/>
  <c r="P8" i="1" s="1"/>
  <c r="K9" i="1"/>
  <c r="M9" i="1" s="1"/>
  <c r="N9" i="1" s="1" a="1"/>
  <c r="N9" i="1" s="1"/>
  <c r="P9" i="1" s="1" a="1"/>
  <c r="P9" i="1" s="1"/>
  <c r="K10" i="1"/>
  <c r="M10" i="1" s="1"/>
  <c r="N10" i="1" s="1" a="1"/>
  <c r="N10" i="1" s="1"/>
  <c r="P10" i="1" s="1" a="1"/>
  <c r="P10" i="1" s="1"/>
  <c r="K11" i="1"/>
  <c r="M11" i="1" s="1"/>
  <c r="N11" i="1" s="1" a="1"/>
  <c r="N11" i="1" s="1"/>
  <c r="P11" i="1" s="1" a="1"/>
  <c r="P11" i="1" s="1"/>
  <c r="K12" i="1"/>
  <c r="M12" i="1" s="1"/>
  <c r="N12" i="1" s="1" a="1"/>
  <c r="N12" i="1" s="1"/>
  <c r="P12" i="1" s="1" a="1"/>
  <c r="P12" i="1" s="1"/>
  <c r="K13" i="1"/>
  <c r="M13" i="1" s="1"/>
  <c r="N13" i="1" s="1" a="1"/>
  <c r="N13" i="1" s="1"/>
  <c r="P13" i="1" s="1" a="1"/>
  <c r="P13" i="1" s="1"/>
  <c r="K14" i="1"/>
  <c r="M14" i="1" s="1"/>
  <c r="N14" i="1" s="1" a="1"/>
  <c r="N14" i="1" s="1"/>
  <c r="P14" i="1" s="1" a="1"/>
  <c r="P14" i="1" s="1"/>
  <c r="K15" i="1"/>
  <c r="M15" i="1" s="1"/>
  <c r="N15" i="1" s="1" a="1"/>
  <c r="N15" i="1" s="1"/>
  <c r="P15" i="1" s="1" a="1"/>
  <c r="P15" i="1" s="1"/>
  <c r="K3" i="1"/>
  <c r="M3" i="1" s="1"/>
  <c r="N3" i="1" s="1" a="1"/>
  <c r="N3" i="1" s="1"/>
  <c r="E8" i="1"/>
  <c r="E4" i="1"/>
  <c r="E5" i="1"/>
  <c r="E6" i="1"/>
  <c r="E7" i="1"/>
  <c r="E9" i="1"/>
  <c r="E10" i="1"/>
  <c r="E11" i="1"/>
  <c r="E12" i="1"/>
  <c r="E13" i="1"/>
  <c r="E14" i="1"/>
  <c r="E15" i="1"/>
  <c r="E16" i="1"/>
  <c r="E3" i="1"/>
  <c r="O4" i="1" l="1" a="1"/>
  <c r="O4" i="1" s="1"/>
  <c r="Q4" i="1" s="1"/>
  <c r="S4" i="1" s="1"/>
  <c r="T4" i="1" a="1"/>
  <c r="T4" i="1" s="1"/>
  <c r="P4" i="1" a="1"/>
  <c r="P4" i="1" s="1"/>
  <c r="T7" i="1" a="1"/>
  <c r="T7" i="1" s="1"/>
  <c r="P7" i="1" a="1"/>
  <c r="P7" i="1" s="1"/>
  <c r="O3" i="1" a="1"/>
  <c r="O3" i="1" s="1"/>
  <c r="Q3" i="1" s="1"/>
  <c r="O5" i="1" a="1"/>
  <c r="O5" i="1" s="1"/>
  <c r="Q5" i="1" s="1"/>
  <c r="S5" i="1" s="1"/>
  <c r="T5" i="1" s="1" a="1"/>
  <c r="T5" i="1" s="1"/>
  <c r="T3" i="1" a="1"/>
  <c r="T3" i="1" s="1"/>
  <c r="P3" i="1" a="1"/>
  <c r="P3" i="1" s="1"/>
  <c r="R3" i="1" s="1"/>
  <c r="O15" i="1" a="1"/>
  <c r="O15" i="1" s="1"/>
  <c r="Q15" i="1" s="1"/>
  <c r="S15" i="1" s="1"/>
  <c r="T15" i="1" s="1" a="1"/>
  <c r="T15" i="1" s="1"/>
  <c r="O14" i="1" a="1"/>
  <c r="O14" i="1" s="1"/>
  <c r="Q14" i="1" s="1"/>
  <c r="S14" i="1" s="1"/>
  <c r="T14" i="1" s="1" a="1"/>
  <c r="T14" i="1" s="1"/>
  <c r="O13" i="1" a="1"/>
  <c r="O13" i="1" s="1"/>
  <c r="Q13" i="1" s="1"/>
  <c r="S13" i="1" s="1"/>
  <c r="T13" i="1" s="1" a="1"/>
  <c r="T13" i="1" s="1"/>
  <c r="O12" i="1" a="1"/>
  <c r="O12" i="1" s="1"/>
  <c r="Q12" i="1" s="1"/>
  <c r="S12" i="1" s="1"/>
  <c r="T12" i="1" s="1" a="1"/>
  <c r="T12" i="1" s="1"/>
  <c r="O11" i="1" a="1"/>
  <c r="O11" i="1" s="1"/>
  <c r="Q11" i="1" s="1"/>
  <c r="S11" i="1" s="1"/>
  <c r="T11" i="1" s="1" a="1"/>
  <c r="T11" i="1" s="1"/>
  <c r="O10" i="1" a="1"/>
  <c r="O10" i="1" s="1"/>
  <c r="Q10" i="1" s="1"/>
  <c r="S10" i="1" s="1"/>
  <c r="T10" i="1" s="1" a="1"/>
  <c r="T10" i="1" s="1"/>
  <c r="O9" i="1" a="1"/>
  <c r="O9" i="1" s="1"/>
  <c r="Q9" i="1" s="1"/>
  <c r="R9" i="1" s="1"/>
  <c r="O8" i="1" a="1"/>
  <c r="O8" i="1" s="1"/>
  <c r="Q8" i="1" s="1"/>
  <c r="R8" i="1" s="1"/>
  <c r="O7" i="1" a="1"/>
  <c r="O7" i="1" s="1"/>
  <c r="Q7" i="1" s="1"/>
  <c r="S7" i="1" s="1"/>
  <c r="O6" i="1" a="1"/>
  <c r="O6" i="1" s="1"/>
  <c r="Q6" i="1" s="1"/>
  <c r="R6" i="1" s="1"/>
  <c r="S3" i="1"/>
  <c r="R10" i="1"/>
  <c r="R7" i="1"/>
  <c r="S6" i="1"/>
  <c r="T6" i="1" s="1" a="1"/>
  <c r="T6" i="1" s="1"/>
  <c r="R11" i="1" l="1"/>
  <c r="R13" i="1"/>
  <c r="S8" i="1"/>
  <c r="T8" i="1" s="1" a="1"/>
  <c r="T8" i="1" s="1"/>
  <c r="R5" i="1"/>
  <c r="R14" i="1"/>
  <c r="S9" i="1"/>
  <c r="T9" i="1" s="1" a="1"/>
  <c r="T9" i="1" s="1"/>
  <c r="R4" i="1"/>
  <c r="R15" i="1"/>
  <c r="R12" i="1"/>
  <c r="J3" i="1"/>
  <c r="J8" i="1" l="1"/>
  <c r="J11" i="1"/>
  <c r="J9" i="1"/>
  <c r="J12" i="1"/>
  <c r="J4" i="1"/>
  <c r="J7" i="1"/>
  <c r="J6" i="1" l="1"/>
  <c r="J14" i="1"/>
  <c r="J10" i="1"/>
  <c r="J5" i="1"/>
  <c r="J15" i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<sst xmlns="http://schemas.openxmlformats.org/spreadsheetml/2006/main" count="88" uniqueCount="43">
  <si>
    <t>Date</t>
  </si>
  <si>
    <t>Cost Per Unit</t>
  </si>
  <si>
    <t>Flavor</t>
  </si>
  <si>
    <t>Pecan</t>
  </si>
  <si>
    <t>Rhubarb</t>
  </si>
  <si>
    <t>Apple</t>
  </si>
  <si>
    <t>Orders</t>
  </si>
  <si>
    <t>Sales</t>
  </si>
  <si>
    <t>Qty Purchased</t>
  </si>
  <si>
    <t>Qty Sold</t>
  </si>
  <si>
    <t>COGS</t>
  </si>
  <si>
    <t>Cumulative Ordered</t>
  </si>
  <si>
    <t>Cumulative Sold</t>
  </si>
  <si>
    <t>Index of Last Sale</t>
  </si>
  <si>
    <t>Index of Oldest Order Still in Inventory Before This Sale</t>
  </si>
  <si>
    <t>Cost Per Unit of Oldest Inventory</t>
  </si>
  <si>
    <t>COOGS</t>
  </si>
  <si>
    <t>CORGS</t>
  </si>
  <si>
    <t>Total Qty Sold Before This Sale</t>
  </si>
  <si>
    <t>Qty of Oldest Order Left in Inventory Before This Sale</t>
  </si>
  <si>
    <t>Qty of Oldest Order Sold</t>
  </si>
  <si>
    <t>Additional Qty Needed</t>
  </si>
  <si>
    <t>Starting Balance [L]</t>
  </si>
  <si>
    <t>Liters Purchased</t>
  </si>
  <si>
    <t>Price Per Liter</t>
  </si>
  <si>
    <t>Ending Balance [L]</t>
  </si>
  <si>
    <t>Project</t>
  </si>
  <si>
    <t>Town A</t>
  </si>
  <si>
    <t>Town B</t>
  </si>
  <si>
    <t>Town C</t>
  </si>
  <si>
    <t>Index of Last Entry</t>
  </si>
  <si>
    <t>Diesel Used [L]</t>
  </si>
  <si>
    <t>Cumulative Supplied [L]</t>
  </si>
  <si>
    <t>Cumulative Consumed [L]</t>
  </si>
  <si>
    <t>Cost of Consumption</t>
  </si>
  <si>
    <t>Total Consumption Before This Consumption</t>
  </si>
  <si>
    <t>Index of Oldest Diesel Still in Tank Before This Consumption</t>
  </si>
  <si>
    <t>Liters of Oldest Diesel Left in Tank Before This Consumption</t>
  </si>
  <si>
    <t>Price Per Liter of Oldest Diesel</t>
  </si>
  <si>
    <t>Liters of Oldest Diesel Consumed</t>
  </si>
  <si>
    <t>Price of Oldest Diesel Consumed</t>
  </si>
  <si>
    <t>Additional Liters Needed</t>
  </si>
  <si>
    <t>Price of Remaining Diesel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</si>
</sst>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2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781A9-55EC-4770-9C98-B1AE311B0F18}" name="Orders" displayName="Orders" ref="A2:E16" totalsRowShown="0" headerRowDxfId="11">
  <autoFilter ref="A2:E16" xr:uid="{846781A9-55EC-4770-9C98-B1AE311B0F18}"/>
  <tableColumns count="5">
    <tableColumn id="1" xr3:uid="{5B95E58D-13AC-4902-9B91-20FE94B372A3}" name="Date" dataDxfId="10"/>
    <tableColumn id="2" xr3:uid="{3AC47689-5DFE-4D86-BAFF-AF23257E5270}" name="Flavor"/>
    <tableColumn id="3" xr3:uid="{A5A37564-B841-4F8E-8FFB-C9C109617CB0}" name="Qty Purchased"/>
    <tableColumn id="4" xr3:uid="{D758F7FA-780D-4BC3-9315-1AC38002A24E}" name="Cost Per Unit" dataDxfId="9" dataCellStyle="Currency"/>
    <tableColumn id="5" xr3:uid="{5D89330C-A13F-4B13-9778-EF068DCE6C20}" name="Cumulative Ordered">
      <calculatedColumnFormula>SUMIF(B$3:B3,Orders[[#This Row],[Flavor]],C$3:C3)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6D790-F4B7-43A8-A924-6BA6E1C4E55C}" name="Sales" displayName="Sales" ref="G2:T15" totalsRowShown="0" headerRowDxfId="8" dataDxfId="7" dataCellStyle="Currency">
  <autoFilter ref="G2:T15" xr:uid="{4D56D790-F4B7-43A8-A924-6BA6E1C4E55C}"/>
  <tableColumns count="14">
    <tableColumn id="1" xr3:uid="{DB97CD36-5ADB-41AB-9159-DF0568286388}" name="Date" dataDxfId="6"/>
    <tableColumn id="2" xr3:uid="{66DB852D-B4A5-4A2E-B808-4AE8B7E0209C}" name="Flavor"/>
    <tableColumn id="3" xr3:uid="{CFC6ED41-0D49-4F79-A455-E7DDAE68C2B1}" name="Qty Sold"/>
    <tableColumn id="4" xr3:uid="{66145013-CCDA-45E2-BDB7-8405BCDE97E3}" name="COGS" dataDxfId="5" dataCellStyle="Currency">
      <calculatedColumnFormula>Sales[[#This Row],[COOGS]]+Sales[[#This Row],[CORGS]]</calculatedColumnFormula>
    </tableColumn>
    <tableColumn id="6" xr3:uid="{4E763555-CAEC-43DA-B281-A69BFFA306BD}" name="Cumulative Sold">
      <calculatedColumnFormula>SUMIF(H$3:H3,Sales[[#This Row],[Flavor]],I$3:I3)</calculatedColumnFormula>
    </tableColumn>
    <tableColumn id="7" xr3:uid="{2F6B8B6C-034B-4E21-BFBA-5576BCB9E180}" name="Index of Last Sale">
      <calculatedColumnFormula>IFERROR(_xlfn.XMATCH(Sales[[#This Row],[Flavor]],H$2:H2,0,-1)-1,0)</calculatedColumnFormula>
    </tableColumn>
    <tableColumn id="8" xr3:uid="{F935F933-7BCA-4A81-8B0F-AD4C0128260B}" name="Total Qty Sold Before This Sale">
      <calculatedColumnFormula>Sales[[#This Row],[Cumulative Sold]]-Sales[[#This Row],[Qty Sold]]</calculatedColumnFormula>
    </tableColumn>
    <tableColumn id="9" xr3:uid="{8D1D0691-4FF4-416F-8AAE-3D45B1F0AE12}" name="Index of Oldest Order Still in Inventory Before This Sale">
      <calculatedColumnFormula array="1">_xlfn.XMATCH(Sales[[#This Row],[Total Qty Sold Before This Sale]],_xlfn._xlws.FILTER(Orders[Cumulative Ordered],(Orders[Flavor]=Sales[[#This Row],[Flavor]])*(Orders[Date]&lt;Sales[[#This Row],[Date]])),1,1)</calculatedColumnFormula>
    </tableColumn>
    <tableColumn id="10" xr3:uid="{031D3E9A-C971-42CA-8D81-D10A0BC88399}" name="Qty of Oldest Order Left in Inventory Before This Sale">
      <calculatedColumnFormula array="1">INDEX(_xlfn._xlws.FILTER(E$3:E$16,(B$3:B$16=H3)*(A$3:A$16&lt;G3)),N3)-IF(L3=0,0,INDEX(K2:K$3,L3))</calculatedColumnFormula>
    </tableColumn>
    <tableColumn id="11" xr3:uid="{1ED77A7A-D9ED-4F81-8833-F7A7C267F8D8}" name="Cost Per Unit of Oldest Inventory" dataDxfId="4" dataCellStyle="Currency">
      <calculatedColumnFormula array="1">INDEX(_xlfn._xlws.FILTER(Orders[Cost Per Unit],Orders[Flavor]=Sales[[#This Row],[Flavor]]),Sales[[#This Row],[Index of Oldest Order Still in Inventory Before This Sale]])</calculatedColumnFormula>
    </tableColumn>
    <tableColumn id="12" xr3:uid="{3832647B-37DA-4DA9-95F0-9243CECCA8D4}" name="Qty of Oldest Order Sold">
      <calculatedColumnFormula>MIN(Sales[[#This Row],[Qty of Oldest Order Left in Inventory Before This Sale]],Sales[[#This Row],[Qty Sold]])</calculatedColumnFormula>
    </tableColumn>
    <tableColumn id="13" xr3:uid="{0C8457DB-D4B3-4CC0-B8BD-E0350F19876F}" name="COOGS" dataDxfId="3" dataCellStyle="Currency">
      <calculatedColumnFormula>Sales[[#This Row],[Qty of Oldest Order Sold]]*Sales[[#This Row],[Cost Per Unit of Oldest Inventory]]</calculatedColumnFormula>
    </tableColumn>
    <tableColumn id="14" xr3:uid="{4EE8349E-D2DB-4410-9B88-ED6165A5749C}" name="Additional Qty Needed">
      <calculatedColumnFormula>Sales[[#This Row],[Qty Sold]]-Sales[[#This Row],[Qty of Oldest Order Sold]]</calculatedColumnFormula>
    </tableColumn>
    <tableColumn id="15" xr3:uid="{18DA9874-71E3-4809-97E2-866FCD216761}" name="CORGS" dataDxfId="2" dataCellStyle="Currency">
      <calculatedColumnFormula array="1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098B8D-5146-4F37-AE70-C563D4C0685C}" name="Diesel" displayName="Diesel" ref="A1:S22" totalsRowShown="0" headerRowDxfId="1">
  <autoFilter ref="A1:S22" xr:uid="{21098B8D-5146-4F37-AE70-C563D4C0685C}"/>
  <tableColumns count="19">
    <tableColumn id="1" xr3:uid="{EA71153E-86AA-4BA1-BE55-F60D0B1CED0F}" name="Date" dataDxfId="0"/>
    <tableColumn id="2" xr3:uid="{DE63CF43-F0F3-4847-81D4-31639782AC8B}" name="Project"/>
    <tableColumn id="3" xr3:uid="{B0EAE31E-7F06-4A96-B337-B1F2F2FD98A6}" name="Starting Balance [L]"/>
    <tableColumn id="4" xr3:uid="{2868E84E-8809-4853-B2BE-0397D899215B}" name="Liters Purchased"/>
    <tableColumn id="5" xr3:uid="{528EF72A-FAF9-4FEC-819A-CA49AA03323F}" name="Price Per Liter"/>
    <tableColumn id="6" xr3:uid="{5A67619A-3AEE-426F-A092-FC506230CEEA}" name="Ending Balance [L]">
      <calculatedColumnFormula>Diesel[[#This Row],[Starting Balance '[L']]]+Diesel[[#This Row],[Liters Purchased]]</calculatedColumnFormula>
    </tableColumn>
    <tableColumn id="8" xr3:uid="{4050E94A-C696-409E-B783-08E146E65B37}" name="Diesel Used [L]">
      <calculatedColumnFormula array="1">IF(Diesel[[#This Row],[Index of Last Entry]]=0,0,INDEX(Diesel[Ending Balance '[L']],Diesel[[#This Row],[Index of Last Entry]])-Diesel[[#This Row],[Starting Balance '[L']]])</calculatedColumnFormula>
    </tableColumn>
    <tableColumn id="12" xr3:uid="{2BBAF64A-DC73-4EA5-9EA0-3AFE60077AF7}" name="Cost of Consumption">
      <calculatedColumnFormula>Diesel[[#This Row],[Price of Oldest Diesel Consumed]]+Diesel[[#This Row],[Price of Remaining Diesel Consumed]]</calculatedColumnFormula>
    </tableColumn>
    <tableColumn id="7" xr3:uid="{336178C8-F3EC-4ABC-AA80-EE982DFE7014}" name="Index of Last Entry">
      <calculatedColumnFormula>IFERROR(_xlfn.XMATCH(Diesel[[#This Row],[Project]],B$1:B1,0,-1)-1,0)</calculatedColumnFormula>
    </tableColumn>
    <tableColumn id="9" xr3:uid="{D38F4A3C-2E01-4D6F-BEF3-A4D4C51E7030}" name="Cumulative Supplied [L]"/>
    <tableColumn id="10" xr3:uid="{7B256C61-6591-4015-8C42-D553B457C3BF}" name="Cumulative Consumed [L]"/>
    <tableColumn id="11" xr3:uid="{AF85F47E-F8B2-40AE-A33B-56084CF31F6B}" name="Total Consumption Before This Consumption">
      <calculatedColumnFormula>Diesel[[#This Row],[Cumulative Consumed '[L']]]-Diesel[[#This Row],[Diesel Used '[L']]]</calculatedColumnFormula>
    </tableColumn>
    <tableColumn id="14" xr3:uid="{9EB25C17-D539-44DB-9A51-48F9662D28EE}" name="Index of Oldest Diesel Still in Tank Before This Consumption">
      <calculatedColumnFormula array="1">IF(Diesel[[#This Row],[Index of Last Entry]]=0,0,_xlfn.XMATCH(Diesel[[#This Row],[Total Consumption Before This Consumption]],_xlfn._xlws.FILTER(J$1:J1,B$1:B1=Diesel[[#This Row],[Project]]),1,1))</calculatedColumnFormula>
    </tableColumn>
    <tableColumn id="15" xr3:uid="{C59C1CE2-28C0-43C0-BBAB-6304D854AE8D}" name="Liters of Oldest Diesel Left in Tank Before This Consumption">
      <calculatedColumnFormula array="1">IF(Diesel[[#This Row],[Index of Last Entry]]=0,0,INDEX(_xlfn._xlws.FILTER(J$1:J1,B$1:B1=Diesel[[#This Row],[Project]]),Diesel[[#This Row],[Index of Oldest Diesel Still in Tank Before This Consumption]])-INDEX(L$2:L2,Diesel[[#This Row],[Index of Last Entry]]))</calculatedColumnFormula>
    </tableColumn>
    <tableColumn id="16" xr3:uid="{2B4FDCA7-B5D3-43B3-BC01-9257DD965C07}" name="Price Per Liter of Oldest Diesel">
      <calculatedColumnFormula array="1">IF(Diesel[[#This Row],[Index of Last Entry]]=0,0,INDEX(_xlfn._xlws.FILTER(E$1:E1,B$1:B1=Diesel[[#This Row],[Project]]),Diesel[[#This Row],[Index of Oldest Diesel Still in Tank Before This Consumption]]))</calculatedColumnFormula>
    </tableColumn>
    <tableColumn id="17" xr3:uid="{8E8B3A91-7DF3-490B-AD2F-EB8320809D6C}" name="Liters of Oldest Diesel Consumed"/>
    <tableColumn id="18" xr3:uid="{81B6D542-80CC-48DC-8AA7-B48D06E31919}" name="Price of Oldest Diesel Consumed">
      <calculatedColumnFormula>Diesel[[#This Row],[Liters of Oldest Diesel Consumed]]*Diesel[[#This Row],[Price Per Liter of Oldest Diesel]]</calculatedColumnFormula>
    </tableColumn>
    <tableColumn id="19" xr3:uid="{C067D56C-4FB6-4AE5-9188-F1DC56EB9C0D}" name="Additional Liters Needed">
      <calculatedColumnFormula>Diesel[[#This Row],[Diesel Used '[L']]]-Diesel[[#This Row],[Liters of Oldest Diesel Consumed]]</calculatedColumnFormula>
    </tableColumn>
    <tableColumn id="20" xr3:uid="{EFE63D98-B8C4-4CE4-8781-E6084342BB0D}" name="Price of Remaining Diesel Consumed">
      <calculatedColumnFormula array="1">_xlfn.LET(_xlpm.filteredSupply,_xlfn._xlws.FILTER(D$2:D2,B$2:B2=Diesel[[#This Row],[Project]]),_xlpm.filteredPricePerLiter,_xlfn._xlws.FILTER(E$2:E2,B$2:B2=Diesel[[#This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663B-1244-43FE-AC2F-F7E2DADC8CDE}">
  <dimension ref="A1:T16"/>
  <sheetViews>
    <sheetView tabSelected="1" workbookViewId="0">
      <selection activeCell="J4" sqref="J4"/>
    </sheetView>
  </sheetViews>
  <sheetFormatPr defaultRowHeight="14.4" x14ac:dyDescent="0.55000000000000004"/>
  <cols>
    <col min="1" max="1" width="9.83984375" bestFit="1" customWidth="1"/>
    <col min="2" max="2" width="8.578125" bestFit="1" customWidth="1"/>
    <col min="3" max="3" width="12.68359375" bestFit="1" customWidth="1"/>
    <col min="4" max="4" width="11" bestFit="1" customWidth="1"/>
    <col min="5" max="5" width="13.68359375" bestFit="1" customWidth="1"/>
    <col min="7" max="7" width="9.83984375" bestFit="1" customWidth="1"/>
    <col min="9" max="9" width="7.26171875" bestFit="1" customWidth="1"/>
    <col min="10" max="10" width="10.83984375" bestFit="1" customWidth="1"/>
    <col min="11" max="11" width="13.68359375" bestFit="1" customWidth="1"/>
    <col min="12" max="12" width="11.26171875" customWidth="1"/>
    <col min="13" max="13" width="17.83984375" bestFit="1" customWidth="1"/>
    <col min="14" max="14" width="29.26171875" bestFit="1" customWidth="1"/>
    <col min="15" max="15" width="29.41796875" customWidth="1"/>
    <col min="16" max="16" width="18.41796875" bestFit="1" customWidth="1"/>
    <col min="17" max="17" width="15.15625" bestFit="1" customWidth="1"/>
    <col min="18" max="18" width="10.15625" bestFit="1" customWidth="1"/>
    <col min="19" max="19" width="14" bestFit="1" customWidth="1"/>
    <col min="20" max="20" width="10.83984375" bestFit="1" customWidth="1"/>
  </cols>
  <sheetData>
    <row r="1" spans="1:20" s="5" customFormat="1" x14ac:dyDescent="0.55000000000000004">
      <c r="A1" s="6" t="s">
        <v>6</v>
      </c>
      <c r="B1" s="6"/>
      <c r="C1" s="6"/>
      <c r="D1" s="6"/>
      <c r="E1" s="4"/>
      <c r="G1" s="6" t="s">
        <v>7</v>
      </c>
      <c r="H1" s="6"/>
      <c r="I1" s="6"/>
      <c r="J1" s="6"/>
    </row>
    <row r="2" spans="1:20" s="2" customFormat="1" ht="28.8" x14ac:dyDescent="0.55000000000000004">
      <c r="A2" s="2" t="s">
        <v>0</v>
      </c>
      <c r="B2" s="2" t="s">
        <v>2</v>
      </c>
      <c r="C2" s="2" t="s">
        <v>8</v>
      </c>
      <c r="D2" s="2" t="s">
        <v>1</v>
      </c>
      <c r="E2" s="2" t="s">
        <v>11</v>
      </c>
      <c r="G2" s="2" t="s">
        <v>0</v>
      </c>
      <c r="H2" s="2" t="s">
        <v>2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18</v>
      </c>
      <c r="N2" s="2" t="s">
        <v>14</v>
      </c>
      <c r="O2" s="2" t="s">
        <v>19</v>
      </c>
      <c r="P2" s="2" t="s">
        <v>15</v>
      </c>
      <c r="Q2" s="2" t="s">
        <v>20</v>
      </c>
      <c r="R2" s="2" t="s">
        <v>16</v>
      </c>
      <c r="S2" s="2" t="s">
        <v>21</v>
      </c>
      <c r="T2" s="2" t="s">
        <v>17</v>
      </c>
    </row>
    <row r="3" spans="1:20" x14ac:dyDescent="0.55000000000000004">
      <c r="A3" s="1">
        <v>42077</v>
      </c>
      <c r="B3" t="s">
        <v>3</v>
      </c>
      <c r="C3">
        <v>31</v>
      </c>
      <c r="D3" s="3">
        <v>13</v>
      </c>
      <c r="E3">
        <f>SUMIF(B$3:B3,Orders[[#This Row],[Flavor]],C$3:C3)</f>
        <v>31</v>
      </c>
      <c r="G3" s="1">
        <v>42078</v>
      </c>
      <c r="H3" t="s">
        <v>4</v>
      </c>
      <c r="I3">
        <v>30</v>
      </c>
      <c r="J3" s="3">
        <f>Sales[[#This Row],[COOGS]]+Sales[[#This Row],[CORGS]]</f>
        <v>330</v>
      </c>
      <c r="K3">
        <f>SUMIF(H$3:H3,Sales[[#This Row],[Flavor]],I$3:I3)</f>
        <v>30</v>
      </c>
      <c r="L3">
        <f>IFERROR(_xlfn.XMATCH(Sales[[#This Row],[Flavor]],H$2:H2,0,-1)-1,0)</f>
        <v>0</v>
      </c>
      <c r="M3">
        <f>Sales[[#This Row],[Cumulative Sold]]-Sales[[#This Row],[Qty Sold]]</f>
        <v>0</v>
      </c>
      <c r="N3" cm="1">
        <f t="array" ref="N3">_xlfn.XMATCH(Sales[[#This Row],[Total Qty Sold Before This Sale]],_xlfn._xlws.FILTER(Orders[Cumulative Ordered],(Orders[Flavor]=Sales[[#This Row],[Flavor]])*(Orders[Date]&lt;Sales[[#This Row],[Date]])),1,1)</f>
        <v>1</v>
      </c>
      <c r="O3" cm="1">
        <f t="array" ref="O3">INDEX(_xlfn._xlws.FILTER(Orders[Cumulative Ordered],(Orders[Flavor]=Sales[[#This Row],[Flavor]])*(Orders[Date]&lt;Sales[[#This Row],[Date]])),Sales[[#This Row],[Index of Oldest Order Still in Inventory Before This Sale]])-IF(Sales[[#This Row],[Index of Last Sale]]=0,0,INDEX(K2:K$3,Sales[[#This Row],[Index of Last Sale]]))</f>
        <v>41</v>
      </c>
      <c r="P3" s="3" cm="1">
        <f t="array" ref="P3">INDEX(_xlfn._xlws.FILTER(Orders[Cost Per Unit],Orders[Flavor]=Sales[[#This Row],[Flavor]]),Sales[[#This Row],[Index of Oldest Order Still in Inventory Before This Sale]])</f>
        <v>11</v>
      </c>
      <c r="Q3">
        <f>MIN(Sales[[#This Row],[Qty of Oldest Order Left in Inventory Before This Sale]],Sales[[#This Row],[Qty Sold]])</f>
        <v>30</v>
      </c>
      <c r="R3" s="3">
        <f>Sales[[#This Row],[Qty of Oldest Order Sold]]*Sales[[#This Row],[Cost Per Unit of Oldest Inventory]]</f>
        <v>330</v>
      </c>
      <c r="S3">
        <f>Sales[[#This Row],[Qty Sold]]-Sales[[#This Row],[Qty of Oldest Order Sold]]</f>
        <v>0</v>
      </c>
      <c r="T3" s="3" cm="1">
        <f t="array" ref="T3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4" spans="1:20" x14ac:dyDescent="0.55000000000000004">
      <c r="A4" s="1">
        <v>42077</v>
      </c>
      <c r="B4" t="s">
        <v>4</v>
      </c>
      <c r="C4">
        <v>41</v>
      </c>
      <c r="D4" s="3">
        <v>11</v>
      </c>
      <c r="E4">
        <f>SUMIF(B$3:B4,Orders[[#This Row],[Flavor]],C$3:C4)</f>
        <v>41</v>
      </c>
      <c r="G4" s="1">
        <v>42079</v>
      </c>
      <c r="H4" t="s">
        <v>3</v>
      </c>
      <c r="I4">
        <v>25</v>
      </c>
      <c r="J4" s="3">
        <f>Sales[[#This Row],[COOGS]]+Sales[[#This Row],[CORGS]]</f>
        <v>325</v>
      </c>
      <c r="K4">
        <f>SUMIF(H$3:H4,Sales[[#This Row],[Flavor]],I$3:I4)</f>
        <v>25</v>
      </c>
      <c r="L4">
        <f>IFERROR(_xlfn.XMATCH(Sales[[#This Row],[Flavor]],H$2:H3,0,-1)-1,0)</f>
        <v>0</v>
      </c>
      <c r="M4">
        <f>Sales[[#This Row],[Cumulative Sold]]-Sales[[#This Row],[Qty Sold]]</f>
        <v>0</v>
      </c>
      <c r="N4" cm="1">
        <f t="array" ref="N4">_xlfn.XMATCH(Sales[[#This Row],[Total Qty Sold Before This Sale]],_xlfn._xlws.FILTER(Orders[Cumulative Ordered],(Orders[Flavor]=Sales[[#This Row],[Flavor]])*(Orders[Date]&lt;Sales[[#This Row],[Date]])),1,1)</f>
        <v>1</v>
      </c>
      <c r="O4" cm="1">
        <f t="array" ref="O4">INDEX(_xlfn._xlws.FILTER(Orders[Cumulative Ordered],(Orders[Flavor]=Sales[[#This Row],[Flavor]])*(Orders[Date]&lt;Sales[[#This Row],[Date]])),Sales[[#This Row],[Index of Oldest Order Still in Inventory Before This Sale]])-IF(Sales[[#This Row],[Index of Last Sale]]=0,0,INDEX(K3:K$3,Sales[[#This Row],[Index of Last Sale]]))</f>
        <v>31</v>
      </c>
      <c r="P4" s="3" cm="1">
        <f t="array" ref="P4">INDEX(_xlfn._xlws.FILTER(Orders[Cost Per Unit],Orders[Flavor]=Sales[[#This Row],[Flavor]]),Sales[[#This Row],[Index of Oldest Order Still in Inventory Before This Sale]])</f>
        <v>13</v>
      </c>
      <c r="Q4">
        <f>MIN(Sales[[#This Row],[Qty of Oldest Order Left in Inventory Before This Sale]],Sales[[#This Row],[Qty Sold]])</f>
        <v>25</v>
      </c>
      <c r="R4" s="3">
        <f>Sales[[#This Row],[Qty of Oldest Order Sold]]*Sales[[#This Row],[Cost Per Unit of Oldest Inventory]]</f>
        <v>325</v>
      </c>
      <c r="S4">
        <f>Sales[[#This Row],[Qty Sold]]-Sales[[#This Row],[Qty of Oldest Order Sold]]</f>
        <v>0</v>
      </c>
      <c r="T4" s="3" cm="1">
        <f t="array" ref="T4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5" spans="1:20" x14ac:dyDescent="0.55000000000000004">
      <c r="A5" s="1">
        <v>42077</v>
      </c>
      <c r="B5" t="s">
        <v>5</v>
      </c>
      <c r="C5">
        <v>59</v>
      </c>
      <c r="D5" s="3">
        <v>14</v>
      </c>
      <c r="E5">
        <f>SUMIF(B$3:B5,Orders[[#This Row],[Flavor]],C$3:C5)</f>
        <v>59</v>
      </c>
      <c r="G5" s="1">
        <v>42080</v>
      </c>
      <c r="H5" t="s">
        <v>5</v>
      </c>
      <c r="I5">
        <v>45</v>
      </c>
      <c r="J5" s="3">
        <f>Sales[[#This Row],[COOGS]]+Sales[[#This Row],[CORGS]]</f>
        <v>630</v>
      </c>
      <c r="K5">
        <f>SUMIF(H$3:H5,Sales[[#This Row],[Flavor]],I$3:I5)</f>
        <v>45</v>
      </c>
      <c r="L5">
        <f>IFERROR(_xlfn.XMATCH(Sales[[#This Row],[Flavor]],H$2:H4,0,-1)-1,0)</f>
        <v>0</v>
      </c>
      <c r="M5">
        <f>Sales[[#This Row],[Cumulative Sold]]-Sales[[#This Row],[Qty Sold]]</f>
        <v>0</v>
      </c>
      <c r="N5" cm="1">
        <f t="array" ref="N5">_xlfn.XMATCH(Sales[[#This Row],[Total Qty Sold Before This Sale]],_xlfn._xlws.FILTER(Orders[Cumulative Ordered],(Orders[Flavor]=Sales[[#This Row],[Flavor]])*(Orders[Date]&lt;Sales[[#This Row],[Date]])),1,1)</f>
        <v>1</v>
      </c>
      <c r="O5" cm="1">
        <f t="array" ref="O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Sale]]=0,0,INDEX(K$3:K4,Sales[[#This Row],[Index of Last Sale]]))</f>
        <v>59</v>
      </c>
      <c r="P5" s="3" cm="1">
        <f t="array" ref="P5">INDEX(_xlfn._xlws.FILTER(Orders[Cost Per Unit],Orders[Flavor]=Sales[[#This Row],[Flavor]]),Sales[[#This Row],[Index of Oldest Order Still in Inventory Before This Sale]])</f>
        <v>14</v>
      </c>
      <c r="Q5">
        <f>MIN(Sales[[#This Row],[Qty of Oldest Order Left in Inventory Before This Sale]],Sales[[#This Row],[Qty Sold]])</f>
        <v>45</v>
      </c>
      <c r="R5" s="3">
        <f>Sales[[#This Row],[Qty of Oldest Order Sold]]*Sales[[#This Row],[Cost Per Unit of Oldest Inventory]]</f>
        <v>630</v>
      </c>
      <c r="S5">
        <f>Sales[[#This Row],[Qty Sold]]-Sales[[#This Row],[Qty of Oldest Order Sold]]</f>
        <v>0</v>
      </c>
      <c r="T5" s="3" cm="1">
        <f t="array" ref="T5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6" spans="1:20" x14ac:dyDescent="0.55000000000000004">
      <c r="A6" s="1">
        <v>42078</v>
      </c>
      <c r="B6" t="s">
        <v>4</v>
      </c>
      <c r="C6">
        <v>26</v>
      </c>
      <c r="D6" s="3">
        <v>11</v>
      </c>
      <c r="E6">
        <f>SUMIF(B$3:B6,Orders[[#This Row],[Flavor]],C$3:C6)</f>
        <v>67</v>
      </c>
      <c r="G6" s="1">
        <v>42081</v>
      </c>
      <c r="H6" t="s">
        <v>4</v>
      </c>
      <c r="I6">
        <v>15</v>
      </c>
      <c r="J6" s="3">
        <f>Sales[[#This Row],[COOGS]]+Sales[[#This Row],[CORGS]]</f>
        <v>165</v>
      </c>
      <c r="K6">
        <f>SUMIF(H$3:H6,Sales[[#This Row],[Flavor]],I$3:I6)</f>
        <v>45</v>
      </c>
      <c r="L6">
        <f>IFERROR(_xlfn.XMATCH(Sales[[#This Row],[Flavor]],H$2:H5,0,-1)-1,0)</f>
        <v>1</v>
      </c>
      <c r="M6">
        <f>Sales[[#This Row],[Cumulative Sold]]-Sales[[#This Row],[Qty Sold]]</f>
        <v>30</v>
      </c>
      <c r="N6" cm="1">
        <f t="array" ref="N6">_xlfn.XMATCH(Sales[[#This Row],[Total Qty Sold Before This Sale]],_xlfn._xlws.FILTER(Orders[Cumulative Ordered],(Orders[Flavor]=Sales[[#This Row],[Flavor]])*(Orders[Date]&lt;Sales[[#This Row],[Date]])),1,1)</f>
        <v>1</v>
      </c>
      <c r="O6" cm="1">
        <f t="array" ref="O6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Sale]]=0,0,INDEX(K$3:K5,Sales[[#This Row],[Index of Last Sale]]))</f>
        <v>11</v>
      </c>
      <c r="P6" s="3" cm="1">
        <f t="array" ref="P6">INDEX(_xlfn._xlws.FILTER(Orders[Cost Per Unit],Orders[Flavor]=Sales[[#This Row],[Flavor]]),Sales[[#This Row],[Index of Oldest Order Still in Inventory Before This Sale]])</f>
        <v>11</v>
      </c>
      <c r="Q6">
        <f>MIN(Sales[[#This Row],[Qty of Oldest Order Left in Inventory Before This Sale]],Sales[[#This Row],[Qty Sold]])</f>
        <v>11</v>
      </c>
      <c r="R6" s="3">
        <f>Sales[[#This Row],[Qty of Oldest Order Sold]]*Sales[[#This Row],[Cost Per Unit of Oldest Inventory]]</f>
        <v>121</v>
      </c>
      <c r="S6">
        <f>Sales[[#This Row],[Qty Sold]]-Sales[[#This Row],[Qty of Oldest Order Sold]]</f>
        <v>4</v>
      </c>
      <c r="T6" s="3" cm="1">
        <f t="array" ref="T6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44</v>
      </c>
    </row>
    <row r="7" spans="1:20" x14ac:dyDescent="0.55000000000000004">
      <c r="A7" s="1">
        <v>42079</v>
      </c>
      <c r="B7" t="s">
        <v>5</v>
      </c>
      <c r="C7">
        <v>53</v>
      </c>
      <c r="D7" s="3">
        <v>15</v>
      </c>
      <c r="E7">
        <f>SUMIF(B$3:B7,Orders[[#This Row],[Flavor]],C$3:C7)</f>
        <v>112</v>
      </c>
      <c r="G7" s="1">
        <v>42082</v>
      </c>
      <c r="H7" t="s">
        <v>4</v>
      </c>
      <c r="I7">
        <v>22</v>
      </c>
      <c r="J7" s="3">
        <f>Sales[[#This Row],[COOGS]]+Sales[[#This Row],[CORGS]]</f>
        <v>242</v>
      </c>
      <c r="K7">
        <f>SUMIF(H$3:H7,Sales[[#This Row],[Flavor]],I$3:I7)</f>
        <v>67</v>
      </c>
      <c r="L7">
        <f>IFERROR(_xlfn.XMATCH(Sales[[#This Row],[Flavor]],H$2:H6,0,-1)-1,0)</f>
        <v>4</v>
      </c>
      <c r="M7">
        <f>Sales[[#This Row],[Cumulative Sold]]-Sales[[#This Row],[Qty Sold]]</f>
        <v>45</v>
      </c>
      <c r="N7" cm="1">
        <f t="array" ref="N7">_xlfn.XMATCH(Sales[[#This Row],[Total Qty Sold Before This Sale]],_xlfn._xlws.FILTER(Orders[Cumulative Ordered],(Orders[Flavor]=Sales[[#This Row],[Flavor]])*(Orders[Date]&lt;Sales[[#This Row],[Date]])),1,1)</f>
        <v>2</v>
      </c>
      <c r="O7" cm="1">
        <f t="array" ref="O7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Sale]]=0,0,INDEX(K$3:K6,Sales[[#This Row],[Index of Last Sale]]))</f>
        <v>22</v>
      </c>
      <c r="P7" s="3" cm="1">
        <f t="array" ref="P7">INDEX(_xlfn._xlws.FILTER(Orders[Cost Per Unit],Orders[Flavor]=Sales[[#This Row],[Flavor]]),Sales[[#This Row],[Index of Oldest Order Still in Inventory Before This Sale]])</f>
        <v>11</v>
      </c>
      <c r="Q7">
        <f>MIN(Sales[[#This Row],[Qty of Oldest Order Left in Inventory Before This Sale]],Sales[[#This Row],[Qty Sold]])</f>
        <v>22</v>
      </c>
      <c r="R7" s="3">
        <f>Sales[[#This Row],[Qty of Oldest Order Sold]]*Sales[[#This Row],[Cost Per Unit of Oldest Inventory]]</f>
        <v>242</v>
      </c>
      <c r="S7">
        <f>Sales[[#This Row],[Qty Sold]]-Sales[[#This Row],[Qty of Oldest Order Sold]]</f>
        <v>0</v>
      </c>
      <c r="T7" s="3" cm="1">
        <f t="array" ref="T7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8" spans="1:20" x14ac:dyDescent="0.55000000000000004">
      <c r="A8" s="1">
        <v>42080</v>
      </c>
      <c r="B8" t="s">
        <v>3</v>
      </c>
      <c r="C8">
        <v>58</v>
      </c>
      <c r="D8" s="3">
        <v>19</v>
      </c>
      <c r="E8">
        <f>SUMIF(B$3:B8,Orders[[#This Row],[Flavor]],C$3:C8)</f>
        <v>89</v>
      </c>
      <c r="G8" s="1">
        <v>42083</v>
      </c>
      <c r="H8" t="s">
        <v>5</v>
      </c>
      <c r="I8">
        <v>16</v>
      </c>
      <c r="J8" s="3">
        <f>Sales[[#This Row],[COOGS]]+Sales[[#This Row],[CORGS]]</f>
        <v>226</v>
      </c>
      <c r="K8">
        <f>SUMIF(H$3:H8,Sales[[#This Row],[Flavor]],I$3:I8)</f>
        <v>61</v>
      </c>
      <c r="L8">
        <f>IFERROR(_xlfn.XMATCH(Sales[[#This Row],[Flavor]],H$2:H7,0,-1)-1,0)</f>
        <v>3</v>
      </c>
      <c r="M8">
        <f>Sales[[#This Row],[Cumulative Sold]]-Sales[[#This Row],[Qty Sold]]</f>
        <v>45</v>
      </c>
      <c r="N8" cm="1">
        <f t="array" ref="N8">_xlfn.XMATCH(Sales[[#This Row],[Total Qty Sold Before This Sale]],_xlfn._xlws.FILTER(Orders[Cumulative Ordered],(Orders[Flavor]=Sales[[#This Row],[Flavor]])*(Orders[Date]&lt;Sales[[#This Row],[Date]])),1,1)</f>
        <v>1</v>
      </c>
      <c r="O8" cm="1">
        <f t="array" ref="O8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Sale]]=0,0,INDEX(K$3:K7,Sales[[#This Row],[Index of Last Sale]]))</f>
        <v>14</v>
      </c>
      <c r="P8" s="3" cm="1">
        <f t="array" ref="P8">INDEX(_xlfn._xlws.FILTER(Orders[Cost Per Unit],Orders[Flavor]=Sales[[#This Row],[Flavor]]),Sales[[#This Row],[Index of Oldest Order Still in Inventory Before This Sale]])</f>
        <v>14</v>
      </c>
      <c r="Q8">
        <f>MIN(Sales[[#This Row],[Qty of Oldest Order Left in Inventory Before This Sale]],Sales[[#This Row],[Qty Sold]])</f>
        <v>14</v>
      </c>
      <c r="R8" s="3">
        <f>Sales[[#This Row],[Qty of Oldest Order Sold]]*Sales[[#This Row],[Cost Per Unit of Oldest Inventory]]</f>
        <v>196</v>
      </c>
      <c r="S8">
        <f>Sales[[#This Row],[Qty Sold]]-Sales[[#This Row],[Qty of Oldest Order Sold]]</f>
        <v>2</v>
      </c>
      <c r="T8" s="3" cm="1">
        <f t="array" ref="T8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30</v>
      </c>
    </row>
    <row r="9" spans="1:20" x14ac:dyDescent="0.55000000000000004">
      <c r="A9" s="1">
        <v>42081</v>
      </c>
      <c r="B9" t="s">
        <v>5</v>
      </c>
      <c r="C9">
        <v>97</v>
      </c>
      <c r="D9" s="3">
        <v>12</v>
      </c>
      <c r="E9">
        <f>SUMIF(B$3:B9,Orders[[#This Row],[Flavor]],C$3:C9)</f>
        <v>209</v>
      </c>
      <c r="G9" s="1">
        <v>42084</v>
      </c>
      <c r="H9" t="s">
        <v>3</v>
      </c>
      <c r="I9">
        <v>15</v>
      </c>
      <c r="J9" s="3">
        <f>Sales[[#This Row],[COOGS]]+Sales[[#This Row],[CORGS]]</f>
        <v>249</v>
      </c>
      <c r="K9">
        <f>SUMIF(H$3:H9,Sales[[#This Row],[Flavor]],I$3:I9)</f>
        <v>40</v>
      </c>
      <c r="L9">
        <f>IFERROR(_xlfn.XMATCH(Sales[[#This Row],[Flavor]],H$2:H8,0,-1)-1,0)</f>
        <v>2</v>
      </c>
      <c r="M9">
        <f>Sales[[#This Row],[Cumulative Sold]]-Sales[[#This Row],[Qty Sold]]</f>
        <v>25</v>
      </c>
      <c r="N9" cm="1">
        <f t="array" ref="N9">_xlfn.XMATCH(Sales[[#This Row],[Total Qty Sold Before This Sale]],_xlfn._xlws.FILTER(Orders[Cumulative Ordered],(Orders[Flavor]=Sales[[#This Row],[Flavor]])*(Orders[Date]&lt;Sales[[#This Row],[Date]])),1,1)</f>
        <v>1</v>
      </c>
      <c r="O9" cm="1">
        <f t="array" ref="O9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Sale]]=0,0,INDEX(K$3:K8,Sales[[#This Row],[Index of Last Sale]]))</f>
        <v>6</v>
      </c>
      <c r="P9" s="3" cm="1">
        <f t="array" ref="P9">INDEX(_xlfn._xlws.FILTER(Orders[Cost Per Unit],Orders[Flavor]=Sales[[#This Row],[Flavor]]),Sales[[#This Row],[Index of Oldest Order Still in Inventory Before This Sale]])</f>
        <v>13</v>
      </c>
      <c r="Q9">
        <f>MIN(Sales[[#This Row],[Qty of Oldest Order Left in Inventory Before This Sale]],Sales[[#This Row],[Qty Sold]])</f>
        <v>6</v>
      </c>
      <c r="R9" s="3">
        <f>Sales[[#This Row],[Qty of Oldest Order Sold]]*Sales[[#This Row],[Cost Per Unit of Oldest Inventory]]</f>
        <v>78</v>
      </c>
      <c r="S9">
        <f>Sales[[#This Row],[Qty Sold]]-Sales[[#This Row],[Qty of Oldest Order Sold]]</f>
        <v>9</v>
      </c>
      <c r="T9" s="3" cm="1">
        <f t="array" ref="T9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171</v>
      </c>
    </row>
    <row r="10" spans="1:20" x14ac:dyDescent="0.55000000000000004">
      <c r="A10" s="1">
        <v>42082</v>
      </c>
      <c r="B10" t="s">
        <v>4</v>
      </c>
      <c r="C10">
        <v>93</v>
      </c>
      <c r="D10" s="3">
        <v>16</v>
      </c>
      <c r="E10">
        <f>SUMIF(B$3:B10,Orders[[#This Row],[Flavor]],C$3:C10)</f>
        <v>160</v>
      </c>
      <c r="G10" s="1">
        <v>42085</v>
      </c>
      <c r="H10" t="s">
        <v>4</v>
      </c>
      <c r="I10">
        <v>100</v>
      </c>
      <c r="J10" s="3">
        <f>Sales[[#This Row],[COOGS]]+Sales[[#This Row],[CORGS]]</f>
        <v>1593</v>
      </c>
      <c r="K10">
        <f>SUMIF(H$3:H10,Sales[[#This Row],[Flavor]],I$3:I10)</f>
        <v>167</v>
      </c>
      <c r="L10">
        <f>IFERROR(_xlfn.XMATCH(Sales[[#This Row],[Flavor]],H$2:H9,0,-1)-1,0)</f>
        <v>5</v>
      </c>
      <c r="M10">
        <f>Sales[[#This Row],[Cumulative Sold]]-Sales[[#This Row],[Qty Sold]]</f>
        <v>67</v>
      </c>
      <c r="N10" cm="1">
        <f t="array" ref="N10">_xlfn.XMATCH(Sales[[#This Row],[Total Qty Sold Before This Sale]],_xlfn._xlws.FILTER(Orders[Cumulative Ordered],(Orders[Flavor]=Sales[[#This Row],[Flavor]])*(Orders[Date]&lt;Sales[[#This Row],[Date]])),1,1)</f>
        <v>2</v>
      </c>
      <c r="O10" cm="1">
        <f t="array" ref="O10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Sale]]=0,0,INDEX(K$3:K9,Sales[[#This Row],[Index of Last Sale]]))</f>
        <v>0</v>
      </c>
      <c r="P10" s="3" cm="1">
        <f t="array" ref="P10">INDEX(_xlfn._xlws.FILTER(Orders[Cost Per Unit],Orders[Flavor]=Sales[[#This Row],[Flavor]]),Sales[[#This Row],[Index of Oldest Order Still in Inventory Before This Sale]])</f>
        <v>11</v>
      </c>
      <c r="Q10">
        <f>MIN(Sales[[#This Row],[Qty of Oldest Order Left in Inventory Before This Sale]],Sales[[#This Row],[Qty Sold]])</f>
        <v>0</v>
      </c>
      <c r="R10" s="3">
        <f>Sales[[#This Row],[Qty of Oldest Order Sold]]*Sales[[#This Row],[Cost Per Unit of Oldest Inventory]]</f>
        <v>0</v>
      </c>
      <c r="S10">
        <f>Sales[[#This Row],[Qty Sold]]-Sales[[#This Row],[Qty of Oldest Order Sold]]</f>
        <v>100</v>
      </c>
      <c r="T10" s="3" cm="1">
        <f t="array" ref="T10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1593</v>
      </c>
    </row>
    <row r="11" spans="1:20" x14ac:dyDescent="0.55000000000000004">
      <c r="A11" s="1">
        <v>42083</v>
      </c>
      <c r="B11" t="s">
        <v>4</v>
      </c>
      <c r="C11">
        <v>23</v>
      </c>
      <c r="D11" s="3">
        <v>15</v>
      </c>
      <c r="E11">
        <f>SUMIF(B$3:B11,Orders[[#This Row],[Flavor]],C$3:C11)</f>
        <v>183</v>
      </c>
      <c r="G11" s="1">
        <v>42086</v>
      </c>
      <c r="H11" t="s">
        <v>3</v>
      </c>
      <c r="I11">
        <v>45</v>
      </c>
      <c r="J11" s="3">
        <f>Sales[[#This Row],[COOGS]]+Sales[[#This Row],[CORGS]]</f>
        <v>855</v>
      </c>
      <c r="K11">
        <f>SUMIF(H$3:H11,Sales[[#This Row],[Flavor]],I$3:I11)</f>
        <v>85</v>
      </c>
      <c r="L11">
        <f>IFERROR(_xlfn.XMATCH(Sales[[#This Row],[Flavor]],H$2:H10,0,-1)-1,0)</f>
        <v>7</v>
      </c>
      <c r="M11">
        <f>Sales[[#This Row],[Cumulative Sold]]-Sales[[#This Row],[Qty Sold]]</f>
        <v>40</v>
      </c>
      <c r="N11" cm="1">
        <f t="array" ref="N11">_xlfn.XMATCH(Sales[[#This Row],[Total Qty Sold Before This Sale]],_xlfn._xlws.FILTER(Orders[Cumulative Ordered],(Orders[Flavor]=Sales[[#This Row],[Flavor]])*(Orders[Date]&lt;Sales[[#This Row],[Date]])),1,1)</f>
        <v>2</v>
      </c>
      <c r="O11" cm="1">
        <f t="array" ref="O11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Sale]]=0,0,INDEX(K$3:K10,Sales[[#This Row],[Index of Last Sale]]))</f>
        <v>49</v>
      </c>
      <c r="P11" s="3" cm="1">
        <f t="array" ref="P11">INDEX(_xlfn._xlws.FILTER(Orders[Cost Per Unit],Orders[Flavor]=Sales[[#This Row],[Flavor]]),Sales[[#This Row],[Index of Oldest Order Still in Inventory Before This Sale]])</f>
        <v>19</v>
      </c>
      <c r="Q11">
        <f>MIN(Sales[[#This Row],[Qty of Oldest Order Left in Inventory Before This Sale]],Sales[[#This Row],[Qty Sold]])</f>
        <v>45</v>
      </c>
      <c r="R11" s="3">
        <f>Sales[[#This Row],[Qty of Oldest Order Sold]]*Sales[[#This Row],[Cost Per Unit of Oldest Inventory]]</f>
        <v>855</v>
      </c>
      <c r="S11">
        <f>Sales[[#This Row],[Qty Sold]]-Sales[[#This Row],[Qty of Oldest Order Sold]]</f>
        <v>0</v>
      </c>
      <c r="T11" s="3" cm="1">
        <f t="array" ref="T11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2" spans="1:20" x14ac:dyDescent="0.55000000000000004">
      <c r="A12" s="1">
        <v>42084</v>
      </c>
      <c r="B12" t="s">
        <v>5</v>
      </c>
      <c r="C12">
        <v>84</v>
      </c>
      <c r="D12" s="3">
        <v>13</v>
      </c>
      <c r="E12">
        <f>SUMIF(B$3:B12,Orders[[#This Row],[Flavor]],C$3:C12)</f>
        <v>293</v>
      </c>
      <c r="G12" s="1">
        <v>42087</v>
      </c>
      <c r="H12" t="s">
        <v>5</v>
      </c>
      <c r="I12">
        <v>60</v>
      </c>
      <c r="J12" s="3">
        <f>Sales[[#This Row],[COOGS]]+Sales[[#This Row],[CORGS]]</f>
        <v>873</v>
      </c>
      <c r="K12">
        <f>SUMIF(H$3:H12,Sales[[#This Row],[Flavor]],I$3:I12)</f>
        <v>121</v>
      </c>
      <c r="L12">
        <f>IFERROR(_xlfn.XMATCH(Sales[[#This Row],[Flavor]],H$2:H11,0,-1)-1,0)</f>
        <v>6</v>
      </c>
      <c r="M12">
        <f>Sales[[#This Row],[Cumulative Sold]]-Sales[[#This Row],[Qty Sold]]</f>
        <v>61</v>
      </c>
      <c r="N12" cm="1">
        <f t="array" ref="N12">_xlfn.XMATCH(Sales[[#This Row],[Total Qty Sold Before This Sale]],_xlfn._xlws.FILTER(Orders[Cumulative Ordered],(Orders[Flavor]=Sales[[#This Row],[Flavor]])*(Orders[Date]&lt;Sales[[#This Row],[Date]])),1,1)</f>
        <v>2</v>
      </c>
      <c r="O12" cm="1">
        <f t="array" ref="O12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Sale]]=0,0,INDEX(K$3:K11,Sales[[#This Row],[Index of Last Sale]]))</f>
        <v>51</v>
      </c>
      <c r="P12" s="3" cm="1">
        <f t="array" ref="P12">INDEX(_xlfn._xlws.FILTER(Orders[Cost Per Unit],Orders[Flavor]=Sales[[#This Row],[Flavor]]),Sales[[#This Row],[Index of Oldest Order Still in Inventory Before This Sale]])</f>
        <v>15</v>
      </c>
      <c r="Q12">
        <f>MIN(Sales[[#This Row],[Qty of Oldest Order Left in Inventory Before This Sale]],Sales[[#This Row],[Qty Sold]])</f>
        <v>51</v>
      </c>
      <c r="R12" s="3">
        <f>Sales[[#This Row],[Qty of Oldest Order Sold]]*Sales[[#This Row],[Cost Per Unit of Oldest Inventory]]</f>
        <v>765</v>
      </c>
      <c r="S12">
        <f>Sales[[#This Row],[Qty Sold]]-Sales[[#This Row],[Qty of Oldest Order Sold]]</f>
        <v>9</v>
      </c>
      <c r="T12" s="3" cm="1">
        <f t="array" ref="T12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108</v>
      </c>
    </row>
    <row r="13" spans="1:20" x14ac:dyDescent="0.55000000000000004">
      <c r="A13" s="1">
        <v>42085</v>
      </c>
      <c r="B13" t="s">
        <v>3</v>
      </c>
      <c r="C13">
        <v>62</v>
      </c>
      <c r="D13" s="3">
        <v>15</v>
      </c>
      <c r="E13">
        <f>SUMIF(B$3:B13,Orders[[#This Row],[Flavor]],C$3:C13)</f>
        <v>151</v>
      </c>
      <c r="G13" s="1">
        <v>42088</v>
      </c>
      <c r="H13" t="s">
        <v>3</v>
      </c>
      <c r="I13">
        <v>80</v>
      </c>
      <c r="J13" s="3">
        <f>Sales[[#This Row],[COOGS]]+Sales[[#This Row],[CORGS]]</f>
        <v>1272</v>
      </c>
      <c r="K13">
        <f>SUMIF(H$3:H13,Sales[[#This Row],[Flavor]],I$3:I13)</f>
        <v>165</v>
      </c>
      <c r="L13">
        <f>IFERROR(_xlfn.XMATCH(Sales[[#This Row],[Flavor]],H$2:H12,0,-1)-1,0)</f>
        <v>9</v>
      </c>
      <c r="M13">
        <f>Sales[[#This Row],[Cumulative Sold]]-Sales[[#This Row],[Qty Sold]]</f>
        <v>85</v>
      </c>
      <c r="N13" cm="1">
        <f t="array" ref="N13">_xlfn.XMATCH(Sales[[#This Row],[Total Qty Sold Before This Sale]],_xlfn._xlws.FILTER(Orders[Cumulative Ordered],(Orders[Flavor]=Sales[[#This Row],[Flavor]])*(Orders[Date]&lt;Sales[[#This Row],[Date]])),1,1)</f>
        <v>2</v>
      </c>
      <c r="O13" cm="1">
        <f t="array" ref="O13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Sale]]=0,0,INDEX(K$3:K12,Sales[[#This Row],[Index of Last Sale]]))</f>
        <v>4</v>
      </c>
      <c r="P13" s="3" cm="1">
        <f t="array" ref="P13">INDEX(_xlfn._xlws.FILTER(Orders[Cost Per Unit],Orders[Flavor]=Sales[[#This Row],[Flavor]]),Sales[[#This Row],[Index of Oldest Order Still in Inventory Before This Sale]])</f>
        <v>19</v>
      </c>
      <c r="Q13">
        <f>MIN(Sales[[#This Row],[Qty of Oldest Order Left in Inventory Before This Sale]],Sales[[#This Row],[Qty Sold]])</f>
        <v>4</v>
      </c>
      <c r="R13" s="3">
        <f>Sales[[#This Row],[Qty of Oldest Order Sold]]*Sales[[#This Row],[Cost Per Unit of Oldest Inventory]]</f>
        <v>76</v>
      </c>
      <c r="S13">
        <f>Sales[[#This Row],[Qty Sold]]-Sales[[#This Row],[Qty of Oldest Order Sold]]</f>
        <v>76</v>
      </c>
      <c r="T13" s="3" cm="1">
        <f t="array" ref="T13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1196</v>
      </c>
    </row>
    <row r="14" spans="1:20" x14ac:dyDescent="0.55000000000000004">
      <c r="A14" s="1">
        <v>42086</v>
      </c>
      <c r="B14" t="s">
        <v>4</v>
      </c>
      <c r="C14">
        <v>64</v>
      </c>
      <c r="D14" s="3">
        <v>18</v>
      </c>
      <c r="E14">
        <f>SUMIF(B$3:B14,Orders[[#This Row],[Flavor]],C$3:C14)</f>
        <v>247</v>
      </c>
      <c r="G14" s="1">
        <v>42089</v>
      </c>
      <c r="H14" t="s">
        <v>4</v>
      </c>
      <c r="I14">
        <v>10</v>
      </c>
      <c r="J14" s="3">
        <f>Sales[[#This Row],[COOGS]]+Sales[[#This Row],[CORGS]]</f>
        <v>150</v>
      </c>
      <c r="K14">
        <f>SUMIF(H$3:H14,Sales[[#This Row],[Flavor]],I$3:I14)</f>
        <v>177</v>
      </c>
      <c r="L14">
        <f>IFERROR(_xlfn.XMATCH(Sales[[#This Row],[Flavor]],H$2:H13,0,-1)-1,0)</f>
        <v>8</v>
      </c>
      <c r="M14">
        <f>Sales[[#This Row],[Cumulative Sold]]-Sales[[#This Row],[Qty Sold]]</f>
        <v>167</v>
      </c>
      <c r="N14" cm="1">
        <f t="array" ref="N14">_xlfn.XMATCH(Sales[[#This Row],[Total Qty Sold Before This Sale]],_xlfn._xlws.FILTER(Orders[Cumulative Ordered],(Orders[Flavor]=Sales[[#This Row],[Flavor]])*(Orders[Date]&lt;Sales[[#This Row],[Date]])),1,1)</f>
        <v>4</v>
      </c>
      <c r="O14" cm="1">
        <f t="array" ref="O14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Sale]]=0,0,INDEX(K$3:K13,Sales[[#This Row],[Index of Last Sale]]))</f>
        <v>16</v>
      </c>
      <c r="P14" s="3" cm="1">
        <f t="array" ref="P14">INDEX(_xlfn._xlws.FILTER(Orders[Cost Per Unit],Orders[Flavor]=Sales[[#This Row],[Flavor]]),Sales[[#This Row],[Index of Oldest Order Still in Inventory Before This Sale]])</f>
        <v>15</v>
      </c>
      <c r="Q14">
        <f>MIN(Sales[[#This Row],[Qty of Oldest Order Left in Inventory Before This Sale]],Sales[[#This Row],[Qty Sold]])</f>
        <v>10</v>
      </c>
      <c r="R14" s="3">
        <f>Sales[[#This Row],[Qty of Oldest Order Sold]]*Sales[[#This Row],[Cost Per Unit of Oldest Inventory]]</f>
        <v>150</v>
      </c>
      <c r="S14">
        <f>Sales[[#This Row],[Qty Sold]]-Sales[[#This Row],[Qty of Oldest Order Sold]]</f>
        <v>0</v>
      </c>
      <c r="T14" s="3" cm="1">
        <f t="array" ref="T14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5" spans="1:20" x14ac:dyDescent="0.55000000000000004">
      <c r="A15" s="1">
        <v>42087</v>
      </c>
      <c r="B15" t="s">
        <v>3</v>
      </c>
      <c r="C15">
        <v>33</v>
      </c>
      <c r="D15" s="3">
        <v>19</v>
      </c>
      <c r="E15">
        <f>SUMIF(B$3:B15,Orders[[#This Row],[Flavor]],C$3:C15)</f>
        <v>184</v>
      </c>
      <c r="G15" s="1">
        <v>42090</v>
      </c>
      <c r="H15" t="s">
        <v>5</v>
      </c>
      <c r="I15">
        <v>80</v>
      </c>
      <c r="J15" s="3">
        <f>Sales[[#This Row],[COOGS]]+Sales[[#This Row],[CORGS]]</f>
        <v>960</v>
      </c>
      <c r="K15">
        <f>SUMIF(H$3:H15,Sales[[#This Row],[Flavor]],I$3:I15)</f>
        <v>201</v>
      </c>
      <c r="L15">
        <f>IFERROR(_xlfn.XMATCH(Sales[[#This Row],[Flavor]],H$2:H14,0,-1)-1,0)</f>
        <v>10</v>
      </c>
      <c r="M15">
        <f>Sales[[#This Row],[Cumulative Sold]]-Sales[[#This Row],[Qty Sold]]</f>
        <v>121</v>
      </c>
      <c r="N15" cm="1">
        <f t="array" ref="N15">_xlfn.XMATCH(Sales[[#This Row],[Total Qty Sold Before This Sale]],_xlfn._xlws.FILTER(Orders[Cumulative Ordered],(Orders[Flavor]=Sales[[#This Row],[Flavor]])*(Orders[Date]&lt;Sales[[#This Row],[Date]])),1,1)</f>
        <v>3</v>
      </c>
      <c r="O15" cm="1">
        <f t="array" ref="O1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Sale]]=0,0,INDEX(K$3:K14,Sales[[#This Row],[Index of Last Sale]]))</f>
        <v>88</v>
      </c>
      <c r="P15" s="3" cm="1">
        <f t="array" ref="P15">INDEX(_xlfn._xlws.FILTER(Orders[Cost Per Unit],Orders[Flavor]=Sales[[#This Row],[Flavor]]),Sales[[#This Row],[Index of Oldest Order Still in Inventory Before This Sale]])</f>
        <v>12</v>
      </c>
      <c r="Q15">
        <f>MIN(Sales[[#This Row],[Qty of Oldest Order Left in Inventory Before This Sale]],Sales[[#This Row],[Qty Sold]])</f>
        <v>80</v>
      </c>
      <c r="R15" s="3">
        <f>Sales[[#This Row],[Qty of Oldest Order Sold]]*Sales[[#This Row],[Cost Per Unit of Oldest Inventory]]</f>
        <v>960</v>
      </c>
      <c r="S15">
        <f>Sales[[#This Row],[Qty Sold]]-Sales[[#This Row],[Qty of Oldest Order Sold]]</f>
        <v>0</v>
      </c>
      <c r="T15" s="3" cm="1">
        <f t="array" ref="T15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6" spans="1:20" x14ac:dyDescent="0.55000000000000004">
      <c r="A16" s="1">
        <v>42088</v>
      </c>
      <c r="B16" t="s">
        <v>5</v>
      </c>
      <c r="C16">
        <v>83</v>
      </c>
      <c r="D16" s="3">
        <v>17</v>
      </c>
      <c r="E16">
        <f>SUMIF(B$3:B16,Orders[[#This Row],[Flavor]],C$3:C16)</f>
        <v>376</v>
      </c>
      <c r="G16" s="1"/>
    </row>
  </sheetData>
  <mergeCells count="2">
    <mergeCell ref="A1:D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FB84-822C-407D-92D1-A73BDFA7F861}">
  <dimension ref="A1:S22"/>
  <sheetViews>
    <sheetView workbookViewId="0">
      <selection activeCell="K19" sqref="K19"/>
    </sheetView>
  </sheetViews>
  <sheetFormatPr defaultRowHeight="14.4" x14ac:dyDescent="0.55000000000000004"/>
  <cols>
    <col min="1" max="1" width="9.83984375" bestFit="1" customWidth="1"/>
    <col min="2" max="2" width="9.578125" customWidth="1"/>
    <col min="3" max="3" width="13.15625" customWidth="1"/>
    <col min="4" max="4" width="12.68359375" bestFit="1" customWidth="1"/>
    <col min="5" max="5" width="11.26171875" bestFit="1" customWidth="1"/>
    <col min="6" max="6" width="13.15625" bestFit="1" customWidth="1"/>
    <col min="7" max="7" width="10.68359375" bestFit="1" customWidth="1"/>
    <col min="8" max="8" width="15.68359375" bestFit="1" customWidth="1"/>
    <col min="9" max="9" width="12.15625" customWidth="1"/>
    <col min="10" max="10" width="14.15625" customWidth="1"/>
    <col min="11" max="11" width="16.15625" customWidth="1"/>
    <col min="12" max="12" width="27.26171875" customWidth="1"/>
    <col min="13" max="13" width="30.578125" customWidth="1"/>
    <col min="14" max="14" width="31.26171875" customWidth="1"/>
    <col min="15" max="15" width="18.26171875" customWidth="1"/>
    <col min="16" max="17" width="19.68359375" customWidth="1"/>
    <col min="18" max="18" width="16.15625" customWidth="1"/>
    <col min="19" max="19" width="19.68359375" customWidth="1"/>
  </cols>
  <sheetData>
    <row r="1" spans="1:19" s="2" customFormat="1" ht="28.8" x14ac:dyDescent="0.55000000000000004">
      <c r="A1" s="2" t="s">
        <v>0</v>
      </c>
      <c r="B1" s="2" t="s">
        <v>26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31</v>
      </c>
      <c r="H1" s="2" t="s">
        <v>34</v>
      </c>
      <c r="I1" s="2" t="s">
        <v>30</v>
      </c>
      <c r="J1" s="2" t="s">
        <v>32</v>
      </c>
      <c r="K1" s="2" t="s">
        <v>33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spans="1:19" x14ac:dyDescent="0.55000000000000004">
      <c r="A2" s="1">
        <v>42077</v>
      </c>
      <c r="B2" t="s">
        <v>27</v>
      </c>
      <c r="C2">
        <v>0</v>
      </c>
      <c r="D2">
        <v>1000</v>
      </c>
      <c r="E2">
        <v>2</v>
      </c>
      <c r="F2">
        <f>Diesel[[#This Row],[Starting Balance '[L']]]+Diesel[[#This Row],[Liters Purchased]]</f>
        <v>1000</v>
      </c>
      <c r="G2" cm="1">
        <f t="array" ref="G2">IF(Diesel[[#This Row],[Index of Last Entry]]=0,0,INDEX(Diesel[Ending Balance '[L']],Diesel[[#This Row],[Index of Last Entry]])-Diesel[[#This Row],[Starting Balance '[L']]])</f>
        <v>0</v>
      </c>
      <c r="H2">
        <f>Diesel[[#This Row],[Price of Oldest Diesel Consumed]]+Diesel[[#This Row],[Price of Remaining Diesel Consumed]]</f>
        <v>0</v>
      </c>
      <c r="I2">
        <f>IFERROR(_xlfn.XMATCH(Diesel[[#This Row],[Project]],B$1:B1,0,-1)-1,0)</f>
        <v>0</v>
      </c>
      <c r="J2">
        <f>SUMIF(B$2:B2,Diesel[[#This Row],[Project]],D$2:D2)</f>
        <v>1000</v>
      </c>
      <c r="K2">
        <f>SUMIF(B$2:B2,Diesel[[#This Row],[Project]],G$2:G2)</f>
        <v>0</v>
      </c>
      <c r="L2">
        <f>Diesel[[#This Row],[Cumulative Consumed '[L']]]-Diesel[[#This Row],[Diesel Used '[L']]]</f>
        <v>0</v>
      </c>
      <c r="M2" cm="1">
        <f t="array" ref="M2">IF(Diesel[[#This Row],[Index of Last Entry]]=0,0,_xlfn.XMATCH(Diesel[[#This Row],[Total Consumption Before This Consumption]],_xlfn._xlws.FILTER(J$1:J1,B$1:B1=Diesel[[#This Row],[Project]]),1,1))</f>
        <v>0</v>
      </c>
      <c r="N2" cm="1">
        <f t="array" ref="N2">IF(Diesel[[#This Row],[Index of Last Entry]]=0,0,INDEX(_xlfn._xlws.FILTER(J$1:J1,B$1:B1=Diesel[[#This Row],[Project]]),Diesel[[#This Row],[Index of Oldest Diesel Still in Tank Before This Consumption]])-INDEX(K$1:K1,Diesel[[#This Row],[Index of Last Entry]]+1))</f>
        <v>0</v>
      </c>
      <c r="O2" cm="1">
        <f t="array" ref="O2">IF(Diesel[[#This Row],[Index of Last Entry]]=0,0,INDEX(_xlfn._xlws.FILTER(E$1:E1,B$1:B1=Diesel[[#This Row],[Project]]),Diesel[[#This Row],[Index of Oldest Diesel Still in Tank Before This Consumption]]))</f>
        <v>0</v>
      </c>
      <c r="P2">
        <f>MIN(Diesel[[#This Row],[Liters of Oldest Diesel Left in Tank Before This Consumption]],Diesel[[#This Row],[Diesel Used '[L']]])</f>
        <v>0</v>
      </c>
      <c r="Q2">
        <f>Diesel[[#This Row],[Liters of Oldest Diesel Consumed]]*Diesel[[#This Row],[Price Per Liter of Oldest Diesel]]</f>
        <v>0</v>
      </c>
      <c r="R2">
        <f>Diesel[[#This Row],[Diesel Used '[L']]]-Diesel[[#This Row],[Liters of Oldest Diesel Consumed]]</f>
        <v>0</v>
      </c>
      <c r="S2" cm="1">
        <f t="array" ref="S2">_xlfn.LET(_xlpm.filteredSupply,_xlfn._xlws.FILTER(D$2:D2,B$2:B2=Diesel[[#This Row],[Project]]),_xlpm.filteredPricePerLiter,_xlfn._xlws.FILTER(E$2:E2,B$2:B2=Diesel[[#This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3" spans="1:19" x14ac:dyDescent="0.55000000000000004">
      <c r="A3" s="1">
        <v>42077</v>
      </c>
      <c r="B3" t="s">
        <v>28</v>
      </c>
      <c r="C3">
        <v>0</v>
      </c>
      <c r="D3">
        <v>1000</v>
      </c>
      <c r="E3">
        <v>1.9</v>
      </c>
      <c r="F3">
        <f>Diesel[[#This Row],[Starting Balance '[L']]]+Diesel[[#This Row],[Liters Purchased]]</f>
        <v>1000</v>
      </c>
      <c r="G3" cm="1">
        <f t="array" ref="G3">IF(Diesel[[#This Row],[Index of Last Entry]]=0,0,INDEX(Diesel[Ending Balance '[L']],Diesel[[#This Row],[Index of Last Entry]])-Diesel[[#This Row],[Starting Balance '[L']]])</f>
        <v>0</v>
      </c>
      <c r="H3">
        <f>Diesel[[#This Row],[Price of Oldest Diesel Consumed]]+Diesel[[#This Row],[Price of Remaining Diesel Consumed]]</f>
        <v>0</v>
      </c>
      <c r="I3">
        <f>IFERROR(_xlfn.XMATCH(Diesel[[#This Row],[Project]],B$1:B2,0,-1)-1,0)</f>
        <v>0</v>
      </c>
      <c r="J3">
        <f>SUMIF(B$2:B3,Diesel[[#This Row],[Project]],D$2:D3)</f>
        <v>1000</v>
      </c>
      <c r="K3">
        <f>SUMIF(B$2:B3,Diesel[[#This Row],[Project]],G$2:G3)</f>
        <v>0</v>
      </c>
      <c r="L3">
        <f>Diesel[[#This Row],[Cumulative Consumed '[L']]]-Diesel[[#This Row],[Diesel Used '[L']]]</f>
        <v>0</v>
      </c>
      <c r="M3" cm="1">
        <f t="array" ref="M3">IF(Diesel[[#This Row],[Index of Last Entry]]=0,0,_xlfn.XMATCH(Diesel[[#This Row],[Total Consumption Before This Consumption]],_xlfn._xlws.FILTER(J$1:J2,B$1:B2=Diesel[[#This Row],[Project]]),1,1))</f>
        <v>0</v>
      </c>
      <c r="N3" cm="1">
        <f t="array" ref="N3">IF(Diesel[[#This Row],[Index of Last Entry]]=0,0,INDEX(_xlfn._xlws.FILTER(J$1:J2,B$1:B2=Diesel[[#This Row],[Project]]),Diesel[[#This Row],[Index of Oldest Diesel Still in Tank Before This Consumption]])-INDEX(K$1:K2,Diesel[[#This Row],[Index of Last Entry]]+1))</f>
        <v>0</v>
      </c>
      <c r="O3" cm="1">
        <f t="array" ref="O3">IF(Diesel[[#This Row],[Index of Last Entry]]=0,0,INDEX(_xlfn._xlws.FILTER(E$1:E2,B$1:B2=Diesel[[#This Row],[Project]]),Diesel[[#This Row],[Index of Oldest Diesel Still in Tank Before This Consumption]]))</f>
        <v>0</v>
      </c>
      <c r="P3">
        <f>MIN(Diesel[[#This Row],[Liters of Oldest Diesel Left in Tank Before This Consumption]],Diesel[[#This Row],[Diesel Used '[L']]])</f>
        <v>0</v>
      </c>
      <c r="Q3">
        <f>Diesel[[#This Row],[Liters of Oldest Diesel Consumed]]*Diesel[[#This Row],[Price Per Liter of Oldest Diesel]]</f>
        <v>0</v>
      </c>
      <c r="R3">
        <f>Diesel[[#This Row],[Diesel Used '[L']]]-Diesel[[#This Row],[Liters of Oldest Diesel Consumed]]</f>
        <v>0</v>
      </c>
      <c r="S3" cm="1">
        <f t="array" ref="S3">_xlfn.LET(_xlpm.filteredSupply,_xlfn._xlws.FILTER(D$2:D3,B$2:B3=Diesel[[#This Row],[Project]]),_xlpm.filteredPricePerLiter,_xlfn._xlws.FILTER(E$2:E3,B$2:B3=Diesel[[#This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4" spans="1:19" x14ac:dyDescent="0.55000000000000004">
      <c r="A4" s="1">
        <v>42077</v>
      </c>
      <c r="B4" t="s">
        <v>29</v>
      </c>
      <c r="C4">
        <v>0</v>
      </c>
      <c r="D4">
        <v>900</v>
      </c>
      <c r="E4">
        <v>2.1</v>
      </c>
      <c r="F4">
        <f>Diesel[[#This Row],[Starting Balance '[L']]]+Diesel[[#This Row],[Liters Purchased]]</f>
        <v>900</v>
      </c>
      <c r="G4" cm="1">
        <f t="array" ref="G4">IF(Diesel[[#This Row],[Index of Last Entry]]=0,0,INDEX(Diesel[Ending Balance '[L']],Diesel[[#This Row],[Index of Last Entry]])-Diesel[[#This Row],[Starting Balance '[L']]])</f>
        <v>0</v>
      </c>
      <c r="H4">
        <f>Diesel[[#This Row],[Price of Oldest Diesel Consumed]]+Diesel[[#This Row],[Price of Remaining Diesel Consumed]]</f>
        <v>0</v>
      </c>
      <c r="I4">
        <f>IFERROR(_xlfn.XMATCH(Diesel[[#This Row],[Project]],B$1:B3,0,-1)-1,0)</f>
        <v>0</v>
      </c>
      <c r="J4">
        <f>SUMIF(B$2:B4,Diesel[[#This Row],[Project]],D$2:D4)</f>
        <v>900</v>
      </c>
      <c r="K4">
        <f>SUMIF(B$2:B4,Diesel[[#This Row],[Project]],G$2:G4)</f>
        <v>0</v>
      </c>
      <c r="L4">
        <f>Diesel[[#This Row],[Cumulative Consumed '[L']]]-Diesel[[#This Row],[Diesel Used '[L']]]</f>
        <v>0</v>
      </c>
      <c r="M4" cm="1">
        <f t="array" ref="M4">IF(Diesel[[#This Row],[Index of Last Entry]]=0,0,_xlfn.XMATCH(Diesel[[#This Row],[Total Consumption Before This Consumption]],_xlfn._xlws.FILTER(J$1:J3,B$1:B3=Diesel[[#This Row],[Project]]),1,1))</f>
        <v>0</v>
      </c>
      <c r="N4" cm="1">
        <f t="array" ref="N4">IF(Diesel[[#This Row],[Index of Last Entry]]=0,0,INDEX(_xlfn._xlws.FILTER(J$1:J3,B$1:B3=Diesel[[#This Row],[Project]]),Diesel[[#This Row],[Index of Oldest Diesel Still in Tank Before This Consumption]])-INDEX(K$1:K3,Diesel[[#This Row],[Index of Last Entry]]+1))</f>
        <v>0</v>
      </c>
      <c r="O4" cm="1">
        <f t="array" ref="O4">IF(Diesel[[#This Row],[Index of Last Entry]]=0,0,INDEX(_xlfn._xlws.FILTER(E$1:E3,B$1:B3=Diesel[[#This Row],[Project]]),Diesel[[#This Row],[Index of Oldest Diesel Still in Tank Before This Consumption]]))</f>
        <v>0</v>
      </c>
      <c r="P4">
        <f>MIN(Diesel[[#This Row],[Liters of Oldest Diesel Left in Tank Before This Consumption]],Diesel[[#This Row],[Diesel Used '[L']]])</f>
        <v>0</v>
      </c>
      <c r="Q4">
        <f>Diesel[[#This Row],[Liters of Oldest Diesel Consumed]]*Diesel[[#This Row],[Price Per Liter of Oldest Diesel]]</f>
        <v>0</v>
      </c>
      <c r="R4">
        <f>Diesel[[#This Row],[Diesel Used '[L']]]-Diesel[[#This Row],[Liters of Oldest Diesel Consumed]]</f>
        <v>0</v>
      </c>
      <c r="S4" cm="1">
        <f t="array" ref="S4">_xlfn.LET(_xlpm.filteredSupply,_xlfn._xlws.FILTER(D$2:D4,B$2:B4=Diesel[[#This Row],[Project]]),_xlpm.filteredPricePerLiter,_xlfn._xlws.FILTER(E$2:E4,B$2:B4=Diesel[[#This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5" spans="1:19" x14ac:dyDescent="0.55000000000000004">
      <c r="A5" s="1">
        <v>42109</v>
      </c>
      <c r="B5" t="s">
        <v>27</v>
      </c>
      <c r="C5">
        <v>300</v>
      </c>
      <c r="D5">
        <v>1000</v>
      </c>
      <c r="E5">
        <v>2.2999999999999998</v>
      </c>
      <c r="F5">
        <f>Diesel[[#This Row],[Starting Balance '[L']]]+Diesel[[#This Row],[Liters Purchased]]</f>
        <v>1300</v>
      </c>
      <c r="G5" cm="1">
        <f t="array" ref="G5">IF(Diesel[[#This Row],[Index of Last Entry]]=0,0,INDEX(Diesel[Ending Balance '[L']],Diesel[[#This Row],[Index of Last Entry]])-Diesel[[#This Row],[Starting Balance '[L']]])</f>
        <v>700</v>
      </c>
      <c r="H5">
        <f>Diesel[[#This Row],[Price of Oldest Diesel Consumed]]+Diesel[[#This Row],[Price of Remaining Diesel Consumed]]</f>
        <v>1400</v>
      </c>
      <c r="I5">
        <f>IFERROR(_xlfn.XMATCH(Diesel[[#This Row],[Project]],B$1:B4,0,-1)-1,0)</f>
        <v>1</v>
      </c>
      <c r="J5">
        <f>SUMIF(B$2:B5,Diesel[[#This Row],[Project]],D$2:D5)</f>
        <v>2000</v>
      </c>
      <c r="K5">
        <f>SUMIF(B$2:B5,Diesel[[#This Row],[Project]],G$2:G5)</f>
        <v>700</v>
      </c>
      <c r="L5">
        <f>Diesel[[#This Row],[Cumulative Consumed '[L']]]-Diesel[[#This Row],[Diesel Used '[L']]]</f>
        <v>0</v>
      </c>
      <c r="M5" cm="1">
        <f t="array" ref="M5">IF(Diesel[[#This Row],[Index of Last Entry]]=0,0,_xlfn.XMATCH(Diesel[[#This Row],[Total Consumption Before This Consumption]],_xlfn._xlws.FILTER(J$1:J4,B$1:B4=Diesel[[#This Row],[Project]]),1,1))</f>
        <v>1</v>
      </c>
      <c r="N5" cm="1">
        <f t="array" ref="N5">IF(Diesel[[#This Row],[Index of Last Entry]]=0,0,INDEX(_xlfn._xlws.FILTER(J$1:J4,B$1:B4=Diesel[[#This Row],[Project]]),Diesel[[#This Row],[Index of Oldest Diesel Still in Tank Before This Consumption]])-INDEX(K$1:K4,Diesel[[#This Row],[Index of Last Entry]]+1))</f>
        <v>1000</v>
      </c>
      <c r="O5" cm="1">
        <f t="array" ref="O5">IF(Diesel[[#This Row],[Index of Last Entry]]=0,0,INDEX(_xlfn._xlws.FILTER(E$1:E4,B$1:B4=Diesel[[#This Row],[Project]]),Diesel[[#This Row],[Index of Oldest Diesel Still in Tank Before This Consumption]]))</f>
        <v>2</v>
      </c>
      <c r="P5">
        <f>MIN(Diesel[[#This Row],[Liters of Oldest Diesel Left in Tank Before This Consumption]],Diesel[[#This Row],[Diesel Used '[L']]])</f>
        <v>700</v>
      </c>
      <c r="Q5">
        <f>Diesel[[#This Row],[Liters of Oldest Diesel Consumed]]*Diesel[[#This Row],[Price Per Liter of Oldest Diesel]]</f>
        <v>1400</v>
      </c>
      <c r="R5">
        <f>Diesel[[#This Row],[Diesel Used '[L']]]-Diesel[[#This Row],[Liters of Oldest Diesel Consumed]]</f>
        <v>0</v>
      </c>
      <c r="S5" cm="1">
        <f t="array" ref="S5">_xlfn.LET(_xlpm.filteredSupply,_xlfn._xlws.FILTER(D$2:D5,B$2:B5=Diesel[[#This Row],[Project]]),_xlpm.filteredPricePerLiter,_xlfn._xlws.FILTER(E$2:E5,B$2:B5=Diesel[[#This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6" spans="1:19" x14ac:dyDescent="0.55000000000000004">
      <c r="A6" s="1">
        <v>42110</v>
      </c>
      <c r="B6" t="s">
        <v>28</v>
      </c>
      <c r="C6">
        <v>100</v>
      </c>
      <c r="D6">
        <v>2000</v>
      </c>
      <c r="E6">
        <v>2.2000000000000002</v>
      </c>
      <c r="F6">
        <f>Diesel[[#This Row],[Starting Balance '[L']]]+Diesel[[#This Row],[Liters Purchased]]</f>
        <v>2100</v>
      </c>
      <c r="G6" cm="1">
        <f t="array" ref="G6">IF(Diesel[[#This Row],[Index of Last Entry]]=0,0,INDEX(Diesel[Ending Balance '[L']],Diesel[[#This Row],[Index of Last Entry]])-Diesel[[#This Row],[Starting Balance '[L']]])</f>
        <v>900</v>
      </c>
      <c r="H6">
        <f>Diesel[[#This Row],[Price of Oldest Diesel Consumed]]+Diesel[[#This Row],[Price of Remaining Diesel Consumed]]</f>
        <v>1710</v>
      </c>
      <c r="I6">
        <f>IFERROR(_xlfn.XMATCH(Diesel[[#This Row],[Project]],B$1:B5,0,-1)-1,0)</f>
        <v>2</v>
      </c>
      <c r="J6">
        <f>SUMIF(B$2:B6,Diesel[[#This Row],[Project]],D$2:D6)</f>
        <v>3000</v>
      </c>
      <c r="K6">
        <f>SUMIF(B$2:B6,Diesel[[#This Row],[Project]],G$2:G6)</f>
        <v>900</v>
      </c>
      <c r="L6">
        <f>Diesel[[#This Row],[Cumulative Consumed '[L']]]-Diesel[[#This Row],[Diesel Used '[L']]]</f>
        <v>0</v>
      </c>
      <c r="M6" cm="1">
        <f t="array" ref="M6">IF(Diesel[[#This Row],[Index of Last Entry]]=0,0,_xlfn.XMATCH(Diesel[[#This Row],[Total Consumption Before This Consumption]],_xlfn._xlws.FILTER(J$1:J5,B$1:B5=Diesel[[#This Row],[Project]]),1,1))</f>
        <v>1</v>
      </c>
      <c r="N6" cm="1">
        <f t="array" ref="N6">IF(Diesel[[#This Row],[Index of Last Entry]]=0,0,INDEX(_xlfn._xlws.FILTER(J$1:J5,B$1:B5=Diesel[[#This Row],[Project]]),Diesel[[#This Row],[Index of Oldest Diesel Still in Tank Before This Consumption]])-INDEX(K$1:K5,Diesel[[#This Row],[Index of Last Entry]]+1))</f>
        <v>1000</v>
      </c>
      <c r="O6" cm="1">
        <f t="array" ref="O6">IF(Diesel[[#This Row],[Index of Last Entry]]=0,0,INDEX(_xlfn._xlws.FILTER(E$1:E5,B$1:B5=Diesel[[#This Row],[Project]]),Diesel[[#This Row],[Index of Oldest Diesel Still in Tank Before This Consumption]]))</f>
        <v>1.9</v>
      </c>
      <c r="P6">
        <f>MIN(Diesel[[#This Row],[Liters of Oldest Diesel Left in Tank Before This Consumption]],Diesel[[#This Row],[Diesel Used '[L']]])</f>
        <v>900</v>
      </c>
      <c r="Q6">
        <f>Diesel[[#This Row],[Liters of Oldest Diesel Consumed]]*Diesel[[#This Row],[Price Per Liter of Oldest Diesel]]</f>
        <v>1710</v>
      </c>
      <c r="R6">
        <f>Diesel[[#This Row],[Diesel Used '[L']]]-Diesel[[#This Row],[Liters of Oldest Diesel Consumed]]</f>
        <v>0</v>
      </c>
      <c r="S6" cm="1">
        <f t="array" ref="S6">_xlfn.LET(_xlpm.filteredSupply,_xlfn._xlws.FILTER(D$2:D6,B$2:B6=Diesel[[#This Row],[Project]]),_xlpm.filteredPricePerLiter,_xlfn._xlws.FILTER(E$2:E6,B$2:B6=Diesel[[#This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7" spans="1:19" x14ac:dyDescent="0.55000000000000004">
      <c r="A7" s="1">
        <v>42111</v>
      </c>
      <c r="B7" t="s">
        <v>29</v>
      </c>
      <c r="C7">
        <v>400</v>
      </c>
      <c r="D7">
        <v>500</v>
      </c>
      <c r="E7">
        <v>2.4</v>
      </c>
      <c r="F7">
        <f>Diesel[[#This Row],[Starting Balance '[L']]]+Diesel[[#This Row],[Liters Purchased]]</f>
        <v>900</v>
      </c>
      <c r="G7" cm="1">
        <f t="array" ref="G7">IF(Diesel[[#This Row],[Index of Last Entry]]=0,0,INDEX(Diesel[Ending Balance '[L']],Diesel[[#This Row],[Index of Last Entry]])-Diesel[[#This Row],[Starting Balance '[L']]])</f>
        <v>500</v>
      </c>
      <c r="H7">
        <f>Diesel[[#This Row],[Price of Oldest Diesel Consumed]]+Diesel[[#This Row],[Price of Remaining Diesel Consumed]]</f>
        <v>1050</v>
      </c>
      <c r="I7">
        <f>IFERROR(_xlfn.XMATCH(Diesel[[#This Row],[Project]],B$1:B6,0,-1)-1,0)</f>
        <v>3</v>
      </c>
      <c r="J7">
        <f>SUMIF(B$2:B7,Diesel[[#This Row],[Project]],D$2:D7)</f>
        <v>1400</v>
      </c>
      <c r="K7">
        <f>SUMIF(B$2:B7,Diesel[[#This Row],[Project]],G$2:G7)</f>
        <v>500</v>
      </c>
      <c r="L7">
        <f>Diesel[[#This Row],[Cumulative Consumed '[L']]]-Diesel[[#This Row],[Diesel Used '[L']]]</f>
        <v>0</v>
      </c>
      <c r="M7" cm="1">
        <f t="array" ref="M7">IF(Diesel[[#This Row],[Index of Last Entry]]=0,0,_xlfn.XMATCH(Diesel[[#This Row],[Total Consumption Before This Consumption]],_xlfn._xlws.FILTER(J$1:J6,B$1:B6=Diesel[[#This Row],[Project]]),1,1))</f>
        <v>1</v>
      </c>
      <c r="N7" cm="1">
        <f t="array" ref="N7">IF(Diesel[[#This Row],[Index of Last Entry]]=0,0,INDEX(_xlfn._xlws.FILTER(J$1:J6,B$1:B6=Diesel[[#This Row],[Project]]),Diesel[[#This Row],[Index of Oldest Diesel Still in Tank Before This Consumption]])-INDEX(K$1:K6,Diesel[[#This Row],[Index of Last Entry]]+1))</f>
        <v>900</v>
      </c>
      <c r="O7" cm="1">
        <f t="array" ref="O7">IF(Diesel[[#This Row],[Index of Last Entry]]=0,0,INDEX(_xlfn._xlws.FILTER(E$1:E6,B$1:B6=Diesel[[#This Row],[Project]]),Diesel[[#This Row],[Index of Oldest Diesel Still in Tank Before This Consumption]]))</f>
        <v>2.1</v>
      </c>
      <c r="P7">
        <f>MIN(Diesel[[#This Row],[Liters of Oldest Diesel Left in Tank Before This Consumption]],Diesel[[#This Row],[Diesel Used '[L']]])</f>
        <v>500</v>
      </c>
      <c r="Q7">
        <f>Diesel[[#This Row],[Liters of Oldest Diesel Consumed]]*Diesel[[#This Row],[Price Per Liter of Oldest Diesel]]</f>
        <v>1050</v>
      </c>
      <c r="R7">
        <f>Diesel[[#This Row],[Diesel Used '[L']]]-Diesel[[#This Row],[Liters of Oldest Diesel Consumed]]</f>
        <v>0</v>
      </c>
      <c r="S7" cm="1">
        <f t="array" ref="S7">_xlfn.LET(_xlpm.filteredSupply,_xlfn._xlws.FILTER(D$2:D7,B$2:B7=Diesel[[#This Row],[Project]]),_xlpm.filteredPricePerLiter,_xlfn._xlws.FILTER(E$2:E7,B$2:B7=Diesel[[#This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8" spans="1:19" x14ac:dyDescent="0.55000000000000004">
      <c r="A8" s="1">
        <v>42142</v>
      </c>
      <c r="B8" t="s">
        <v>27</v>
      </c>
      <c r="C8">
        <v>300</v>
      </c>
      <c r="D8">
        <v>1000</v>
      </c>
      <c r="E8">
        <v>2.5</v>
      </c>
      <c r="F8">
        <f>Diesel[[#This Row],[Starting Balance '[L']]]+Diesel[[#This Row],[Liters Purchased]]</f>
        <v>1300</v>
      </c>
      <c r="G8" cm="1">
        <f t="array" ref="G8">IF(Diesel[[#This Row],[Index of Last Entry]]=0,0,INDEX(Diesel[Ending Balance '[L']],Diesel[[#This Row],[Index of Last Entry]])-Diesel[[#This Row],[Starting Balance '[L']]])</f>
        <v>1000</v>
      </c>
      <c r="H8">
        <f>Diesel[[#This Row],[Price of Oldest Diesel Consumed]]+Diesel[[#This Row],[Price of Remaining Diesel Consumed]]</f>
        <v>2210</v>
      </c>
      <c r="I8">
        <f>IFERROR(_xlfn.XMATCH(Diesel[[#This Row],[Project]],B$1:B7,0,-1)-1,0)</f>
        <v>4</v>
      </c>
      <c r="J8">
        <f>SUMIF(B$2:B8,Diesel[[#This Row],[Project]],D$2:D8)</f>
        <v>3000</v>
      </c>
      <c r="K8">
        <f>SUMIF(B$2:B8,Diesel[[#This Row],[Project]],G$2:G8)</f>
        <v>1700</v>
      </c>
      <c r="L8">
        <f>Diesel[[#This Row],[Cumulative Consumed '[L']]]-Diesel[[#This Row],[Diesel Used '[L']]]</f>
        <v>700</v>
      </c>
      <c r="M8" cm="1">
        <f t="array" ref="M8">IF(Diesel[[#This Row],[Index of Last Entry]]=0,0,_xlfn.XMATCH(Diesel[[#This Row],[Total Consumption Before This Consumption]],_xlfn._xlws.FILTER(J$1:J7,B$1:B7=Diesel[[#This Row],[Project]]),1,1))</f>
        <v>1</v>
      </c>
      <c r="N8" cm="1">
        <f t="array" ref="N8">IF(Diesel[[#This Row],[Index of Last Entry]]=0,0,INDEX(_xlfn._xlws.FILTER(J$1:J7,B$1:B7=Diesel[[#This Row],[Project]]),Diesel[[#This Row],[Index of Oldest Diesel Still in Tank Before This Consumption]])-INDEX(K$1:K7,Diesel[[#This Row],[Index of Last Entry]]+1))</f>
        <v>300</v>
      </c>
      <c r="O8" cm="1">
        <f t="array" ref="O8">IF(Diesel[[#This Row],[Index of Last Entry]]=0,0,INDEX(_xlfn._xlws.FILTER(E$1:E7,B$1:B7=Diesel[[#This Row],[Project]]),Diesel[[#This Row],[Index of Oldest Diesel Still in Tank Before This Consumption]]))</f>
        <v>2</v>
      </c>
      <c r="P8">
        <f>MIN(Diesel[[#This Row],[Liters of Oldest Diesel Left in Tank Before This Consumption]],Diesel[[#This Row],[Diesel Used '[L']]])</f>
        <v>300</v>
      </c>
      <c r="Q8">
        <f>Diesel[[#This Row],[Liters of Oldest Diesel Consumed]]*Diesel[[#This Row],[Price Per Liter of Oldest Diesel]]</f>
        <v>600</v>
      </c>
      <c r="R8">
        <f>Diesel[[#This Row],[Diesel Used '[L']]]-Diesel[[#This Row],[Liters of Oldest Diesel Consumed]]</f>
        <v>700</v>
      </c>
      <c r="S8" cm="1">
        <f t="array" ref="S8">_xlfn.LET(_xlpm.filteredSupply,_xlfn._xlws.FILTER(D$2:D8,B$2:B8=Diesel[[#This Row],[Project]]),_xlpm.filteredPricePerLiter,_xlfn._xlws.FILTER(E$2:E8,B$2:B8=Diesel[[#This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1609.9999999999998</v>
      </c>
    </row>
    <row r="9" spans="1:19" x14ac:dyDescent="0.55000000000000004">
      <c r="A9" s="1">
        <v>42143</v>
      </c>
      <c r="B9" t="s">
        <v>28</v>
      </c>
      <c r="C9">
        <v>1000</v>
      </c>
      <c r="D9">
        <v>1000</v>
      </c>
      <c r="E9">
        <v>2.6</v>
      </c>
      <c r="F9">
        <f>Diesel[[#This Row],[Starting Balance '[L']]]+Diesel[[#This Row],[Liters Purchased]]</f>
        <v>2000</v>
      </c>
      <c r="G9" cm="1">
        <f t="array" ref="G9">IF(Diesel[[#This Row],[Index of Last Entry]]=0,0,INDEX(Diesel[Ending Balance '[L']],Diesel[[#This Row],[Index of Last Entry]])-Diesel[[#This Row],[Starting Balance '[L']]])</f>
        <v>1100</v>
      </c>
      <c r="H9">
        <f>Diesel[[#This Row],[Price of Oldest Diesel Consumed]]+Diesel[[#This Row],[Price of Remaining Diesel Consumed]]</f>
        <v>2390</v>
      </c>
      <c r="I9">
        <f>IFERROR(_xlfn.XMATCH(Diesel[[#This Row],[Project]],B$1:B8,0,-1)-1,0)</f>
        <v>5</v>
      </c>
      <c r="J9">
        <f>SUMIF(B$2:B9,Diesel[[#This Row],[Project]],D$2:D9)</f>
        <v>4000</v>
      </c>
      <c r="K9">
        <f>SUMIF(B$2:B9,Diesel[[#This Row],[Project]],G$2:G9)</f>
        <v>2000</v>
      </c>
      <c r="L9">
        <f>Diesel[[#This Row],[Cumulative Consumed '[L']]]-Diesel[[#This Row],[Diesel Used '[L']]]</f>
        <v>900</v>
      </c>
      <c r="M9" cm="1">
        <f t="array" ref="M9">IF(Diesel[[#This Row],[Index of Last Entry]]=0,0,_xlfn.XMATCH(Diesel[[#This Row],[Total Consumption Before This Consumption]],_xlfn._xlws.FILTER(J$1:J8,B$1:B8=Diesel[[#This Row],[Project]]),1,1))</f>
        <v>1</v>
      </c>
      <c r="N9" cm="1">
        <f t="array" ref="N9">IF(Diesel[[#This Row],[Index of Last Entry]]=0,0,INDEX(_xlfn._xlws.FILTER(J$1:J8,B$1:B8=Diesel[[#This Row],[Project]]),Diesel[[#This Row],[Index of Oldest Diesel Still in Tank Before This Consumption]])-INDEX(K$1:K8,Diesel[[#This Row],[Index of Last Entry]]+1))</f>
        <v>100</v>
      </c>
      <c r="O9" cm="1">
        <f t="array" ref="O9">IF(Diesel[[#This Row],[Index of Last Entry]]=0,0,INDEX(_xlfn._xlws.FILTER(E$1:E8,B$1:B8=Diesel[[#This Row],[Project]]),Diesel[[#This Row],[Index of Oldest Diesel Still in Tank Before This Consumption]]))</f>
        <v>1.9</v>
      </c>
      <c r="P9">
        <f>MIN(Diesel[[#This Row],[Liters of Oldest Diesel Left in Tank Before This Consumption]],Diesel[[#This Row],[Diesel Used '[L']]])</f>
        <v>100</v>
      </c>
      <c r="Q9">
        <f>Diesel[[#This Row],[Liters of Oldest Diesel Consumed]]*Diesel[[#This Row],[Price Per Liter of Oldest Diesel]]</f>
        <v>190</v>
      </c>
      <c r="R9">
        <f>Diesel[[#This Row],[Diesel Used '[L']]]-Diesel[[#This Row],[Liters of Oldest Diesel Consumed]]</f>
        <v>1000</v>
      </c>
      <c r="S9" cm="1">
        <f t="array" ref="S9">_xlfn.LET(_xlpm.filteredSupply,_xlfn._xlws.FILTER(D$2:D9,B$2:B9=Diesel[[#This Row],[Project]]),_xlpm.filteredPricePerLiter,_xlfn._xlws.FILTER(E$2:E9,B$2:B9=Diesel[[#This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2200</v>
      </c>
    </row>
    <row r="10" spans="1:19" x14ac:dyDescent="0.55000000000000004">
      <c r="A10" s="1">
        <v>42144</v>
      </c>
      <c r="B10" t="s">
        <v>29</v>
      </c>
      <c r="C10">
        <v>100</v>
      </c>
      <c r="D10">
        <v>1500</v>
      </c>
      <c r="E10">
        <v>2.7</v>
      </c>
      <c r="F10">
        <f>Diesel[[#This Row],[Starting Balance '[L']]]+Diesel[[#This Row],[Liters Purchased]]</f>
        <v>1600</v>
      </c>
      <c r="G10" cm="1">
        <f t="array" ref="G10">IF(Diesel[[#This Row],[Index of Last Entry]]=0,0,INDEX(Diesel[Ending Balance '[L']],Diesel[[#This Row],[Index of Last Entry]])-Diesel[[#This Row],[Starting Balance '[L']]])</f>
        <v>800</v>
      </c>
      <c r="H10">
        <f>Diesel[[#This Row],[Price of Oldest Diesel Consumed]]+Diesel[[#This Row],[Price of Remaining Diesel Consumed]]</f>
        <v>1800</v>
      </c>
      <c r="I10">
        <f>IFERROR(_xlfn.XMATCH(Diesel[[#This Row],[Project]],B$1:B9,0,-1)-1,0)</f>
        <v>6</v>
      </c>
      <c r="J10">
        <f>SUMIF(B$2:B10,Diesel[[#This Row],[Project]],D$2:D10)</f>
        <v>2900</v>
      </c>
      <c r="K10">
        <f>SUMIF(B$2:B10,Diesel[[#This Row],[Project]],G$2:G10)</f>
        <v>1300</v>
      </c>
      <c r="L10">
        <f>Diesel[[#This Row],[Cumulative Consumed '[L']]]-Diesel[[#This Row],[Diesel Used '[L']]]</f>
        <v>500</v>
      </c>
      <c r="M10" cm="1">
        <f t="array" ref="M10">IF(Diesel[[#This Row],[Index of Last Entry]]=0,0,_xlfn.XMATCH(Diesel[[#This Row],[Total Consumption Before This Consumption]],_xlfn._xlws.FILTER(J$1:J9,B$1:B9=Diesel[[#This Row],[Project]]),1,1))</f>
        <v>1</v>
      </c>
      <c r="N10" cm="1">
        <f t="array" ref="N10">IF(Diesel[[#This Row],[Index of Last Entry]]=0,0,INDEX(_xlfn._xlws.FILTER(J$1:J9,B$1:B9=Diesel[[#This Row],[Project]]),Diesel[[#This Row],[Index of Oldest Diesel Still in Tank Before This Consumption]])-INDEX(K$1:K9,Diesel[[#This Row],[Index of Last Entry]]+1))</f>
        <v>400</v>
      </c>
      <c r="O10" cm="1">
        <f t="array" ref="O10">IF(Diesel[[#This Row],[Index of Last Entry]]=0,0,INDEX(_xlfn._xlws.FILTER(E$1:E9,B$1:B9=Diesel[[#This Row],[Project]]),Diesel[[#This Row],[Index of Oldest Diesel Still in Tank Before This Consumption]]))</f>
        <v>2.1</v>
      </c>
      <c r="P10">
        <f>MIN(Diesel[[#This Row],[Liters of Oldest Diesel Left in Tank Before This Consumption]],Diesel[[#This Row],[Diesel Used '[L']]])</f>
        <v>400</v>
      </c>
      <c r="Q10">
        <f>Diesel[[#This Row],[Liters of Oldest Diesel Consumed]]*Diesel[[#This Row],[Price Per Liter of Oldest Diesel]]</f>
        <v>840</v>
      </c>
      <c r="R10">
        <f>Diesel[[#This Row],[Diesel Used '[L']]]-Diesel[[#This Row],[Liters of Oldest Diesel Consumed]]</f>
        <v>400</v>
      </c>
      <c r="S10" cm="1">
        <f t="array" ref="S10">_xlfn.LET(_xlpm.filteredSupply,_xlfn._xlws.FILTER(D$2:D10,B$2:B10=Diesel[[#This Row],[Project]]),_xlpm.filteredPricePerLiter,_xlfn._xlws.FILTER(E$2:E10,B$2:B10=Diesel[[#This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960</v>
      </c>
    </row>
    <row r="11" spans="1:19" x14ac:dyDescent="0.55000000000000004">
      <c r="A11" s="1">
        <v>42176</v>
      </c>
      <c r="B11" t="s">
        <v>29</v>
      </c>
      <c r="C11">
        <v>1400</v>
      </c>
      <c r="F11">
        <f>Diesel[[#This Row],[Starting Balance '[L']]]+Diesel[[#This Row],[Liters Purchased]]</f>
        <v>1400</v>
      </c>
      <c r="G11" cm="1">
        <f t="array" ref="G11">IF(Diesel[[#This Row],[Index of Last Entry]]=0,0,INDEX(Diesel[Ending Balance '[L']],Diesel[[#This Row],[Index of Last Entry]])-Diesel[[#This Row],[Starting Balance '[L']]])</f>
        <v>200</v>
      </c>
      <c r="H11">
        <f>Diesel[[#This Row],[Price of Oldest Diesel Consumed]]+Diesel[[#This Row],[Price of Remaining Diesel Consumed]]</f>
        <v>510</v>
      </c>
      <c r="I11">
        <f>IFERROR(_xlfn.XMATCH(Diesel[[#This Row],[Project]],B$1:B10,0,-1)-1,0)</f>
        <v>9</v>
      </c>
      <c r="J11">
        <f>SUMIF(B$2:B11,Diesel[[#This Row],[Project]],D$2:D11)</f>
        <v>2900</v>
      </c>
      <c r="K11">
        <f>SUMIF(B$2:B11,Diesel[[#This Row],[Project]],G$2:G11)</f>
        <v>1500</v>
      </c>
      <c r="L11">
        <f>Diesel[[#This Row],[Cumulative Consumed '[L']]]-Diesel[[#This Row],[Diesel Used '[L']]]</f>
        <v>1300</v>
      </c>
      <c r="M11" cm="1">
        <f t="array" ref="M11">IF(Diesel[[#This Row],[Index of Last Entry]]=0,0,_xlfn.XMATCH(Diesel[[#This Row],[Total Consumption Before This Consumption]],_xlfn._xlws.FILTER(J$1:J10,B$1:B10=Diesel[[#This Row],[Project]]),1,1))</f>
        <v>2</v>
      </c>
      <c r="N11" cm="1">
        <f t="array" ref="N11">IF(Diesel[[#This Row],[Index of Last Entry]]=0,0,INDEX(_xlfn._xlws.FILTER(J$1:J10,B$1:B10=Diesel[[#This Row],[Project]]),Diesel[[#This Row],[Index of Oldest Diesel Still in Tank Before This Consumption]])-INDEX(K$1:K10,Diesel[[#This Row],[Index of Last Entry]]+1))</f>
        <v>100</v>
      </c>
      <c r="O11" cm="1">
        <f t="array" ref="O11">IF(Diesel[[#This Row],[Index of Last Entry]]=0,0,INDEX(_xlfn._xlws.FILTER(E$1:E10,B$1:B10=Diesel[[#This Row],[Project]]),Diesel[[#This Row],[Index of Oldest Diesel Still in Tank Before This Consumption]]))</f>
        <v>2.4</v>
      </c>
      <c r="P11">
        <f>MIN(Diesel[[#This Row],[Liters of Oldest Diesel Left in Tank Before This Consumption]],Diesel[[#This Row],[Diesel Used '[L']]])</f>
        <v>100</v>
      </c>
      <c r="Q11">
        <f>Diesel[[#This Row],[Liters of Oldest Diesel Consumed]]*Diesel[[#This Row],[Price Per Liter of Oldest Diesel]]</f>
        <v>240</v>
      </c>
      <c r="R11">
        <f>Diesel[[#This Row],[Diesel Used '[L']]]-Diesel[[#This Row],[Liters of Oldest Diesel Consumed]]</f>
        <v>100</v>
      </c>
      <c r="S11" cm="1">
        <f t="array" ref="S11">_xlfn.LET(_xlpm.filteredSupply,_xlfn._xlws.FILTER(D$2:D11,B$2:B11=Diesel[[#This Row],[Project]]),_xlpm.filteredPricePerLiter,_xlfn._xlws.FILTER(E$2:E11,B$2:B11=Diesel[[#This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270</v>
      </c>
    </row>
    <row r="12" spans="1:19" x14ac:dyDescent="0.55000000000000004">
      <c r="A12" s="1">
        <v>42177</v>
      </c>
      <c r="B12" t="s">
        <v>27</v>
      </c>
      <c r="C12">
        <v>1200</v>
      </c>
      <c r="F12">
        <f>Diesel[[#This Row],[Starting Balance '[L']]]+Diesel[[#This Row],[Liters Purchased]]</f>
        <v>1200</v>
      </c>
      <c r="G12" cm="1">
        <f t="array" ref="G12">IF(Diesel[[#This Row],[Index of Last Entry]]=0,0,INDEX(Diesel[Ending Balance '[L']],Diesel[[#This Row],[Index of Last Entry]])-Diesel[[#This Row],[Starting Balance '[L']]])</f>
        <v>100</v>
      </c>
      <c r="H12">
        <f>Diesel[[#This Row],[Price of Oldest Diesel Consumed]]+Diesel[[#This Row],[Price of Remaining Diesel Consumed]]</f>
        <v>229.99999999999997</v>
      </c>
      <c r="I12">
        <f>IFERROR(_xlfn.XMATCH(Diesel[[#This Row],[Project]],B$1:B11,0,-1)-1,0)</f>
        <v>7</v>
      </c>
      <c r="J12">
        <f>SUMIF(B$2:B12,Diesel[[#This Row],[Project]],D$2:D12)</f>
        <v>3000</v>
      </c>
      <c r="K12">
        <f>SUMIF(B$2:B12,Diesel[[#This Row],[Project]],G$2:G12)</f>
        <v>1800</v>
      </c>
      <c r="L12">
        <f>Diesel[[#This Row],[Cumulative Consumed '[L']]]-Diesel[[#This Row],[Diesel Used '[L']]]</f>
        <v>1700</v>
      </c>
      <c r="M12" cm="1">
        <f t="array" ref="M12">IF(Diesel[[#This Row],[Index of Last Entry]]=0,0,_xlfn.XMATCH(Diesel[[#This Row],[Total Consumption Before This Consumption]],_xlfn._xlws.FILTER(J$1:J11,B$1:B11=Diesel[[#This Row],[Project]]),1,1))</f>
        <v>2</v>
      </c>
      <c r="N12" cm="1">
        <f t="array" ref="N12">IF(Diesel[[#This Row],[Index of Last Entry]]=0,0,INDEX(_xlfn._xlws.FILTER(J$1:J11,B$1:B11=Diesel[[#This Row],[Project]]),Diesel[[#This Row],[Index of Oldest Diesel Still in Tank Before This Consumption]])-INDEX(K$1:K11,Diesel[[#This Row],[Index of Last Entry]]+1))</f>
        <v>300</v>
      </c>
      <c r="O12" cm="1">
        <f t="array" ref="O12">IF(Diesel[[#This Row],[Index of Last Entry]]=0,0,INDEX(_xlfn._xlws.FILTER(E$1:E11,B$1:B11=Diesel[[#This Row],[Project]]),Diesel[[#This Row],[Index of Oldest Diesel Still in Tank Before This Consumption]]))</f>
        <v>2.2999999999999998</v>
      </c>
      <c r="P12">
        <f>MIN(Diesel[[#This Row],[Liters of Oldest Diesel Left in Tank Before This Consumption]],Diesel[[#This Row],[Diesel Used '[L']]])</f>
        <v>100</v>
      </c>
      <c r="Q12">
        <f>Diesel[[#This Row],[Liters of Oldest Diesel Consumed]]*Diesel[[#This Row],[Price Per Liter of Oldest Diesel]]</f>
        <v>229.99999999999997</v>
      </c>
      <c r="R12">
        <f>Diesel[[#This Row],[Diesel Used '[L']]]-Diesel[[#This Row],[Liters of Oldest Diesel Consumed]]</f>
        <v>0</v>
      </c>
      <c r="S12" cm="1">
        <f t="array" ref="S12">_xlfn.LET(_xlpm.filteredSupply,_xlfn._xlws.FILTER(D$2:D12,B$2:B12=Diesel[[#This Row],[Project]]),_xlpm.filteredPricePerLiter,_xlfn._xlws.FILTER(E$2:E12,B$2:B12=Diesel[[#This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3" spans="1:19" x14ac:dyDescent="0.55000000000000004">
      <c r="A13" s="1">
        <v>42178</v>
      </c>
      <c r="B13" t="s">
        <v>28</v>
      </c>
      <c r="C13">
        <v>1700</v>
      </c>
      <c r="F13">
        <f>Diesel[[#This Row],[Starting Balance '[L']]]+Diesel[[#This Row],[Liters Purchased]]</f>
        <v>1700</v>
      </c>
      <c r="G13" cm="1">
        <f t="array" ref="G13">IF(Diesel[[#This Row],[Index of Last Entry]]=0,0,INDEX(Diesel[Ending Balance '[L']],Diesel[[#This Row],[Index of Last Entry]])-Diesel[[#This Row],[Starting Balance '[L']]])</f>
        <v>300</v>
      </c>
      <c r="H13">
        <f>Diesel[[#This Row],[Price of Oldest Diesel Consumed]]+Diesel[[#This Row],[Price of Remaining Diesel Consumed]]</f>
        <v>660</v>
      </c>
      <c r="I13">
        <f>IFERROR(_xlfn.XMATCH(Diesel[[#This Row],[Project]],B$1:B12,0,-1)-1,0)</f>
        <v>8</v>
      </c>
      <c r="J13">
        <f>SUMIF(B$2:B13,Diesel[[#This Row],[Project]],D$2:D13)</f>
        <v>4000</v>
      </c>
      <c r="K13">
        <f>SUMIF(B$2:B13,Diesel[[#This Row],[Project]],G$2:G13)</f>
        <v>2300</v>
      </c>
      <c r="L13">
        <f>Diesel[[#This Row],[Cumulative Consumed '[L']]]-Diesel[[#This Row],[Diesel Used '[L']]]</f>
        <v>2000</v>
      </c>
      <c r="M13" cm="1">
        <f t="array" ref="M13">IF(Diesel[[#This Row],[Index of Last Entry]]=0,0,_xlfn.XMATCH(Diesel[[#This Row],[Total Consumption Before This Consumption]],_xlfn._xlws.FILTER(J$1:J12,B$1:B12=Diesel[[#This Row],[Project]]),1,1))</f>
        <v>2</v>
      </c>
      <c r="N13" cm="1">
        <f t="array" ref="N13">IF(Diesel[[#This Row],[Index of Last Entry]]=0,0,INDEX(_xlfn._xlws.FILTER(J$1:J12,B$1:B12=Diesel[[#This Row],[Project]]),Diesel[[#This Row],[Index of Oldest Diesel Still in Tank Before This Consumption]])-INDEX(K$1:K12,Diesel[[#This Row],[Index of Last Entry]]+1))</f>
        <v>1000</v>
      </c>
      <c r="O13" cm="1">
        <f t="array" ref="O13">IF(Diesel[[#This Row],[Index of Last Entry]]=0,0,INDEX(_xlfn._xlws.FILTER(E$1:E12,B$1:B12=Diesel[[#This Row],[Project]]),Diesel[[#This Row],[Index of Oldest Diesel Still in Tank Before This Consumption]]))</f>
        <v>2.2000000000000002</v>
      </c>
      <c r="P13">
        <f>MIN(Diesel[[#This Row],[Liters of Oldest Diesel Left in Tank Before This Consumption]],Diesel[[#This Row],[Diesel Used '[L']]])</f>
        <v>300</v>
      </c>
      <c r="Q13">
        <f>Diesel[[#This Row],[Liters of Oldest Diesel Consumed]]*Diesel[[#This Row],[Price Per Liter of Oldest Diesel]]</f>
        <v>660</v>
      </c>
      <c r="R13">
        <f>Diesel[[#This Row],[Diesel Used '[L']]]-Diesel[[#This Row],[Liters of Oldest Diesel Consumed]]</f>
        <v>0</v>
      </c>
      <c r="S13" cm="1">
        <f t="array" ref="S13">_xlfn.LET(_xlpm.filteredSupply,_xlfn._xlws.FILTER(D$2:D13,B$2:B13=Diesel[[#This Row],[Project]]),_xlpm.filteredPricePerLiter,_xlfn._xlws.FILTER(E$2:E13,B$2:B13=Diesel[[#This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4" spans="1:19" x14ac:dyDescent="0.55000000000000004">
      <c r="A14" s="1">
        <v>42209</v>
      </c>
      <c r="B14" t="s">
        <v>27</v>
      </c>
      <c r="C14">
        <v>1000</v>
      </c>
      <c r="F14">
        <f>Diesel[[#This Row],[Starting Balance '[L']]]+Diesel[[#This Row],[Liters Purchased]]</f>
        <v>1000</v>
      </c>
      <c r="G14" cm="1">
        <f t="array" ref="G14">IF(Diesel[[#This Row],[Index of Last Entry]]=0,0,INDEX(Diesel[Ending Balance '[L']],Diesel[[#This Row],[Index of Last Entry]])-Diesel[[#This Row],[Starting Balance '[L']]])</f>
        <v>200</v>
      </c>
      <c r="H14">
        <f>Diesel[[#This Row],[Price of Oldest Diesel Consumed]]+Diesel[[#This Row],[Price of Remaining Diesel Consumed]]</f>
        <v>459.99999999999994</v>
      </c>
      <c r="I14">
        <f>IFERROR(_xlfn.XMATCH(Diesel[[#This Row],[Project]],B$1:B13,0,-1)-1,0)</f>
        <v>11</v>
      </c>
      <c r="J14">
        <f>SUMIF(B$2:B14,Diesel[[#This Row],[Project]],D$2:D14)</f>
        <v>3000</v>
      </c>
      <c r="K14">
        <f>SUMIF(B$2:B14,Diesel[[#This Row],[Project]],G$2:G14)</f>
        <v>2000</v>
      </c>
      <c r="L14">
        <f>Diesel[[#This Row],[Cumulative Consumed '[L']]]-Diesel[[#This Row],[Diesel Used '[L']]]</f>
        <v>1800</v>
      </c>
      <c r="M14" cm="1">
        <f t="array" ref="M14">IF(Diesel[[#This Row],[Index of Last Entry]]=0,0,_xlfn.XMATCH(Diesel[[#This Row],[Total Consumption Before This Consumption]],_xlfn._xlws.FILTER(J$1:J13,B$1:B13=Diesel[[#This Row],[Project]]),1,1))</f>
        <v>2</v>
      </c>
      <c r="N14" cm="1">
        <f t="array" ref="N14">IF(Diesel[[#This Row],[Index of Last Entry]]=0,0,INDEX(_xlfn._xlws.FILTER(J$1:J13,B$1:B13=Diesel[[#This Row],[Project]]),Diesel[[#This Row],[Index of Oldest Diesel Still in Tank Before This Consumption]])-INDEX(K$1:K13,Diesel[[#This Row],[Index of Last Entry]]+1))</f>
        <v>200</v>
      </c>
      <c r="O14" cm="1">
        <f t="array" ref="O14">IF(Diesel[[#This Row],[Index of Last Entry]]=0,0,INDEX(_xlfn._xlws.FILTER(E$1:E13,B$1:B13=Diesel[[#This Row],[Project]]),Diesel[[#This Row],[Index of Oldest Diesel Still in Tank Before This Consumption]]))</f>
        <v>2.2999999999999998</v>
      </c>
      <c r="P14">
        <f>MIN(Diesel[[#This Row],[Liters of Oldest Diesel Left in Tank Before This Consumption]],Diesel[[#This Row],[Diesel Used '[L']]])</f>
        <v>200</v>
      </c>
      <c r="Q14">
        <f>Diesel[[#This Row],[Liters of Oldest Diesel Consumed]]*Diesel[[#This Row],[Price Per Liter of Oldest Diesel]]</f>
        <v>459.99999999999994</v>
      </c>
      <c r="R14">
        <f>Diesel[[#This Row],[Diesel Used '[L']]]-Diesel[[#This Row],[Liters of Oldest Diesel Consumed]]</f>
        <v>0</v>
      </c>
      <c r="S14" cm="1">
        <f t="array" ref="S14">_xlfn.LET(_xlpm.filteredSupply,_xlfn._xlws.FILTER(D$2:D14,B$2:B14=Diesel[[#This Row],[Project]]),_xlpm.filteredPricePerLiter,_xlfn._xlws.FILTER(E$2:E14,B$2:B14=Diesel[[#This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5" spans="1:19" x14ac:dyDescent="0.55000000000000004">
      <c r="A15" s="1">
        <v>42210</v>
      </c>
      <c r="B15" t="s">
        <v>28</v>
      </c>
      <c r="C15">
        <v>700</v>
      </c>
      <c r="D15">
        <v>1500</v>
      </c>
      <c r="E15">
        <v>2.8</v>
      </c>
      <c r="F15">
        <f>Diesel[[#This Row],[Starting Balance '[L']]]+Diesel[[#This Row],[Liters Purchased]]</f>
        <v>2200</v>
      </c>
      <c r="G15" cm="1">
        <f t="array" ref="G15">IF(Diesel[[#This Row],[Index of Last Entry]]=0,0,INDEX(Diesel[Ending Balance '[L']],Diesel[[#This Row],[Index of Last Entry]])-Diesel[[#This Row],[Starting Balance '[L']]])</f>
        <v>1000</v>
      </c>
      <c r="H15">
        <f>Diesel[[#This Row],[Price of Oldest Diesel Consumed]]+Diesel[[#This Row],[Price of Remaining Diesel Consumed]]</f>
        <v>2320</v>
      </c>
      <c r="I15">
        <f>IFERROR(_xlfn.XMATCH(Diesel[[#This Row],[Project]],B$1:B14,0,-1)-1,0)</f>
        <v>12</v>
      </c>
      <c r="J15">
        <f>SUMIF(B$2:B15,Diesel[[#This Row],[Project]],D$2:D15)</f>
        <v>5500</v>
      </c>
      <c r="K15">
        <f>SUMIF(B$2:B15,Diesel[[#This Row],[Project]],G$2:G15)</f>
        <v>3300</v>
      </c>
      <c r="L15">
        <f>Diesel[[#This Row],[Cumulative Consumed '[L']]]-Diesel[[#This Row],[Diesel Used '[L']]]</f>
        <v>2300</v>
      </c>
      <c r="M15" cm="1">
        <f t="array" ref="M15">IF(Diesel[[#This Row],[Index of Last Entry]]=0,0,_xlfn.XMATCH(Diesel[[#This Row],[Total Consumption Before This Consumption]],_xlfn._xlws.FILTER(J$1:J14,B$1:B14=Diesel[[#This Row],[Project]]),1,1))</f>
        <v>2</v>
      </c>
      <c r="N15" cm="1">
        <f t="array" ref="N15">IF(Diesel[[#This Row],[Index of Last Entry]]=0,0,INDEX(_xlfn._xlws.FILTER(J$1:J14,B$1:B14=Diesel[[#This Row],[Project]]),Diesel[[#This Row],[Index of Oldest Diesel Still in Tank Before This Consumption]])-INDEX(K$1:K14,Diesel[[#This Row],[Index of Last Entry]]+1))</f>
        <v>700</v>
      </c>
      <c r="O15" cm="1">
        <f t="array" ref="O15">IF(Diesel[[#This Row],[Index of Last Entry]]=0,0,INDEX(_xlfn._xlws.FILTER(E$1:E14,B$1:B14=Diesel[[#This Row],[Project]]),Diesel[[#This Row],[Index of Oldest Diesel Still in Tank Before This Consumption]]))</f>
        <v>2.2000000000000002</v>
      </c>
      <c r="P15">
        <f>MIN(Diesel[[#This Row],[Liters of Oldest Diesel Left in Tank Before This Consumption]],Diesel[[#This Row],[Diesel Used '[L']]])</f>
        <v>700</v>
      </c>
      <c r="Q15">
        <f>Diesel[[#This Row],[Liters of Oldest Diesel Consumed]]*Diesel[[#This Row],[Price Per Liter of Oldest Diesel]]</f>
        <v>1540.0000000000002</v>
      </c>
      <c r="R15">
        <f>Diesel[[#This Row],[Diesel Used '[L']]]-Diesel[[#This Row],[Liters of Oldest Diesel Consumed]]</f>
        <v>300</v>
      </c>
      <c r="S15" cm="1">
        <f t="array" ref="S15">_xlfn.LET(_xlpm.filteredSupply,_xlfn._xlws.FILTER(D$2:D15,B$2:B15=Diesel[[#This Row],[Project]]),_xlpm.filteredPricePerLiter,_xlfn._xlws.FILTER(E$2:E15,B$2:B15=Diesel[[#This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780</v>
      </c>
    </row>
    <row r="16" spans="1:19" x14ac:dyDescent="0.55000000000000004">
      <c r="A16" s="1">
        <v>42211</v>
      </c>
      <c r="B16" t="s">
        <v>29</v>
      </c>
      <c r="C16">
        <v>300</v>
      </c>
      <c r="D16">
        <v>1500</v>
      </c>
      <c r="E16">
        <v>2.9</v>
      </c>
      <c r="F16">
        <f>Diesel[[#This Row],[Starting Balance '[L']]]+Diesel[[#This Row],[Liters Purchased]]</f>
        <v>1800</v>
      </c>
      <c r="G16" cm="1">
        <f t="array" ref="G16">IF(Diesel[[#This Row],[Index of Last Entry]]=0,0,INDEX(Diesel[Ending Balance '[L']],Diesel[[#This Row],[Index of Last Entry]])-Diesel[[#This Row],[Starting Balance '[L']]])</f>
        <v>1100</v>
      </c>
      <c r="H16">
        <f>Diesel[[#This Row],[Price of Oldest Diesel Consumed]]+Diesel[[#This Row],[Price of Remaining Diesel Consumed]]</f>
        <v>2970</v>
      </c>
      <c r="I16">
        <f>IFERROR(_xlfn.XMATCH(Diesel[[#This Row],[Project]],B$1:B15,0,-1)-1,0)</f>
        <v>10</v>
      </c>
      <c r="J16">
        <f>SUMIF(B$2:B16,Diesel[[#This Row],[Project]],D$2:D16)</f>
        <v>4400</v>
      </c>
      <c r="K16">
        <f>SUMIF(B$2:B16,Diesel[[#This Row],[Project]],G$2:G16)</f>
        <v>2600</v>
      </c>
      <c r="L16">
        <f>Diesel[[#This Row],[Cumulative Consumed '[L']]]-Diesel[[#This Row],[Diesel Used '[L']]]</f>
        <v>1500</v>
      </c>
      <c r="M16" cm="1">
        <f t="array" ref="M16">IF(Diesel[[#This Row],[Index of Last Entry]]=0,0,_xlfn.XMATCH(Diesel[[#This Row],[Total Consumption Before This Consumption]],_xlfn._xlws.FILTER(J$1:J15,B$1:B15=Diesel[[#This Row],[Project]]),1,1))</f>
        <v>3</v>
      </c>
      <c r="N16" cm="1">
        <f t="array" ref="N16">IF(Diesel[[#This Row],[Index of Last Entry]]=0,0,INDEX(_xlfn._xlws.FILTER(J$1:J15,B$1:B15=Diesel[[#This Row],[Project]]),Diesel[[#This Row],[Index of Oldest Diesel Still in Tank Before This Consumption]])-INDEX(K$1:K15,Diesel[[#This Row],[Index of Last Entry]]+1))</f>
        <v>1400</v>
      </c>
      <c r="O16" cm="1">
        <f t="array" ref="O16">IF(Diesel[[#This Row],[Index of Last Entry]]=0,0,INDEX(_xlfn._xlws.FILTER(E$1:E15,B$1:B15=Diesel[[#This Row],[Project]]),Diesel[[#This Row],[Index of Oldest Diesel Still in Tank Before This Consumption]]))</f>
        <v>2.7</v>
      </c>
      <c r="P16">
        <f>MIN(Diesel[[#This Row],[Liters of Oldest Diesel Left in Tank Before This Consumption]],Diesel[[#This Row],[Diesel Used '[L']]])</f>
        <v>1100</v>
      </c>
      <c r="Q16">
        <f>Diesel[[#This Row],[Liters of Oldest Diesel Consumed]]*Diesel[[#This Row],[Price Per Liter of Oldest Diesel]]</f>
        <v>2970</v>
      </c>
      <c r="R16">
        <f>Diesel[[#This Row],[Diesel Used '[L']]]-Diesel[[#This Row],[Liters of Oldest Diesel Consumed]]</f>
        <v>0</v>
      </c>
      <c r="S16" cm="1">
        <f t="array" ref="S16">_xlfn.LET(_xlpm.filteredSupply,_xlfn._xlws.FILTER(D$2:D16,B$2:B16=Diesel[[#This Row],[Project]]),_xlpm.filteredPricePerLiter,_xlfn._xlws.FILTER(E$2:E16,B$2:B16=Diesel[[#This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7" spans="1:19" x14ac:dyDescent="0.55000000000000004">
      <c r="A17" s="1">
        <v>42237</v>
      </c>
      <c r="B17" t="s">
        <v>27</v>
      </c>
      <c r="C17">
        <v>0</v>
      </c>
      <c r="F17">
        <f>Diesel[[#This Row],[Starting Balance '[L']]]+Diesel[[#This Row],[Liters Purchased]]</f>
        <v>0</v>
      </c>
      <c r="G17" cm="1">
        <f t="array" ref="G17">IF(Diesel[[#This Row],[Index of Last Entry]]=0,0,INDEX(Diesel[Ending Balance '[L']],Diesel[[#This Row],[Index of Last Entry]])-Diesel[[#This Row],[Starting Balance '[L']]])</f>
        <v>1000</v>
      </c>
      <c r="H17">
        <f>Diesel[[#This Row],[Price of Oldest Diesel Consumed]]+Diesel[[#This Row],[Price of Remaining Diesel Consumed]]</f>
        <v>2500</v>
      </c>
      <c r="I17">
        <f>IFERROR(_xlfn.XMATCH(Diesel[[#This Row],[Project]],B$1:B16,0,-1)-1,0)</f>
        <v>13</v>
      </c>
      <c r="J17">
        <f>SUMIF(B$2:B17,Diesel[[#This Row],[Project]],D$2:D17)</f>
        <v>3000</v>
      </c>
      <c r="K17">
        <f>SUMIF(B$2:B17,Diesel[[#This Row],[Project]],G$2:G17)</f>
        <v>3000</v>
      </c>
      <c r="L17">
        <f>Diesel[[#This Row],[Cumulative Consumed '[L']]]-Diesel[[#This Row],[Diesel Used '[L']]]</f>
        <v>2000</v>
      </c>
      <c r="M17" cm="1">
        <f t="array" ref="M17">IF(Diesel[[#This Row],[Index of Last Entry]]=0,0,_xlfn.XMATCH(Diesel[[#This Row],[Total Consumption Before This Consumption]],_xlfn._xlws.FILTER(J$1:J16,B$1:B16=Diesel[[#This Row],[Project]]),1,1))</f>
        <v>2</v>
      </c>
      <c r="N17" cm="1">
        <f t="array" ref="N17">IF(Diesel[[#This Row],[Index of Last Entry]]=0,0,INDEX(_xlfn._xlws.FILTER(J$1:J16,B$1:B16=Diesel[[#This Row],[Project]]),Diesel[[#This Row],[Index of Oldest Diesel Still in Tank Before This Consumption]])-INDEX(K$1:K16,Diesel[[#This Row],[Index of Last Entry]]+1))</f>
        <v>0</v>
      </c>
      <c r="O17" cm="1">
        <f t="array" ref="O17">IF(Diesel[[#This Row],[Index of Last Entry]]=0,0,INDEX(_xlfn._xlws.FILTER(E$1:E16,B$1:B16=Diesel[[#This Row],[Project]]),Diesel[[#This Row],[Index of Oldest Diesel Still in Tank Before This Consumption]]))</f>
        <v>2.2999999999999998</v>
      </c>
      <c r="P17">
        <f>MIN(Diesel[[#This Row],[Liters of Oldest Diesel Left in Tank Before This Consumption]],Diesel[[#This Row],[Diesel Used '[L']]])</f>
        <v>0</v>
      </c>
      <c r="Q17">
        <f>Diesel[[#This Row],[Liters of Oldest Diesel Consumed]]*Diesel[[#This Row],[Price Per Liter of Oldest Diesel]]</f>
        <v>0</v>
      </c>
      <c r="R17">
        <f>Diesel[[#This Row],[Diesel Used '[L']]]-Diesel[[#This Row],[Liters of Oldest Diesel Consumed]]</f>
        <v>1000</v>
      </c>
      <c r="S17" cm="1">
        <f t="array" ref="S17">_xlfn.LET(_xlpm.filteredSupply,_xlfn._xlws.FILTER(D$2:D17,B$2:B17=Diesel[[#This Row],[Project]]),_xlpm.filteredPricePerLiter,_xlfn._xlws.FILTER(E$2:E17,B$2:B17=Diesel[[#This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2500</v>
      </c>
    </row>
    <row r="18" spans="1:19" x14ac:dyDescent="0.55000000000000004">
      <c r="A18" s="1">
        <v>42238</v>
      </c>
      <c r="B18" t="s">
        <v>28</v>
      </c>
      <c r="C18">
        <v>0</v>
      </c>
      <c r="F18">
        <f>Diesel[[#This Row],[Starting Balance '[L']]]+Diesel[[#This Row],[Liters Purchased]]</f>
        <v>0</v>
      </c>
      <c r="G18" cm="1">
        <f t="array" ref="G18">IF(Diesel[[#This Row],[Index of Last Entry]]=0,0,INDEX(Diesel[Ending Balance '[L']],Diesel[[#This Row],[Index of Last Entry]])-Diesel[[#This Row],[Starting Balance '[L']]])</f>
        <v>2200</v>
      </c>
      <c r="H18">
        <f>Diesel[[#This Row],[Price of Oldest Diesel Consumed]]+Diesel[[#This Row],[Price of Remaining Diesel Consumed]]</f>
        <v>6020</v>
      </c>
      <c r="I18">
        <f>IFERROR(_xlfn.XMATCH(Diesel[[#This Row],[Project]],B$1:B17,0,-1)-1,0)</f>
        <v>14</v>
      </c>
      <c r="J18">
        <f>SUMIF(B$2:B18,Diesel[[#This Row],[Project]],D$2:D18)</f>
        <v>5500</v>
      </c>
      <c r="K18">
        <f>SUMIF(B$2:B18,Diesel[[#This Row],[Project]],G$2:G18)</f>
        <v>5500</v>
      </c>
      <c r="L18">
        <f>Diesel[[#This Row],[Cumulative Consumed '[L']]]-Diesel[[#This Row],[Diesel Used '[L']]]</f>
        <v>3300</v>
      </c>
      <c r="M18" cm="1">
        <f t="array" ref="M18">IF(Diesel[[#This Row],[Index of Last Entry]]=0,0,_xlfn.XMATCH(Diesel[[#This Row],[Total Consumption Before This Consumption]],_xlfn._xlws.FILTER(J$1:J17,B$1:B17=Diesel[[#This Row],[Project]]),1,1))</f>
        <v>3</v>
      </c>
      <c r="N18" cm="1">
        <f t="array" ref="N18">IF(Diesel[[#This Row],[Index of Last Entry]]=0,0,INDEX(_xlfn._xlws.FILTER(J$1:J17,B$1:B17=Diesel[[#This Row],[Project]]),Diesel[[#This Row],[Index of Oldest Diesel Still in Tank Before This Consumption]])-INDEX(K$1:K17,Diesel[[#This Row],[Index of Last Entry]]+1))</f>
        <v>700</v>
      </c>
      <c r="O18" cm="1">
        <f t="array" ref="O18">IF(Diesel[[#This Row],[Index of Last Entry]]=0,0,INDEX(_xlfn._xlws.FILTER(E$1:E17,B$1:B17=Diesel[[#This Row],[Project]]),Diesel[[#This Row],[Index of Oldest Diesel Still in Tank Before This Consumption]]))</f>
        <v>2.6</v>
      </c>
      <c r="P18">
        <f>MIN(Diesel[[#This Row],[Liters of Oldest Diesel Left in Tank Before This Consumption]],Diesel[[#This Row],[Diesel Used '[L']]])</f>
        <v>700</v>
      </c>
      <c r="Q18">
        <f>Diesel[[#This Row],[Liters of Oldest Diesel Consumed]]*Diesel[[#This Row],[Price Per Liter of Oldest Diesel]]</f>
        <v>1820</v>
      </c>
      <c r="R18">
        <f>Diesel[[#This Row],[Diesel Used '[L']]]-Diesel[[#This Row],[Liters of Oldest Diesel Consumed]]</f>
        <v>1500</v>
      </c>
      <c r="S18" cm="1">
        <f t="array" ref="S18">_xlfn.LET(_xlpm.filteredSupply,_xlfn._xlws.FILTER(D$2:D18,B$2:B18=Diesel[[#This Row],[Project]]),_xlpm.filteredPricePerLiter,_xlfn._xlws.FILTER(E$2:E18,B$2:B18=Diesel[[#This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4200</v>
      </c>
    </row>
    <row r="19" spans="1:19" x14ac:dyDescent="0.55000000000000004">
      <c r="A19" s="1">
        <v>42239</v>
      </c>
      <c r="B19" t="s">
        <v>29</v>
      </c>
      <c r="C19">
        <v>0</v>
      </c>
      <c r="F19">
        <f>Diesel[[#This Row],[Starting Balance '[L']]]+Diesel[[#This Row],[Liters Purchased]]</f>
        <v>0</v>
      </c>
      <c r="G19" cm="1">
        <f t="array" ref="G19">IF(Diesel[[#This Row],[Index of Last Entry]]=0,0,INDEX(Diesel[Ending Balance '[L']],Diesel[[#This Row],[Index of Last Entry]])-Diesel[[#This Row],[Starting Balance '[L']]])</f>
        <v>1800</v>
      </c>
      <c r="H19">
        <f>Diesel[[#This Row],[Price of Oldest Diesel Consumed]]+Diesel[[#This Row],[Price of Remaining Diesel Consumed]]</f>
        <v>5160</v>
      </c>
      <c r="I19">
        <f>IFERROR(_xlfn.XMATCH(Diesel[[#This Row],[Project]],B$1:B18,0,-1)-1,0)</f>
        <v>15</v>
      </c>
      <c r="J19">
        <f>SUMIF(B$2:B19,Diesel[[#This Row],[Project]],D$2:D19)</f>
        <v>4400</v>
      </c>
      <c r="K19">
        <f>SUMIF(B$2:B19,Diesel[[#This Row],[Project]],G$2:G19)</f>
        <v>4400</v>
      </c>
      <c r="L19">
        <f>Diesel[[#This Row],[Cumulative Consumed '[L']]]-Diesel[[#This Row],[Diesel Used '[L']]]</f>
        <v>2600</v>
      </c>
      <c r="M19" cm="1">
        <f t="array" ref="M19">IF(Diesel[[#This Row],[Index of Last Entry]]=0,0,_xlfn.XMATCH(Diesel[[#This Row],[Total Consumption Before This Consumption]],_xlfn._xlws.FILTER(J$1:J18,B$1:B18=Diesel[[#This Row],[Project]]),1,1))</f>
        <v>3</v>
      </c>
      <c r="N19" cm="1">
        <f t="array" ref="N19">IF(Diesel[[#This Row],[Index of Last Entry]]=0,0,INDEX(_xlfn._xlws.FILTER(J$1:J18,B$1:B18=Diesel[[#This Row],[Project]]),Diesel[[#This Row],[Index of Oldest Diesel Still in Tank Before This Consumption]])-INDEX(K$1:K18,Diesel[[#This Row],[Index of Last Entry]]+1))</f>
        <v>300</v>
      </c>
      <c r="O19" cm="1">
        <f t="array" ref="O19">IF(Diesel[[#This Row],[Index of Last Entry]]=0,0,INDEX(_xlfn._xlws.FILTER(E$1:E18,B$1:B18=Diesel[[#This Row],[Project]]),Diesel[[#This Row],[Index of Oldest Diesel Still in Tank Before This Consumption]]))</f>
        <v>2.7</v>
      </c>
      <c r="P19">
        <f>MIN(Diesel[[#This Row],[Liters of Oldest Diesel Left in Tank Before This Consumption]],Diesel[[#This Row],[Diesel Used '[L']]])</f>
        <v>300</v>
      </c>
      <c r="Q19">
        <f>Diesel[[#This Row],[Liters of Oldest Diesel Consumed]]*Diesel[[#This Row],[Price Per Liter of Oldest Diesel]]</f>
        <v>810</v>
      </c>
      <c r="R19">
        <f>Diesel[[#This Row],[Diesel Used '[L']]]-Diesel[[#This Row],[Liters of Oldest Diesel Consumed]]</f>
        <v>1500</v>
      </c>
      <c r="S19" cm="1">
        <f t="array" ref="S19">_xlfn.LET(_xlpm.filteredSupply,_xlfn._xlws.FILTER(D$2:D19,B$2:B19=Diesel[[#This Row],[Project]]),_xlpm.filteredPricePerLiter,_xlfn._xlws.FILTER(E$2:E19,B$2:B19=Diesel[[#This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4350</v>
      </c>
    </row>
    <row r="20" spans="1:19" x14ac:dyDescent="0.55000000000000004">
      <c r="A20" s="1">
        <v>42271</v>
      </c>
      <c r="B20" t="s">
        <v>27</v>
      </c>
      <c r="C20">
        <v>0</v>
      </c>
      <c r="D20">
        <v>2000</v>
      </c>
      <c r="E20">
        <v>3</v>
      </c>
      <c r="F20">
        <f>Diesel[[#This Row],[Starting Balance '[L']]]+Diesel[[#This Row],[Liters Purchased]]</f>
        <v>2000</v>
      </c>
      <c r="G20" cm="1">
        <f t="array" ref="G20">IF(Diesel[[#This Row],[Index of Last Entry]]=0,0,INDEX(Diesel[Ending Balance '[L']],Diesel[[#This Row],[Index of Last Entry]])-Diesel[[#This Row],[Starting Balance '[L']]])</f>
        <v>0</v>
      </c>
      <c r="H20">
        <f>Diesel[[#This Row],[Price of Oldest Diesel Consumed]]+Diesel[[#This Row],[Price of Remaining Diesel Consumed]]</f>
        <v>0</v>
      </c>
      <c r="I20">
        <f>IFERROR(_xlfn.XMATCH(Diesel[[#This Row],[Project]],B$1:B19,0,-1)-1,0)</f>
        <v>16</v>
      </c>
      <c r="J20">
        <f>SUMIF(B$2:B20,Diesel[[#This Row],[Project]],D$2:D20)</f>
        <v>5000</v>
      </c>
      <c r="K20">
        <f>SUMIF(B$2:B20,Diesel[[#This Row],[Project]],G$2:G20)</f>
        <v>3000</v>
      </c>
      <c r="L20">
        <f>Diesel[[#This Row],[Cumulative Consumed '[L']]]-Diesel[[#This Row],[Diesel Used '[L']]]</f>
        <v>3000</v>
      </c>
      <c r="M20" cm="1">
        <f t="array" ref="M20">IF(Diesel[[#This Row],[Index of Last Entry]]=0,0,_xlfn.XMATCH(Diesel[[#This Row],[Total Consumption Before This Consumption]],_xlfn._xlws.FILTER(J$1:J19,B$1:B19=Diesel[[#This Row],[Project]]),1,1))</f>
        <v>3</v>
      </c>
      <c r="N20" cm="1">
        <f t="array" ref="N20">IF(Diesel[[#This Row],[Index of Last Entry]]=0,0,INDEX(_xlfn._xlws.FILTER(J$1:J19,B$1:B19=Diesel[[#This Row],[Project]]),Diesel[[#This Row],[Index of Oldest Diesel Still in Tank Before This Consumption]])-INDEX(K$1:K19,Diesel[[#This Row],[Index of Last Entry]]+1))</f>
        <v>0</v>
      </c>
      <c r="O20" cm="1">
        <f t="array" ref="O20">IF(Diesel[[#This Row],[Index of Last Entry]]=0,0,INDEX(_xlfn._xlws.FILTER(E$1:E19,B$1:B19=Diesel[[#This Row],[Project]]),Diesel[[#This Row],[Index of Oldest Diesel Still in Tank Before This Consumption]]))</f>
        <v>2.5</v>
      </c>
      <c r="P20">
        <f>MIN(Diesel[[#This Row],[Liters of Oldest Diesel Left in Tank Before This Consumption]],Diesel[[#This Row],[Diesel Used '[L']]])</f>
        <v>0</v>
      </c>
      <c r="Q20">
        <f>Diesel[[#This Row],[Liters of Oldest Diesel Consumed]]*Diesel[[#This Row],[Price Per Liter of Oldest Diesel]]</f>
        <v>0</v>
      </c>
      <c r="R20">
        <f>Diesel[[#This Row],[Diesel Used '[L']]]-Diesel[[#This Row],[Liters of Oldest Diesel Consumed]]</f>
        <v>0</v>
      </c>
      <c r="S20" cm="1">
        <f t="array" ref="S20">_xlfn.LET(_xlpm.filteredSupply,_xlfn._xlws.FILTER(D$2:D20,B$2:B20=Diesel[[#This Row],[Project]]),_xlpm.filteredPricePerLiter,_xlfn._xlws.FILTER(E$2:E20,B$2:B20=Diesel[[#This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21" spans="1:19" x14ac:dyDescent="0.55000000000000004">
      <c r="A21" s="1">
        <v>42272</v>
      </c>
      <c r="B21" t="s">
        <v>28</v>
      </c>
      <c r="C21">
        <v>0</v>
      </c>
      <c r="D21">
        <v>2000</v>
      </c>
      <c r="E21">
        <v>3</v>
      </c>
      <c r="F21">
        <f>Diesel[[#This Row],[Starting Balance '[L']]]+Diesel[[#This Row],[Liters Purchased]]</f>
        <v>2000</v>
      </c>
      <c r="G21" cm="1">
        <f t="array" ref="G21">IF(Diesel[[#This Row],[Index of Last Entry]]=0,0,INDEX(Diesel[Ending Balance '[L']],Diesel[[#This Row],[Index of Last Entry]])-Diesel[[#This Row],[Starting Balance '[L']]])</f>
        <v>0</v>
      </c>
      <c r="H21">
        <f>Diesel[[#This Row],[Price of Oldest Diesel Consumed]]+Diesel[[#This Row],[Price of Remaining Diesel Consumed]]</f>
        <v>0</v>
      </c>
      <c r="I21">
        <f>IFERROR(_xlfn.XMATCH(Diesel[[#This Row],[Project]],B$1:B20,0,-1)-1,0)</f>
        <v>17</v>
      </c>
      <c r="J21">
        <f>SUMIF(B$2:B21,Diesel[[#This Row],[Project]],D$2:D21)</f>
        <v>7500</v>
      </c>
      <c r="K21">
        <f>SUMIF(B$2:B21,Diesel[[#This Row],[Project]],G$2:G21)</f>
        <v>5500</v>
      </c>
      <c r="L21">
        <f>Diesel[[#This Row],[Cumulative Consumed '[L']]]-Diesel[[#This Row],[Diesel Used '[L']]]</f>
        <v>5500</v>
      </c>
      <c r="M21" cm="1">
        <f t="array" ref="M21">IF(Diesel[[#This Row],[Index of Last Entry]]=0,0,_xlfn.XMATCH(Diesel[[#This Row],[Total Consumption Before This Consumption]],_xlfn._xlws.FILTER(J$1:J20,B$1:B20=Diesel[[#This Row],[Project]]),1,1))</f>
        <v>5</v>
      </c>
      <c r="N21" cm="1">
        <f t="array" ref="N21">IF(Diesel[[#This Row],[Index of Last Entry]]=0,0,INDEX(_xlfn._xlws.FILTER(J$1:J20,B$1:B20=Diesel[[#This Row],[Project]]),Diesel[[#This Row],[Index of Oldest Diesel Still in Tank Before This Consumption]])-INDEX(K$1:K20,Diesel[[#This Row],[Index of Last Entry]]+1))</f>
        <v>0</v>
      </c>
      <c r="O21" cm="1">
        <f t="array" ref="O21">IF(Diesel[[#This Row],[Index of Last Entry]]=0,0,INDEX(_xlfn._xlws.FILTER(E$1:E20,B$1:B20=Diesel[[#This Row],[Project]]),Diesel[[#This Row],[Index of Oldest Diesel Still in Tank Before This Consumption]]))</f>
        <v>2.8</v>
      </c>
      <c r="P21">
        <f>MIN(Diesel[[#This Row],[Liters of Oldest Diesel Left in Tank Before This Consumption]],Diesel[[#This Row],[Diesel Used '[L']]])</f>
        <v>0</v>
      </c>
      <c r="Q21">
        <f>Diesel[[#This Row],[Liters of Oldest Diesel Consumed]]*Diesel[[#This Row],[Price Per Liter of Oldest Diesel]]</f>
        <v>0</v>
      </c>
      <c r="R21">
        <f>Diesel[[#This Row],[Diesel Used '[L']]]-Diesel[[#This Row],[Liters of Oldest Diesel Consumed]]</f>
        <v>0</v>
      </c>
      <c r="S21" cm="1">
        <f t="array" ref="S21">_xlfn.LET(_xlpm.filteredSupply,_xlfn._xlws.FILTER(D$2:D21,B$2:B21=Diesel[[#This Row],[Project]]),_xlpm.filteredPricePerLiter,_xlfn._xlws.FILTER(E$2:E21,B$2:B21=Diesel[[#This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22" spans="1:19" x14ac:dyDescent="0.55000000000000004">
      <c r="A22" s="1">
        <v>42273</v>
      </c>
      <c r="B22" t="s">
        <v>29</v>
      </c>
      <c r="C22">
        <v>0</v>
      </c>
      <c r="D22">
        <v>2000</v>
      </c>
      <c r="E22">
        <v>3</v>
      </c>
      <c r="F22">
        <f>Diesel[[#This Row],[Starting Balance '[L']]]+Diesel[[#This Row],[Liters Purchased]]</f>
        <v>2000</v>
      </c>
      <c r="G22" cm="1">
        <f t="array" ref="G22">IF(Diesel[[#This Row],[Index of Last Entry]]=0,0,INDEX(Diesel[Ending Balance '[L']],Diesel[[#This Row],[Index of Last Entry]])-Diesel[[#This Row],[Starting Balance '[L']]])</f>
        <v>0</v>
      </c>
      <c r="H22">
        <f>Diesel[[#This Row],[Price of Oldest Diesel Consumed]]+Diesel[[#This Row],[Price of Remaining Diesel Consumed]]</f>
        <v>0</v>
      </c>
      <c r="I22">
        <f>IFERROR(_xlfn.XMATCH(Diesel[[#This Row],[Project]],B$1:B21,0,-1)-1,0)</f>
        <v>18</v>
      </c>
      <c r="J22">
        <f>SUMIF(B$2:B22,Diesel[[#This Row],[Project]],D$2:D22)</f>
        <v>6400</v>
      </c>
      <c r="K22">
        <f>SUMIF(B$2:B22,Diesel[[#This Row],[Project]],G$2:G22)</f>
        <v>4400</v>
      </c>
      <c r="L22">
        <f>Diesel[[#This Row],[Cumulative Consumed '[L']]]-Diesel[[#This Row],[Diesel Used '[L']]]</f>
        <v>4400</v>
      </c>
      <c r="M22" cm="1">
        <f t="array" ref="M22">IF(Diesel[[#This Row],[Index of Last Entry]]=0,0,_xlfn.XMATCH(Diesel[[#This Row],[Total Consumption Before This Consumption]],_xlfn._xlws.FILTER(J$1:J21,B$1:B21=Diesel[[#This Row],[Project]]),1,1))</f>
        <v>5</v>
      </c>
      <c r="N22" cm="1">
        <f t="array" ref="N22">IF(Diesel[[#This Row],[Index of Last Entry]]=0,0,INDEX(_xlfn._xlws.FILTER(J$1:J21,B$1:B21=Diesel[[#This Row],[Project]]),Diesel[[#This Row],[Index of Oldest Diesel Still in Tank Before This Consumption]])-INDEX(K$1:K21,Diesel[[#This Row],[Index of Last Entry]]+1))</f>
        <v>0</v>
      </c>
      <c r="O22" cm="1">
        <f t="array" ref="O22">IF(Diesel[[#This Row],[Index of Last Entry]]=0,0,INDEX(_xlfn._xlws.FILTER(E$1:E21,B$1:B21=Diesel[[#This Row],[Project]]),Diesel[[#This Row],[Index of Oldest Diesel Still in Tank Before This Consumption]]))</f>
        <v>2.9</v>
      </c>
      <c r="P22">
        <f>MIN(Diesel[[#This Row],[Liters of Oldest Diesel Left in Tank Before This Consumption]],Diesel[[#This Row],[Diesel Used '[L']]])</f>
        <v>0</v>
      </c>
      <c r="Q22">
        <f>Diesel[[#This Row],[Liters of Oldest Diesel Consumed]]*Diesel[[#This Row],[Price Per Liter of Oldest Diesel]]</f>
        <v>0</v>
      </c>
      <c r="R22">
        <f>Diesel[[#This Row],[Diesel Used '[L']]]-Diesel[[#This Row],[Liters of Oldest Diesel Consumed]]</f>
        <v>0</v>
      </c>
      <c r="S22" cm="1">
        <f t="array" ref="S22">_xlfn.LET(_xlpm.filteredSupply,_xlfn._xlws.FILTER(D$2:D22,B$2:B22=Diesel[[#This Row],[Project]]),_xlpm.filteredPricePerLiter,_xlfn._xlws.FILTER(E$2:E22,B$2:B22=Diesel[[#This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Selby</dc:creator>
  <cp:lastModifiedBy>Nicholas Selby</cp:lastModifiedBy>
  <dcterms:created xsi:type="dcterms:W3CDTF">2024-10-16T15:47:21Z</dcterms:created>
  <dcterms:modified xsi:type="dcterms:W3CDTF">2024-10-18T09:54:47Z</dcterms:modified>
</cp:coreProperties>
</file>