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s\OneDrive - Massachusetts Institute of Technology\Documents\Side Projects\ZZZ\ZZZ Damage Calculation_files\"/>
    </mc:Choice>
  </mc:AlternateContent>
  <xr:revisionPtr revIDLastSave="4" documentId="8_{D78B3FE6-8EE6-49BA-A189-A55481800D14}" xr6:coauthVersionLast="36" xr6:coauthVersionMax="36" xr10:uidLastSave="{61BF9FF3-0944-4BE2-AC0F-B28D3F25A33E}"/>
  <bookViews>
    <workbookView xWindow="0" yWindow="0" windowWidth="17256" windowHeight="5556" activeTab="4" xr2:uid="{3A758A5B-D047-420E-B34F-119C42FFFC0D}"/>
  </bookViews>
  <sheets>
    <sheet name="Scaling" sheetId="1" r:id="rId1"/>
    <sheet name="Grace Fusion Compiler" sheetId="2" r:id="rId2"/>
    <sheet name="Lip Gloss R1" sheetId="3" r:id="rId3"/>
    <sheet name="Lip Gloss R5" sheetId="4" r:id="rId4"/>
    <sheet name="Ellen with Signature" sheetId="5" r:id="rId5"/>
    <sheet name="Ellen with Signature (2)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L6" i="5" s="1"/>
  <c r="N52" i="6"/>
  <c r="L52" i="6"/>
  <c r="K52" i="6"/>
  <c r="I52" i="6"/>
  <c r="F52" i="6"/>
  <c r="D52" i="6"/>
  <c r="C52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P48" i="6"/>
  <c r="P53" i="6" s="1"/>
  <c r="O48" i="6"/>
  <c r="O53" i="6" s="1"/>
  <c r="N48" i="6"/>
  <c r="N53" i="6" s="1"/>
  <c r="M48" i="6"/>
  <c r="M53" i="6" s="1"/>
  <c r="L48" i="6"/>
  <c r="L53" i="6" s="1"/>
  <c r="K48" i="6"/>
  <c r="K53" i="6" s="1"/>
  <c r="J48" i="6"/>
  <c r="J53" i="6" s="1"/>
  <c r="I48" i="6"/>
  <c r="I53" i="6" s="1"/>
  <c r="H48" i="6"/>
  <c r="H53" i="6" s="1"/>
  <c r="G48" i="6"/>
  <c r="G53" i="6" s="1"/>
  <c r="F48" i="6"/>
  <c r="F53" i="6" s="1"/>
  <c r="E48" i="6"/>
  <c r="E53" i="6" s="1"/>
  <c r="D48" i="6"/>
  <c r="D53" i="6" s="1"/>
  <c r="C48" i="6"/>
  <c r="C53" i="6" s="1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O44" i="6"/>
  <c r="L44" i="6"/>
  <c r="J44" i="6"/>
  <c r="I44" i="6"/>
  <c r="G44" i="6"/>
  <c r="D44" i="6"/>
  <c r="N37" i="6"/>
  <c r="L37" i="6"/>
  <c r="K37" i="6"/>
  <c r="J37" i="6"/>
  <c r="O37" i="6" s="1"/>
  <c r="G37" i="6"/>
  <c r="N36" i="6"/>
  <c r="L36" i="6"/>
  <c r="K36" i="6"/>
  <c r="J36" i="6"/>
  <c r="O36" i="6" s="1"/>
  <c r="G36" i="6"/>
  <c r="N35" i="6"/>
  <c r="L35" i="6"/>
  <c r="K35" i="6"/>
  <c r="J35" i="6"/>
  <c r="O35" i="6" s="1"/>
  <c r="G35" i="6"/>
  <c r="D35" i="6"/>
  <c r="C35" i="6"/>
  <c r="O34" i="6"/>
  <c r="L34" i="6"/>
  <c r="K34" i="6"/>
  <c r="J34" i="6"/>
  <c r="G34" i="6"/>
  <c r="O33" i="6"/>
  <c r="L33" i="6"/>
  <c r="K33" i="6"/>
  <c r="J33" i="6"/>
  <c r="G33" i="6"/>
  <c r="O32" i="6"/>
  <c r="L32" i="6"/>
  <c r="K32" i="6"/>
  <c r="J32" i="6"/>
  <c r="G32" i="6"/>
  <c r="O31" i="6"/>
  <c r="L31" i="6"/>
  <c r="K31" i="6"/>
  <c r="J31" i="6"/>
  <c r="G31" i="6"/>
  <c r="O30" i="6"/>
  <c r="L30" i="6"/>
  <c r="K30" i="6"/>
  <c r="J30" i="6"/>
  <c r="G30" i="6"/>
  <c r="O29" i="6"/>
  <c r="L29" i="6"/>
  <c r="K29" i="6"/>
  <c r="J29" i="6"/>
  <c r="G29" i="6"/>
  <c r="O28" i="6"/>
  <c r="L28" i="6"/>
  <c r="K28" i="6"/>
  <c r="J28" i="6"/>
  <c r="G28" i="6"/>
  <c r="O27" i="6"/>
  <c r="L27" i="6"/>
  <c r="K27" i="6"/>
  <c r="J27" i="6"/>
  <c r="G27" i="6"/>
  <c r="O26" i="6"/>
  <c r="L26" i="6"/>
  <c r="K26" i="6"/>
  <c r="J26" i="6"/>
  <c r="G26" i="6"/>
  <c r="N25" i="6"/>
  <c r="L25" i="6"/>
  <c r="K25" i="6"/>
  <c r="J25" i="6"/>
  <c r="O25" i="6" s="1"/>
  <c r="G25" i="6"/>
  <c r="L19" i="6"/>
  <c r="F17" i="6"/>
  <c r="N44" i="6" s="1"/>
  <c r="L16" i="6"/>
  <c r="O9" i="6" s="1"/>
  <c r="F15" i="6"/>
  <c r="L15" i="6" s="1"/>
  <c r="L14" i="6"/>
  <c r="L13" i="6"/>
  <c r="L12" i="6"/>
  <c r="L11" i="6"/>
  <c r="F11" i="6"/>
  <c r="L10" i="6"/>
  <c r="L9" i="6"/>
  <c r="P52" i="6" s="1"/>
  <c r="O8" i="6"/>
  <c r="L8" i="6"/>
  <c r="C7" i="6"/>
  <c r="L7" i="6" s="1"/>
  <c r="L6" i="6"/>
  <c r="L5" i="6"/>
  <c r="L4" i="6"/>
  <c r="L3" i="6"/>
  <c r="O44" i="5"/>
  <c r="P44" i="5"/>
  <c r="O45" i="5"/>
  <c r="P45" i="5"/>
  <c r="O48" i="5"/>
  <c r="O53" i="5" s="1"/>
  <c r="P48" i="5"/>
  <c r="P53" i="5" s="1"/>
  <c r="O49" i="5"/>
  <c r="P49" i="5"/>
  <c r="O50" i="5"/>
  <c r="P50" i="5"/>
  <c r="O52" i="5"/>
  <c r="P52" i="5"/>
  <c r="I53" i="5"/>
  <c r="N50" i="5"/>
  <c r="M50" i="5"/>
  <c r="L50" i="5"/>
  <c r="K50" i="5"/>
  <c r="J50" i="5"/>
  <c r="I50" i="5"/>
  <c r="H50" i="5"/>
  <c r="G50" i="5"/>
  <c r="F50" i="5"/>
  <c r="E50" i="5"/>
  <c r="D50" i="5"/>
  <c r="C50" i="5"/>
  <c r="N49" i="5"/>
  <c r="M49" i="5"/>
  <c r="L49" i="5"/>
  <c r="K49" i="5"/>
  <c r="J49" i="5"/>
  <c r="I49" i="5"/>
  <c r="H49" i="5"/>
  <c r="G49" i="5"/>
  <c r="F49" i="5"/>
  <c r="E49" i="5"/>
  <c r="D49" i="5"/>
  <c r="C49" i="5"/>
  <c r="N48" i="5"/>
  <c r="N53" i="5" s="1"/>
  <c r="M48" i="5"/>
  <c r="M53" i="5" s="1"/>
  <c r="L48" i="5"/>
  <c r="L53" i="5" s="1"/>
  <c r="K48" i="5"/>
  <c r="K53" i="5" s="1"/>
  <c r="J48" i="5"/>
  <c r="J53" i="5" s="1"/>
  <c r="I48" i="5"/>
  <c r="H48" i="5"/>
  <c r="G48" i="5"/>
  <c r="F48" i="5"/>
  <c r="F53" i="5" s="1"/>
  <c r="E48" i="5"/>
  <c r="E53" i="5" s="1"/>
  <c r="D48" i="5"/>
  <c r="D53" i="5" s="1"/>
  <c r="C48" i="5"/>
  <c r="C53" i="5" s="1"/>
  <c r="N45" i="5"/>
  <c r="M45" i="5"/>
  <c r="L45" i="5"/>
  <c r="K45" i="5"/>
  <c r="J45" i="5"/>
  <c r="I45" i="5"/>
  <c r="H45" i="5"/>
  <c r="G45" i="5"/>
  <c r="F45" i="5"/>
  <c r="E45" i="5"/>
  <c r="D45" i="5"/>
  <c r="C45" i="5"/>
  <c r="L37" i="5"/>
  <c r="K37" i="5"/>
  <c r="J37" i="5"/>
  <c r="O37" i="5" s="1"/>
  <c r="G37" i="5"/>
  <c r="L36" i="5"/>
  <c r="K36" i="5"/>
  <c r="J36" i="5"/>
  <c r="O36" i="5" s="1"/>
  <c r="G36" i="5"/>
  <c r="L35" i="5"/>
  <c r="K35" i="5"/>
  <c r="J35" i="5"/>
  <c r="O35" i="5" s="1"/>
  <c r="G35" i="5"/>
  <c r="D35" i="5"/>
  <c r="C35" i="5"/>
  <c r="L34" i="5"/>
  <c r="K34" i="5"/>
  <c r="O34" i="5" s="1"/>
  <c r="J34" i="5"/>
  <c r="G34" i="5"/>
  <c r="L33" i="5"/>
  <c r="K33" i="5"/>
  <c r="O33" i="5" s="1"/>
  <c r="J33" i="5"/>
  <c r="G33" i="5"/>
  <c r="L32" i="5"/>
  <c r="K32" i="5"/>
  <c r="O32" i="5" s="1"/>
  <c r="J32" i="5"/>
  <c r="G32" i="5"/>
  <c r="L31" i="5"/>
  <c r="K31" i="5"/>
  <c r="O31" i="5" s="1"/>
  <c r="J31" i="5"/>
  <c r="G31" i="5"/>
  <c r="L30" i="5"/>
  <c r="K30" i="5"/>
  <c r="O30" i="5" s="1"/>
  <c r="J30" i="5"/>
  <c r="G30" i="5"/>
  <c r="L29" i="5"/>
  <c r="K29" i="5"/>
  <c r="O29" i="5" s="1"/>
  <c r="J29" i="5"/>
  <c r="G29" i="5"/>
  <c r="N28" i="5"/>
  <c r="L28" i="5"/>
  <c r="K28" i="5"/>
  <c r="O28" i="5" s="1"/>
  <c r="J28" i="5"/>
  <c r="G28" i="5"/>
  <c r="L27" i="5"/>
  <c r="K27" i="5"/>
  <c r="O27" i="5" s="1"/>
  <c r="J27" i="5"/>
  <c r="G27" i="5"/>
  <c r="L26" i="5"/>
  <c r="K26" i="5"/>
  <c r="O26" i="5" s="1"/>
  <c r="J26" i="5"/>
  <c r="G26" i="5"/>
  <c r="O25" i="5"/>
  <c r="N25" i="5"/>
  <c r="L25" i="5"/>
  <c r="K25" i="5"/>
  <c r="J25" i="5"/>
  <c r="G25" i="5"/>
  <c r="L19" i="5"/>
  <c r="F17" i="5"/>
  <c r="N44" i="5" s="1"/>
  <c r="L16" i="5"/>
  <c r="O9" i="5" s="1"/>
  <c r="L15" i="5"/>
  <c r="K43" i="5" s="1"/>
  <c r="F15" i="5"/>
  <c r="L14" i="5"/>
  <c r="L13" i="5"/>
  <c r="L12" i="5"/>
  <c r="F11" i="5"/>
  <c r="L11" i="5" s="1"/>
  <c r="L10" i="5"/>
  <c r="L9" i="5"/>
  <c r="E52" i="5" s="1"/>
  <c r="O8" i="5"/>
  <c r="L8" i="5"/>
  <c r="C7" i="5"/>
  <c r="L7" i="5" s="1"/>
  <c r="L5" i="5"/>
  <c r="L4" i="5"/>
  <c r="L3" i="5"/>
  <c r="P43" i="5" l="1"/>
  <c r="O43" i="5"/>
  <c r="F35" i="6"/>
  <c r="P35" i="6"/>
  <c r="L43" i="6"/>
  <c r="L54" i="6" s="1"/>
  <c r="D43" i="6"/>
  <c r="D54" i="6" s="1"/>
  <c r="C56" i="6"/>
  <c r="J43" i="6"/>
  <c r="J54" i="6" s="1"/>
  <c r="K43" i="6"/>
  <c r="C43" i="6"/>
  <c r="F37" i="6"/>
  <c r="P37" i="6" s="1"/>
  <c r="F36" i="6"/>
  <c r="P36" i="6" s="1"/>
  <c r="C55" i="6"/>
  <c r="C57" i="6" s="1"/>
  <c r="I43" i="6"/>
  <c r="I54" i="6" s="1"/>
  <c r="F34" i="6"/>
  <c r="P34" i="6" s="1"/>
  <c r="F33" i="6"/>
  <c r="P33" i="6" s="1"/>
  <c r="F32" i="6"/>
  <c r="P32" i="6" s="1"/>
  <c r="F31" i="6"/>
  <c r="P31" i="6" s="1"/>
  <c r="F30" i="6"/>
  <c r="P30" i="6" s="1"/>
  <c r="F29" i="6"/>
  <c r="P29" i="6" s="1"/>
  <c r="F28" i="6"/>
  <c r="P28" i="6" s="1"/>
  <c r="F27" i="6"/>
  <c r="P27" i="6" s="1"/>
  <c r="F26" i="6"/>
  <c r="P26" i="6" s="1"/>
  <c r="F25" i="6"/>
  <c r="P43" i="6"/>
  <c r="P54" i="6" s="1"/>
  <c r="H43" i="6"/>
  <c r="O43" i="6"/>
  <c r="O54" i="6" s="1"/>
  <c r="G43" i="6"/>
  <c r="G54" i="6" s="1"/>
  <c r="N43" i="6"/>
  <c r="N54" i="6" s="1"/>
  <c r="F43" i="6"/>
  <c r="M43" i="6"/>
  <c r="M54" i="6" s="1"/>
  <c r="E43" i="6"/>
  <c r="N26" i="6"/>
  <c r="N27" i="6"/>
  <c r="N28" i="6"/>
  <c r="N29" i="6"/>
  <c r="N30" i="6"/>
  <c r="N31" i="6"/>
  <c r="N32" i="6"/>
  <c r="N33" i="6"/>
  <c r="N34" i="6"/>
  <c r="H44" i="6"/>
  <c r="P44" i="6"/>
  <c r="J52" i="6"/>
  <c r="C44" i="6"/>
  <c r="K44" i="6"/>
  <c r="E52" i="6"/>
  <c r="M52" i="6"/>
  <c r="E44" i="6"/>
  <c r="M44" i="6"/>
  <c r="G52" i="6"/>
  <c r="O52" i="6"/>
  <c r="F44" i="6"/>
  <c r="H52" i="6"/>
  <c r="O54" i="5"/>
  <c r="G53" i="5"/>
  <c r="H53" i="5"/>
  <c r="P54" i="5"/>
  <c r="N35" i="5"/>
  <c r="N29" i="5"/>
  <c r="N26" i="5"/>
  <c r="N34" i="5"/>
  <c r="M52" i="5"/>
  <c r="N31" i="5"/>
  <c r="N33" i="5"/>
  <c r="N30" i="5"/>
  <c r="N27" i="5"/>
  <c r="F52" i="5"/>
  <c r="N32" i="5"/>
  <c r="N52" i="5"/>
  <c r="F35" i="5"/>
  <c r="P35" i="5" s="1"/>
  <c r="E43" i="5"/>
  <c r="E54" i="5" s="1"/>
  <c r="M43" i="5"/>
  <c r="F25" i="5"/>
  <c r="N36" i="5"/>
  <c r="N37" i="5"/>
  <c r="F43" i="5"/>
  <c r="F54" i="5" s="1"/>
  <c r="N43" i="5"/>
  <c r="N54" i="5" s="1"/>
  <c r="I44" i="5"/>
  <c r="H52" i="5"/>
  <c r="G52" i="5"/>
  <c r="F26" i="5"/>
  <c r="P26" i="5" s="1"/>
  <c r="F27" i="5"/>
  <c r="P27" i="5" s="1"/>
  <c r="F28" i="5"/>
  <c r="P28" i="5" s="1"/>
  <c r="F29" i="5"/>
  <c r="P29" i="5" s="1"/>
  <c r="F30" i="5"/>
  <c r="P30" i="5" s="1"/>
  <c r="F31" i="5"/>
  <c r="P31" i="5" s="1"/>
  <c r="F32" i="5"/>
  <c r="P32" i="5" s="1"/>
  <c r="F33" i="5"/>
  <c r="P33" i="5" s="1"/>
  <c r="F34" i="5"/>
  <c r="P34" i="5" s="1"/>
  <c r="G43" i="5"/>
  <c r="J44" i="5"/>
  <c r="I52" i="5"/>
  <c r="G44" i="5"/>
  <c r="H44" i="5"/>
  <c r="H43" i="5"/>
  <c r="C44" i="5"/>
  <c r="K44" i="5"/>
  <c r="K54" i="5" s="1"/>
  <c r="J52" i="5"/>
  <c r="C55" i="5"/>
  <c r="D43" i="5"/>
  <c r="L43" i="5"/>
  <c r="F36" i="5"/>
  <c r="P36" i="5" s="1"/>
  <c r="F37" i="5"/>
  <c r="P37" i="5" s="1"/>
  <c r="I43" i="5"/>
  <c r="I54" i="5" s="1"/>
  <c r="D44" i="5"/>
  <c r="L44" i="5"/>
  <c r="C52" i="5"/>
  <c r="K52" i="5"/>
  <c r="C56" i="5"/>
  <c r="J43" i="5"/>
  <c r="J54" i="5" s="1"/>
  <c r="E44" i="5"/>
  <c r="M44" i="5"/>
  <c r="D52" i="5"/>
  <c r="L52" i="5"/>
  <c r="C43" i="5"/>
  <c r="F44" i="5"/>
  <c r="F17" i="4"/>
  <c r="F15" i="4"/>
  <c r="K53" i="4"/>
  <c r="I53" i="4"/>
  <c r="H53" i="4"/>
  <c r="C53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O48" i="4"/>
  <c r="O53" i="4" s="1"/>
  <c r="N48" i="4"/>
  <c r="N53" i="4" s="1"/>
  <c r="M48" i="4"/>
  <c r="M53" i="4" s="1"/>
  <c r="L48" i="4"/>
  <c r="L53" i="4" s="1"/>
  <c r="K48" i="4"/>
  <c r="J48" i="4"/>
  <c r="J53" i="4" s="1"/>
  <c r="I48" i="4"/>
  <c r="H48" i="4"/>
  <c r="G48" i="4"/>
  <c r="G53" i="4" s="1"/>
  <c r="F48" i="4"/>
  <c r="F53" i="4" s="1"/>
  <c r="E48" i="4"/>
  <c r="E53" i="4" s="1"/>
  <c r="D48" i="4"/>
  <c r="D53" i="4" s="1"/>
  <c r="C48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M41" i="4"/>
  <c r="M40" i="4"/>
  <c r="L37" i="4"/>
  <c r="K37" i="4"/>
  <c r="J37" i="4"/>
  <c r="O37" i="4" s="1"/>
  <c r="G37" i="4"/>
  <c r="L36" i="4"/>
  <c r="K36" i="4"/>
  <c r="J36" i="4"/>
  <c r="O36" i="4" s="1"/>
  <c r="G36" i="4"/>
  <c r="L35" i="4"/>
  <c r="K35" i="4"/>
  <c r="J35" i="4"/>
  <c r="O35" i="4" s="1"/>
  <c r="G35" i="4"/>
  <c r="D35" i="4"/>
  <c r="C35" i="4"/>
  <c r="L34" i="4"/>
  <c r="K34" i="4"/>
  <c r="J34" i="4"/>
  <c r="O34" i="4" s="1"/>
  <c r="G34" i="4"/>
  <c r="L33" i="4"/>
  <c r="K33" i="4"/>
  <c r="J33" i="4"/>
  <c r="O33" i="4" s="1"/>
  <c r="G33" i="4"/>
  <c r="L32" i="4"/>
  <c r="K32" i="4"/>
  <c r="J32" i="4"/>
  <c r="O32" i="4" s="1"/>
  <c r="G32" i="4"/>
  <c r="L31" i="4"/>
  <c r="K31" i="4"/>
  <c r="J31" i="4"/>
  <c r="O31" i="4" s="1"/>
  <c r="G31" i="4"/>
  <c r="L30" i="4"/>
  <c r="K30" i="4"/>
  <c r="J30" i="4"/>
  <c r="O30" i="4" s="1"/>
  <c r="G30" i="4"/>
  <c r="L29" i="4"/>
  <c r="K29" i="4"/>
  <c r="J29" i="4"/>
  <c r="O29" i="4" s="1"/>
  <c r="G29" i="4"/>
  <c r="L28" i="4"/>
  <c r="K28" i="4"/>
  <c r="J28" i="4"/>
  <c r="O28" i="4" s="1"/>
  <c r="G28" i="4"/>
  <c r="L27" i="4"/>
  <c r="K27" i="4"/>
  <c r="J27" i="4"/>
  <c r="O27" i="4" s="1"/>
  <c r="G27" i="4"/>
  <c r="L26" i="4"/>
  <c r="K26" i="4"/>
  <c r="J26" i="4"/>
  <c r="O26" i="4" s="1"/>
  <c r="G26" i="4"/>
  <c r="O25" i="4"/>
  <c r="L25" i="4"/>
  <c r="K25" i="4"/>
  <c r="J25" i="4"/>
  <c r="G25" i="4"/>
  <c r="L19" i="4"/>
  <c r="L16" i="4"/>
  <c r="O9" i="4" s="1"/>
  <c r="L15" i="4"/>
  <c r="J43" i="4" s="1"/>
  <c r="J54" i="4" s="1"/>
  <c r="L14" i="4"/>
  <c r="L13" i="4"/>
  <c r="L12" i="4"/>
  <c r="F11" i="4"/>
  <c r="L11" i="4" s="1"/>
  <c r="L10" i="4"/>
  <c r="L9" i="4"/>
  <c r="M52" i="4" s="1"/>
  <c r="O8" i="4"/>
  <c r="L8" i="4"/>
  <c r="L7" i="4"/>
  <c r="C7" i="4"/>
  <c r="L6" i="4"/>
  <c r="C6" i="4"/>
  <c r="L5" i="4"/>
  <c r="L4" i="4"/>
  <c r="L3" i="4"/>
  <c r="D44" i="3"/>
  <c r="E44" i="3"/>
  <c r="F44" i="3"/>
  <c r="G44" i="3"/>
  <c r="H44" i="3"/>
  <c r="I44" i="3"/>
  <c r="J44" i="3"/>
  <c r="K44" i="3"/>
  <c r="L44" i="3"/>
  <c r="M44" i="3"/>
  <c r="N44" i="3"/>
  <c r="O44" i="3"/>
  <c r="C44" i="3"/>
  <c r="I53" i="3"/>
  <c r="H53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O48" i="3"/>
  <c r="O53" i="3" s="1"/>
  <c r="N48" i="3"/>
  <c r="N53" i="3" s="1"/>
  <c r="M48" i="3"/>
  <c r="M53" i="3" s="1"/>
  <c r="L48" i="3"/>
  <c r="L53" i="3" s="1"/>
  <c r="K48" i="3"/>
  <c r="K53" i="3" s="1"/>
  <c r="J48" i="3"/>
  <c r="J53" i="3" s="1"/>
  <c r="I48" i="3"/>
  <c r="H48" i="3"/>
  <c r="G48" i="3"/>
  <c r="G53" i="3" s="1"/>
  <c r="F48" i="3"/>
  <c r="F53" i="3" s="1"/>
  <c r="E48" i="3"/>
  <c r="E53" i="3" s="1"/>
  <c r="D48" i="3"/>
  <c r="D53" i="3" s="1"/>
  <c r="C48" i="3"/>
  <c r="C53" i="3" s="1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M41" i="3"/>
  <c r="M40" i="3"/>
  <c r="L37" i="3"/>
  <c r="K37" i="3"/>
  <c r="J37" i="3"/>
  <c r="O37" i="3" s="1"/>
  <c r="G37" i="3"/>
  <c r="L36" i="3"/>
  <c r="K36" i="3"/>
  <c r="J36" i="3"/>
  <c r="O36" i="3" s="1"/>
  <c r="G36" i="3"/>
  <c r="L35" i="3"/>
  <c r="K35" i="3"/>
  <c r="J35" i="3"/>
  <c r="O35" i="3" s="1"/>
  <c r="G35" i="3"/>
  <c r="D35" i="3"/>
  <c r="C35" i="3"/>
  <c r="L34" i="3"/>
  <c r="K34" i="3"/>
  <c r="J34" i="3"/>
  <c r="O34" i="3" s="1"/>
  <c r="G34" i="3"/>
  <c r="L33" i="3"/>
  <c r="K33" i="3"/>
  <c r="J33" i="3"/>
  <c r="O33" i="3" s="1"/>
  <c r="G33" i="3"/>
  <c r="L32" i="3"/>
  <c r="K32" i="3"/>
  <c r="J32" i="3"/>
  <c r="O32" i="3" s="1"/>
  <c r="G32" i="3"/>
  <c r="L31" i="3"/>
  <c r="K31" i="3"/>
  <c r="J31" i="3"/>
  <c r="O31" i="3" s="1"/>
  <c r="G31" i="3"/>
  <c r="L30" i="3"/>
  <c r="K30" i="3"/>
  <c r="J30" i="3"/>
  <c r="O30" i="3" s="1"/>
  <c r="G30" i="3"/>
  <c r="L29" i="3"/>
  <c r="K29" i="3"/>
  <c r="J29" i="3"/>
  <c r="O29" i="3" s="1"/>
  <c r="G29" i="3"/>
  <c r="L28" i="3"/>
  <c r="K28" i="3"/>
  <c r="J28" i="3"/>
  <c r="O28" i="3" s="1"/>
  <c r="G28" i="3"/>
  <c r="L27" i="3"/>
  <c r="K27" i="3"/>
  <c r="J27" i="3"/>
  <c r="O27" i="3" s="1"/>
  <c r="G27" i="3"/>
  <c r="L26" i="3"/>
  <c r="K26" i="3"/>
  <c r="J26" i="3"/>
  <c r="O26" i="3" s="1"/>
  <c r="G26" i="3"/>
  <c r="O25" i="3"/>
  <c r="L25" i="3"/>
  <c r="K25" i="3"/>
  <c r="J25" i="3"/>
  <c r="G25" i="3"/>
  <c r="L19" i="3"/>
  <c r="L16" i="3"/>
  <c r="L15" i="3"/>
  <c r="J43" i="3" s="1"/>
  <c r="L14" i="3"/>
  <c r="L13" i="3"/>
  <c r="L12" i="3"/>
  <c r="L11" i="3"/>
  <c r="F11" i="3"/>
  <c r="L10" i="3"/>
  <c r="L9" i="3"/>
  <c r="L52" i="3" s="1"/>
  <c r="O8" i="3"/>
  <c r="L8" i="3"/>
  <c r="C7" i="3"/>
  <c r="L7" i="3" s="1"/>
  <c r="L6" i="3"/>
  <c r="C6" i="3"/>
  <c r="L5" i="3"/>
  <c r="L4" i="3"/>
  <c r="L3" i="3"/>
  <c r="C57" i="2"/>
  <c r="C56" i="2"/>
  <c r="C55" i="2"/>
  <c r="C54" i="2"/>
  <c r="L19" i="2"/>
  <c r="D44" i="2"/>
  <c r="E44" i="2"/>
  <c r="F44" i="2"/>
  <c r="G44" i="2"/>
  <c r="H44" i="2"/>
  <c r="I44" i="2"/>
  <c r="J44" i="2"/>
  <c r="K44" i="2"/>
  <c r="L44" i="2"/>
  <c r="M44" i="2"/>
  <c r="N44" i="2"/>
  <c r="O44" i="2"/>
  <c r="C47" i="2"/>
  <c r="C48" i="2"/>
  <c r="C52" i="2" s="1"/>
  <c r="C49" i="2"/>
  <c r="C44" i="2"/>
  <c r="D52" i="2"/>
  <c r="G51" i="2"/>
  <c r="O49" i="2"/>
  <c r="N49" i="2"/>
  <c r="M49" i="2"/>
  <c r="L49" i="2"/>
  <c r="K49" i="2"/>
  <c r="J49" i="2"/>
  <c r="I49" i="2"/>
  <c r="H49" i="2"/>
  <c r="G49" i="2"/>
  <c r="F49" i="2"/>
  <c r="E49" i="2"/>
  <c r="D49" i="2"/>
  <c r="O48" i="2"/>
  <c r="N48" i="2"/>
  <c r="M48" i="2"/>
  <c r="L48" i="2"/>
  <c r="K48" i="2"/>
  <c r="J48" i="2"/>
  <c r="I48" i="2"/>
  <c r="H48" i="2"/>
  <c r="G48" i="2"/>
  <c r="F48" i="2"/>
  <c r="E48" i="2"/>
  <c r="D48" i="2"/>
  <c r="O47" i="2"/>
  <c r="N47" i="2"/>
  <c r="N52" i="2" s="1"/>
  <c r="M47" i="2"/>
  <c r="M52" i="2" s="1"/>
  <c r="L47" i="2"/>
  <c r="L52" i="2" s="1"/>
  <c r="K47" i="2"/>
  <c r="K52" i="2" s="1"/>
  <c r="J47" i="2"/>
  <c r="J52" i="2" s="1"/>
  <c r="I47" i="2"/>
  <c r="I52" i="2" s="1"/>
  <c r="H47" i="2"/>
  <c r="G47" i="2"/>
  <c r="F47" i="2"/>
  <c r="F52" i="2" s="1"/>
  <c r="E47" i="2"/>
  <c r="E52" i="2" s="1"/>
  <c r="D47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K42" i="2"/>
  <c r="E42" i="2"/>
  <c r="C42" i="2"/>
  <c r="M40" i="2"/>
  <c r="M39" i="2"/>
  <c r="G24" i="2"/>
  <c r="J24" i="2"/>
  <c r="K24" i="2"/>
  <c r="L24" i="2"/>
  <c r="N24" i="2"/>
  <c r="F25" i="2"/>
  <c r="G25" i="2"/>
  <c r="J25" i="2"/>
  <c r="O25" i="2" s="1"/>
  <c r="K25" i="2"/>
  <c r="L25" i="2"/>
  <c r="N25" i="2"/>
  <c r="G26" i="2"/>
  <c r="J26" i="2"/>
  <c r="O26" i="2" s="1"/>
  <c r="K26" i="2"/>
  <c r="L26" i="2"/>
  <c r="G27" i="2"/>
  <c r="J27" i="2"/>
  <c r="K27" i="2"/>
  <c r="L27" i="2"/>
  <c r="G28" i="2"/>
  <c r="J28" i="2"/>
  <c r="K28" i="2"/>
  <c r="L28" i="2"/>
  <c r="N28" i="2"/>
  <c r="O28" i="2"/>
  <c r="G29" i="2"/>
  <c r="J29" i="2"/>
  <c r="O29" i="2" s="1"/>
  <c r="K29" i="2"/>
  <c r="L29" i="2"/>
  <c r="F30" i="2"/>
  <c r="G30" i="2"/>
  <c r="J30" i="2"/>
  <c r="K30" i="2"/>
  <c r="L30" i="2"/>
  <c r="O30" i="2"/>
  <c r="G31" i="2"/>
  <c r="J31" i="2"/>
  <c r="O31" i="2" s="1"/>
  <c r="K31" i="2"/>
  <c r="L31" i="2"/>
  <c r="F32" i="2"/>
  <c r="G32" i="2"/>
  <c r="J32" i="2"/>
  <c r="K32" i="2"/>
  <c r="L32" i="2"/>
  <c r="G33" i="2"/>
  <c r="J33" i="2"/>
  <c r="K33" i="2"/>
  <c r="L33" i="2"/>
  <c r="N33" i="2"/>
  <c r="C34" i="2"/>
  <c r="D34" i="2"/>
  <c r="G34" i="2"/>
  <c r="J34" i="2"/>
  <c r="O34" i="2" s="1"/>
  <c r="K34" i="2"/>
  <c r="L34" i="2"/>
  <c r="N34" i="2"/>
  <c r="G35" i="2"/>
  <c r="J35" i="2"/>
  <c r="O35" i="2" s="1"/>
  <c r="K35" i="2"/>
  <c r="L35" i="2"/>
  <c r="F36" i="2"/>
  <c r="G36" i="2"/>
  <c r="J36" i="2"/>
  <c r="O36" i="2" s="1"/>
  <c r="K36" i="2"/>
  <c r="L36" i="2"/>
  <c r="L14" i="2"/>
  <c r="L15" i="2"/>
  <c r="H42" i="2" s="1"/>
  <c r="L13" i="2"/>
  <c r="L10" i="2"/>
  <c r="O8" i="2"/>
  <c r="L16" i="2"/>
  <c r="O9" i="2" s="1"/>
  <c r="L4" i="2"/>
  <c r="L5" i="2"/>
  <c r="L8" i="2"/>
  <c r="L9" i="2"/>
  <c r="L51" i="2" s="1"/>
  <c r="L12" i="2"/>
  <c r="L3" i="2"/>
  <c r="H54" i="6" l="1"/>
  <c r="C54" i="6"/>
  <c r="K54" i="6"/>
  <c r="E54" i="6"/>
  <c r="P25" i="6"/>
  <c r="Q25" i="6"/>
  <c r="C58" i="6"/>
  <c r="F54" i="6"/>
  <c r="G54" i="5"/>
  <c r="H54" i="5"/>
  <c r="P25" i="5"/>
  <c r="Q25" i="5"/>
  <c r="M54" i="5"/>
  <c r="C58" i="5"/>
  <c r="L54" i="5"/>
  <c r="D54" i="5"/>
  <c r="C54" i="5"/>
  <c r="C57" i="5"/>
  <c r="M43" i="4"/>
  <c r="F35" i="4"/>
  <c r="P35" i="4" s="1"/>
  <c r="M54" i="4"/>
  <c r="N26" i="4"/>
  <c r="N30" i="4"/>
  <c r="N33" i="4"/>
  <c r="F52" i="4"/>
  <c r="N52" i="4"/>
  <c r="E43" i="4"/>
  <c r="E54" i="4" s="1"/>
  <c r="G52" i="4"/>
  <c r="O52" i="4"/>
  <c r="K43" i="4"/>
  <c r="K54" i="4" s="1"/>
  <c r="N28" i="4"/>
  <c r="N31" i="4"/>
  <c r="N34" i="4"/>
  <c r="L43" i="4"/>
  <c r="L54" i="4" s="1"/>
  <c r="F25" i="4"/>
  <c r="N37" i="4"/>
  <c r="H52" i="4"/>
  <c r="F26" i="4"/>
  <c r="P26" i="4" s="1"/>
  <c r="F27" i="4"/>
  <c r="P27" i="4" s="1"/>
  <c r="F28" i="4"/>
  <c r="P28" i="4" s="1"/>
  <c r="F29" i="4"/>
  <c r="P29" i="4" s="1"/>
  <c r="F30" i="4"/>
  <c r="P30" i="4" s="1"/>
  <c r="F31" i="4"/>
  <c r="P31" i="4" s="1"/>
  <c r="F32" i="4"/>
  <c r="P32" i="4" s="1"/>
  <c r="F33" i="4"/>
  <c r="P33" i="4" s="1"/>
  <c r="F34" i="4"/>
  <c r="P34" i="4" s="1"/>
  <c r="G43" i="4"/>
  <c r="G54" i="4" s="1"/>
  <c r="O43" i="4"/>
  <c r="O54" i="4" s="1"/>
  <c r="I52" i="4"/>
  <c r="N35" i="4"/>
  <c r="H43" i="4"/>
  <c r="H54" i="4" s="1"/>
  <c r="J52" i="4"/>
  <c r="C55" i="4"/>
  <c r="C57" i="4" s="1"/>
  <c r="N29" i="4"/>
  <c r="N32" i="4"/>
  <c r="D43" i="4"/>
  <c r="D54" i="4" s="1"/>
  <c r="N43" i="4"/>
  <c r="N54" i="4" s="1"/>
  <c r="F36" i="4"/>
  <c r="P36" i="4" s="1"/>
  <c r="F37" i="4"/>
  <c r="P37" i="4" s="1"/>
  <c r="I43" i="4"/>
  <c r="I54" i="4" s="1"/>
  <c r="C52" i="4"/>
  <c r="K52" i="4"/>
  <c r="C56" i="4"/>
  <c r="C58" i="4" s="1"/>
  <c r="C43" i="4"/>
  <c r="C54" i="4" s="1"/>
  <c r="N27" i="4"/>
  <c r="N36" i="4"/>
  <c r="F43" i="4"/>
  <c r="F54" i="4" s="1"/>
  <c r="D52" i="4"/>
  <c r="L52" i="4"/>
  <c r="N25" i="4"/>
  <c r="E52" i="4"/>
  <c r="O9" i="3"/>
  <c r="M43" i="3"/>
  <c r="F35" i="3"/>
  <c r="J54" i="3"/>
  <c r="E52" i="3"/>
  <c r="M52" i="3"/>
  <c r="N29" i="3"/>
  <c r="N31" i="3"/>
  <c r="D43" i="3"/>
  <c r="D54" i="3" s="1"/>
  <c r="L43" i="3"/>
  <c r="E43" i="3"/>
  <c r="G52" i="3"/>
  <c r="O52" i="3"/>
  <c r="N27" i="3"/>
  <c r="N30" i="3"/>
  <c r="N33" i="3"/>
  <c r="F52" i="3"/>
  <c r="N52" i="3"/>
  <c r="F25" i="3"/>
  <c r="N35" i="3"/>
  <c r="N36" i="3"/>
  <c r="N37" i="3"/>
  <c r="F43" i="3"/>
  <c r="N43" i="3"/>
  <c r="H52" i="3"/>
  <c r="C43" i="3"/>
  <c r="N26" i="3"/>
  <c r="N32" i="3"/>
  <c r="F28" i="3"/>
  <c r="F31" i="3"/>
  <c r="F34" i="3"/>
  <c r="O43" i="3"/>
  <c r="I52" i="3"/>
  <c r="H43" i="3"/>
  <c r="J52" i="3"/>
  <c r="C55" i="3"/>
  <c r="K43" i="3"/>
  <c r="F27" i="3"/>
  <c r="F30" i="3"/>
  <c r="F33" i="3"/>
  <c r="F36" i="3"/>
  <c r="P36" i="3" s="1"/>
  <c r="F37" i="3"/>
  <c r="I43" i="3"/>
  <c r="C52" i="3"/>
  <c r="K52" i="3"/>
  <c r="C56" i="3"/>
  <c r="N25" i="3"/>
  <c r="N28" i="3"/>
  <c r="N34" i="3"/>
  <c r="F26" i="3"/>
  <c r="F29" i="3"/>
  <c r="P29" i="3" s="1"/>
  <c r="F32" i="3"/>
  <c r="G43" i="3"/>
  <c r="D52" i="3"/>
  <c r="N53" i="2"/>
  <c r="M53" i="2"/>
  <c r="E53" i="2"/>
  <c r="L53" i="2"/>
  <c r="D53" i="2"/>
  <c r="K53" i="2"/>
  <c r="C53" i="2"/>
  <c r="I53" i="2"/>
  <c r="H53" i="2"/>
  <c r="F53" i="2"/>
  <c r="J53" i="2"/>
  <c r="O53" i="2"/>
  <c r="G53" i="2"/>
  <c r="O32" i="2"/>
  <c r="P32" i="2" s="1"/>
  <c r="F35" i="2"/>
  <c r="F29" i="2"/>
  <c r="P29" i="2" s="1"/>
  <c r="N27" i="2"/>
  <c r="M42" i="2"/>
  <c r="I42" i="2"/>
  <c r="E51" i="2"/>
  <c r="N51" i="2"/>
  <c r="C51" i="2"/>
  <c r="M51" i="2"/>
  <c r="J42" i="2"/>
  <c r="F51" i="2"/>
  <c r="O51" i="2"/>
  <c r="N35" i="2"/>
  <c r="O33" i="2"/>
  <c r="F31" i="2"/>
  <c r="N29" i="2"/>
  <c r="O27" i="2"/>
  <c r="F26" i="2"/>
  <c r="P26" i="2" s="1"/>
  <c r="D42" i="2"/>
  <c r="L42" i="2"/>
  <c r="H51" i="2"/>
  <c r="N42" i="2"/>
  <c r="I51" i="2"/>
  <c r="N36" i="2"/>
  <c r="N30" i="2"/>
  <c r="F27" i="2"/>
  <c r="P27" i="2" s="1"/>
  <c r="O24" i="2"/>
  <c r="F42" i="2"/>
  <c r="O42" i="2"/>
  <c r="J51" i="2"/>
  <c r="F34" i="2"/>
  <c r="F33" i="2"/>
  <c r="P33" i="2" s="1"/>
  <c r="N31" i="2"/>
  <c r="N26" i="2"/>
  <c r="G42" i="2"/>
  <c r="G52" i="2"/>
  <c r="O52" i="2"/>
  <c r="K51" i="2"/>
  <c r="N32" i="2"/>
  <c r="F28" i="2"/>
  <c r="F24" i="2"/>
  <c r="P24" i="2" s="1"/>
  <c r="H52" i="2"/>
  <c r="D51" i="2"/>
  <c r="F11" i="2"/>
  <c r="L11" i="2" s="1"/>
  <c r="C7" i="2"/>
  <c r="L7" i="2" s="1"/>
  <c r="C6" i="2"/>
  <c r="L6" i="2" s="1"/>
  <c r="Q25" i="4" l="1"/>
  <c r="P25" i="4"/>
  <c r="P33" i="3"/>
  <c r="O54" i="3"/>
  <c r="N54" i="3"/>
  <c r="I54" i="3"/>
  <c r="E54" i="3"/>
  <c r="P35" i="3"/>
  <c r="P26" i="3"/>
  <c r="P37" i="3"/>
  <c r="H54" i="3"/>
  <c r="C54" i="3"/>
  <c r="L54" i="3"/>
  <c r="M54" i="3"/>
  <c r="P31" i="3"/>
  <c r="P30" i="3"/>
  <c r="P34" i="3"/>
  <c r="F54" i="3"/>
  <c r="C58" i="3"/>
  <c r="P27" i="3"/>
  <c r="G54" i="3"/>
  <c r="K54" i="3"/>
  <c r="P28" i="3"/>
  <c r="P32" i="3"/>
  <c r="C57" i="3"/>
  <c r="Q25" i="3"/>
  <c r="P25" i="3"/>
  <c r="Q24" i="2"/>
  <c r="P31" i="2"/>
  <c r="P35" i="2"/>
  <c r="P34" i="2"/>
  <c r="P25" i="2"/>
  <c r="P36" i="2"/>
  <c r="P30" i="2"/>
  <c r="P28" i="2"/>
</calcChain>
</file>

<file path=xl/sharedStrings.xml><?xml version="1.0" encoding="utf-8"?>
<sst xmlns="http://schemas.openxmlformats.org/spreadsheetml/2006/main" count="920" uniqueCount="129">
  <si>
    <t>Enemy</t>
  </si>
  <si>
    <t>Tyrfing</t>
  </si>
  <si>
    <t>Enemy Level</t>
  </si>
  <si>
    <t>Scaling ID</t>
  </si>
  <si>
    <t>Enemy Base DEF</t>
  </si>
  <si>
    <t>Enemy DEF</t>
  </si>
  <si>
    <t>Stun Scaling ID</t>
  </si>
  <si>
    <t>Enemy Base Stun</t>
  </si>
  <si>
    <t>Enemy Stun</t>
  </si>
  <si>
    <t>Fire RES</t>
  </si>
  <si>
    <t>Ice RES</t>
  </si>
  <si>
    <t>Electric RES</t>
  </si>
  <si>
    <t>Ether RES</t>
  </si>
  <si>
    <t>Physical RES</t>
  </si>
  <si>
    <t>Agent Level</t>
  </si>
  <si>
    <t>Attacker Level Coefficient</t>
  </si>
  <si>
    <t>Buff Level Multiplier</t>
  </si>
  <si>
    <t>Valid DEF</t>
  </si>
  <si>
    <t>DEF Shred</t>
  </si>
  <si>
    <t>RES Shred</t>
  </si>
  <si>
    <t>DMG Taken</t>
  </si>
  <si>
    <t>Stun Bonus</t>
  </si>
  <si>
    <t>Daze Taken</t>
  </si>
  <si>
    <t>DEF Multiplier</t>
  </si>
  <si>
    <t>RES Multiplier</t>
  </si>
  <si>
    <t>DMG Taken Multiplier</t>
  </si>
  <si>
    <t>Stun Multiplier</t>
  </si>
  <si>
    <t>Final Multiplier</t>
  </si>
  <si>
    <t>Damage Type</t>
  </si>
  <si>
    <t>Ether</t>
  </si>
  <si>
    <t>ATK</t>
  </si>
  <si>
    <t>Impact</t>
  </si>
  <si>
    <t>AP</t>
  </si>
  <si>
    <t>Skill MV</t>
  </si>
  <si>
    <t>Skill Daze MV</t>
  </si>
  <si>
    <t>DMG%</t>
  </si>
  <si>
    <t>Daze%</t>
  </si>
  <si>
    <t>PEN Ratio%</t>
  </si>
  <si>
    <t>PEN Flat</t>
  </si>
  <si>
    <t>Final DMG</t>
  </si>
  <si>
    <t>Final Daze</t>
  </si>
  <si>
    <t>Burn DMG</t>
  </si>
  <si>
    <t>Shock DMG</t>
  </si>
  <si>
    <t>Shatter DMG</t>
  </si>
  <si>
    <t>Corruption DMG</t>
  </si>
  <si>
    <t>Assault DMG</t>
  </si>
  <si>
    <t>Character Base Stat</t>
  </si>
  <si>
    <t>CRIT Rate</t>
  </si>
  <si>
    <t>CRIT DMG</t>
  </si>
  <si>
    <t>PEN Ratio</t>
  </si>
  <si>
    <t>Anomaly Mastery</t>
  </si>
  <si>
    <t>Anomaly Proficiency</t>
  </si>
  <si>
    <t>Energy Regen</t>
  </si>
  <si>
    <t>at 60</t>
  </si>
  <si>
    <t>Weapon</t>
  </si>
  <si>
    <t>Base ATK</t>
  </si>
  <si>
    <t>Base DEF</t>
  </si>
  <si>
    <t>Base HP</t>
  </si>
  <si>
    <t>ATK %</t>
  </si>
  <si>
    <t>Total Stats</t>
  </si>
  <si>
    <t>Total ATK</t>
  </si>
  <si>
    <t>Motion Values</t>
  </si>
  <si>
    <t>Basic Lv. 10</t>
  </si>
  <si>
    <t>DMG</t>
  </si>
  <si>
    <t>Daze</t>
  </si>
  <si>
    <t>Hit 1</t>
  </si>
  <si>
    <t>Hit 2</t>
  </si>
  <si>
    <t>Hit 3</t>
  </si>
  <si>
    <t>Hit 4</t>
  </si>
  <si>
    <t>Moving</t>
  </si>
  <si>
    <t>Assist Follow-Up (Special after evade)</t>
  </si>
  <si>
    <t>Quick Assist</t>
  </si>
  <si>
    <t>Special Attack</t>
  </si>
  <si>
    <t>EX Special Attack</t>
  </si>
  <si>
    <t>Chain Attack</t>
  </si>
  <si>
    <t>Ultimate</t>
  </si>
  <si>
    <t>Dodge Counter</t>
  </si>
  <si>
    <t>Dash Attack</t>
  </si>
  <si>
    <t>Energy Cost</t>
  </si>
  <si>
    <t>Total DEF</t>
  </si>
  <si>
    <t>Total HP</t>
  </si>
  <si>
    <t>HP %</t>
  </si>
  <si>
    <t>DEF %</t>
  </si>
  <si>
    <t>Other Stats</t>
  </si>
  <si>
    <t>Flat HP</t>
  </si>
  <si>
    <t>Flat ATK</t>
  </si>
  <si>
    <t>Flat DEF</t>
  </si>
  <si>
    <t>Final HP %</t>
  </si>
  <si>
    <t>Final DEF %</t>
  </si>
  <si>
    <t>Final ATK %</t>
  </si>
  <si>
    <t>Final Flat HP</t>
  </si>
  <si>
    <t>Final Flat ATK</t>
  </si>
  <si>
    <t>Final Flat DEF</t>
  </si>
  <si>
    <t>Base DMG</t>
  </si>
  <si>
    <t>DMG% Multiplier</t>
  </si>
  <si>
    <t>Distance</t>
  </si>
  <si>
    <t>Effective DEF</t>
  </si>
  <si>
    <t>Level Coefficient</t>
  </si>
  <si>
    <t>Target Stats</t>
  </si>
  <si>
    <t>Flat PEN</t>
  </si>
  <si>
    <t>Grace</t>
  </si>
  <si>
    <t>DEF Reduction</t>
  </si>
  <si>
    <t>Electric</t>
  </si>
  <si>
    <t>Physical</t>
  </si>
  <si>
    <t>Element 1</t>
  </si>
  <si>
    <t>Element 2</t>
  </si>
  <si>
    <t>RES Multiplier E1</t>
  </si>
  <si>
    <t>RES Multiplier E2</t>
  </si>
  <si>
    <t>Daze Buildup</t>
  </si>
  <si>
    <t>Daze Resist</t>
  </si>
  <si>
    <t>Daze %</t>
  </si>
  <si>
    <t>Anomaly DMG</t>
  </si>
  <si>
    <t>General DMG</t>
  </si>
  <si>
    <t>Base Anomaly DMG 1</t>
  </si>
  <si>
    <t>Base Anomaly DMG 2</t>
  </si>
  <si>
    <t>Anomaly DMG 1</t>
  </si>
  <si>
    <t>Anomaly DMG 2</t>
  </si>
  <si>
    <t>Damage% Multiplier</t>
  </si>
  <si>
    <t>Fusion Compiler R1</t>
  </si>
  <si>
    <t>Electro-Lip Gloss R1</t>
  </si>
  <si>
    <t>Electro-Lip Gloss R5</t>
  </si>
  <si>
    <t>Deep Sea Visitor R1</t>
  </si>
  <si>
    <t>Ellen</t>
  </si>
  <si>
    <t>Charged Dash Attack</t>
  </si>
  <si>
    <t>Spinning Slash</t>
  </si>
  <si>
    <t>EX Special Attack 1</t>
  </si>
  <si>
    <t>EX Special Attack 2</t>
  </si>
  <si>
    <t>Ice</t>
  </si>
  <si>
    <t>Bashful Demon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</si>
</sst>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3" borderId="0" xfId="0" applyFill="1"/>
    <xf numFmtId="0" fontId="0" fillId="0" borderId="0" xfId="0" applyFill="1"/>
    <xf numFmtId="0" fontId="2" fillId="3" borderId="0" xfId="0" applyFont="1" applyFill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0A84-4B55-4989-A164-23BF062A97EA}">
  <dimension ref="A2:B54"/>
  <sheetViews>
    <sheetView workbookViewId="0">
      <selection activeCell="A29" sqref="A29"/>
    </sheetView>
  </sheetViews>
  <sheetFormatPr defaultRowHeight="14.4" x14ac:dyDescent="0.3"/>
  <cols>
    <col min="1" max="1" width="22.33203125" bestFit="1" customWidth="1"/>
  </cols>
  <sheetData>
    <row r="2" spans="1:2" x14ac:dyDescent="0.3">
      <c r="A2" t="s">
        <v>0</v>
      </c>
      <c r="B2" t="s">
        <v>1</v>
      </c>
    </row>
    <row r="3" spans="1:2" x14ac:dyDescent="0.3">
      <c r="A3" t="s">
        <v>2</v>
      </c>
      <c r="B3">
        <v>70</v>
      </c>
    </row>
    <row r="5" spans="1:2" x14ac:dyDescent="0.3">
      <c r="A5" t="s">
        <v>3</v>
      </c>
      <c r="B5">
        <v>1000</v>
      </c>
    </row>
    <row r="6" spans="1:2" x14ac:dyDescent="0.3">
      <c r="A6" t="s">
        <v>4</v>
      </c>
      <c r="B6">
        <v>36</v>
      </c>
    </row>
    <row r="7" spans="1:2" x14ac:dyDescent="0.3">
      <c r="A7" t="s">
        <v>5</v>
      </c>
      <c r="B7">
        <v>571.70000000000005</v>
      </c>
    </row>
    <row r="9" spans="1:2" x14ac:dyDescent="0.3">
      <c r="A9" t="s">
        <v>6</v>
      </c>
      <c r="B9">
        <v>1003</v>
      </c>
    </row>
    <row r="10" spans="1:2" x14ac:dyDescent="0.3">
      <c r="A10" t="s">
        <v>7</v>
      </c>
      <c r="B10">
        <v>600</v>
      </c>
    </row>
    <row r="11" spans="1:2" x14ac:dyDescent="0.3">
      <c r="A11" t="s">
        <v>8</v>
      </c>
      <c r="B11">
        <v>1002</v>
      </c>
    </row>
    <row r="13" spans="1:2" x14ac:dyDescent="0.3">
      <c r="A13" t="s">
        <v>9</v>
      </c>
      <c r="B13" s="1">
        <v>0</v>
      </c>
    </row>
    <row r="14" spans="1:2" x14ac:dyDescent="0.3">
      <c r="A14" t="s">
        <v>10</v>
      </c>
      <c r="B14" s="1">
        <v>-0.2</v>
      </c>
    </row>
    <row r="15" spans="1:2" x14ac:dyDescent="0.3">
      <c r="A15" t="s">
        <v>11</v>
      </c>
      <c r="B15" s="1">
        <v>0</v>
      </c>
    </row>
    <row r="16" spans="1:2" x14ac:dyDescent="0.3">
      <c r="A16" t="s">
        <v>12</v>
      </c>
      <c r="B16" s="1">
        <v>-0.2</v>
      </c>
    </row>
    <row r="17" spans="1:2" x14ac:dyDescent="0.3">
      <c r="A17" t="s">
        <v>13</v>
      </c>
      <c r="B17" s="1">
        <v>0</v>
      </c>
    </row>
    <row r="19" spans="1:2" x14ac:dyDescent="0.3">
      <c r="A19" t="s">
        <v>14</v>
      </c>
      <c r="B19">
        <v>30</v>
      </c>
    </row>
    <row r="20" spans="1:2" x14ac:dyDescent="0.3">
      <c r="A20" t="s">
        <v>15</v>
      </c>
      <c r="B20">
        <v>281</v>
      </c>
    </row>
    <row r="21" spans="1:2" x14ac:dyDescent="0.3">
      <c r="A21" t="s">
        <v>16</v>
      </c>
      <c r="B21" s="1">
        <v>1.4915</v>
      </c>
    </row>
    <row r="24" spans="1:2" x14ac:dyDescent="0.3">
      <c r="A24" t="s">
        <v>17</v>
      </c>
      <c r="B24">
        <v>571.70000000000005</v>
      </c>
    </row>
    <row r="25" spans="1:2" x14ac:dyDescent="0.3">
      <c r="A25" t="s">
        <v>18</v>
      </c>
      <c r="B25" s="1">
        <v>0</v>
      </c>
    </row>
    <row r="26" spans="1:2" x14ac:dyDescent="0.3">
      <c r="A26" t="s">
        <v>19</v>
      </c>
      <c r="B26" s="1">
        <v>0</v>
      </c>
    </row>
    <row r="27" spans="1:2" x14ac:dyDescent="0.3">
      <c r="A27" t="s">
        <v>20</v>
      </c>
      <c r="B27" s="1">
        <v>0</v>
      </c>
    </row>
    <row r="28" spans="1:2" x14ac:dyDescent="0.3">
      <c r="A28" t="s">
        <v>21</v>
      </c>
      <c r="B28" s="1">
        <v>0</v>
      </c>
    </row>
    <row r="29" spans="1:2" x14ac:dyDescent="0.3">
      <c r="A29" t="s">
        <v>22</v>
      </c>
      <c r="B29" s="1">
        <v>0</v>
      </c>
    </row>
    <row r="30" spans="1:2" x14ac:dyDescent="0.3">
      <c r="A30" t="s">
        <v>23</v>
      </c>
      <c r="B30" s="1">
        <v>0.32950000000000002</v>
      </c>
    </row>
    <row r="31" spans="1:2" x14ac:dyDescent="0.3">
      <c r="A31" t="s">
        <v>24</v>
      </c>
      <c r="B31" s="1">
        <v>1.2</v>
      </c>
    </row>
    <row r="32" spans="1:2" x14ac:dyDescent="0.3">
      <c r="A32" t="s">
        <v>25</v>
      </c>
      <c r="B32" s="1">
        <v>1</v>
      </c>
    </row>
    <row r="33" spans="1:2" x14ac:dyDescent="0.3">
      <c r="A33" t="s">
        <v>26</v>
      </c>
      <c r="B33" s="1">
        <v>1</v>
      </c>
    </row>
    <row r="34" spans="1:2" x14ac:dyDescent="0.3">
      <c r="A34" t="s">
        <v>27</v>
      </c>
      <c r="B34" s="1">
        <v>0.39550000000000002</v>
      </c>
    </row>
    <row r="36" spans="1:2" x14ac:dyDescent="0.3">
      <c r="A36" t="s">
        <v>28</v>
      </c>
      <c r="B36" t="s">
        <v>29</v>
      </c>
    </row>
    <row r="37" spans="1:2" x14ac:dyDescent="0.3">
      <c r="A37" t="s">
        <v>30</v>
      </c>
      <c r="B37">
        <v>953</v>
      </c>
    </row>
    <row r="38" spans="1:2" x14ac:dyDescent="0.3">
      <c r="A38" t="s">
        <v>31</v>
      </c>
      <c r="B38">
        <v>95</v>
      </c>
    </row>
    <row r="39" spans="1:2" x14ac:dyDescent="0.3">
      <c r="A39" t="s">
        <v>32</v>
      </c>
      <c r="B39">
        <v>102</v>
      </c>
    </row>
    <row r="40" spans="1:2" x14ac:dyDescent="0.3">
      <c r="A40" t="s">
        <v>33</v>
      </c>
      <c r="B40" s="1">
        <v>4.7839999999999998</v>
      </c>
    </row>
    <row r="41" spans="1:2" x14ac:dyDescent="0.3">
      <c r="A41" t="s">
        <v>34</v>
      </c>
      <c r="B41" s="1">
        <v>0.36</v>
      </c>
    </row>
    <row r="42" spans="1:2" x14ac:dyDescent="0.3">
      <c r="A42" t="s">
        <v>35</v>
      </c>
      <c r="B42" s="1">
        <v>0</v>
      </c>
    </row>
    <row r="43" spans="1:2" x14ac:dyDescent="0.3">
      <c r="A43" t="s">
        <v>36</v>
      </c>
      <c r="B43" s="1">
        <v>0</v>
      </c>
    </row>
    <row r="44" spans="1:2" x14ac:dyDescent="0.3">
      <c r="A44" t="s">
        <v>37</v>
      </c>
      <c r="B44" s="1">
        <v>0</v>
      </c>
    </row>
    <row r="45" spans="1:2" x14ac:dyDescent="0.3">
      <c r="A45" t="s">
        <v>38</v>
      </c>
      <c r="B45">
        <v>0</v>
      </c>
    </row>
    <row r="47" spans="1:2" x14ac:dyDescent="0.3">
      <c r="A47" t="s">
        <v>39</v>
      </c>
      <c r="B47">
        <v>1802.96</v>
      </c>
    </row>
    <row r="48" spans="1:2" x14ac:dyDescent="0.3">
      <c r="A48" t="s">
        <v>40</v>
      </c>
      <c r="B48">
        <v>34.200000000000003</v>
      </c>
    </row>
    <row r="50" spans="1:2" x14ac:dyDescent="0.3">
      <c r="A50" t="s">
        <v>41</v>
      </c>
      <c r="B50">
        <v>287</v>
      </c>
    </row>
    <row r="51" spans="1:2" x14ac:dyDescent="0.3">
      <c r="A51" t="s">
        <v>42</v>
      </c>
      <c r="B51">
        <v>717</v>
      </c>
    </row>
    <row r="52" spans="1:2" x14ac:dyDescent="0.3">
      <c r="A52" t="s">
        <v>43</v>
      </c>
      <c r="B52">
        <v>2867</v>
      </c>
    </row>
    <row r="53" spans="1:2" x14ac:dyDescent="0.3">
      <c r="A53" t="s">
        <v>44</v>
      </c>
      <c r="B53">
        <v>358</v>
      </c>
    </row>
    <row r="54" spans="1:2" x14ac:dyDescent="0.3">
      <c r="A54" t="s">
        <v>45</v>
      </c>
      <c r="B54">
        <v>4088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8D2A-286D-4996-97AD-EA185975E50E}">
  <dimension ref="A1:T57"/>
  <sheetViews>
    <sheetView workbookViewId="0">
      <selection activeCell="E60" sqref="E60"/>
    </sheetView>
  </sheetViews>
  <sheetFormatPr defaultRowHeight="14.4" x14ac:dyDescent="0.3"/>
  <cols>
    <col min="2" max="2" width="32" bestFit="1" customWidth="1"/>
    <col min="5" max="6" width="17.77734375" bestFit="1" customWidth="1"/>
    <col min="7" max="10" width="16" customWidth="1"/>
    <col min="11" max="11" width="34.33203125" bestFit="1" customWidth="1"/>
    <col min="12" max="12" width="14" bestFit="1" customWidth="1"/>
    <col min="13" max="13" width="11.77734375" bestFit="1" customWidth="1"/>
    <col min="14" max="14" width="15.6640625" bestFit="1" customWidth="1"/>
    <col min="15" max="15" width="13.21875" bestFit="1" customWidth="1"/>
    <col min="16" max="16" width="17.77734375" bestFit="1" customWidth="1"/>
    <col min="18" max="19" width="18.6640625" bestFit="1" customWidth="1"/>
  </cols>
  <sheetData>
    <row r="1" spans="1:16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2"/>
      <c r="B2" t="s">
        <v>46</v>
      </c>
      <c r="C2" t="s">
        <v>53</v>
      </c>
      <c r="D2" s="2"/>
      <c r="E2" t="s">
        <v>54</v>
      </c>
      <c r="F2" t="s">
        <v>118</v>
      </c>
      <c r="G2" s="2"/>
      <c r="H2" t="s">
        <v>83</v>
      </c>
      <c r="I2" s="3"/>
      <c r="J2" s="4"/>
      <c r="K2" t="s">
        <v>59</v>
      </c>
      <c r="L2" s="3" t="s">
        <v>100</v>
      </c>
      <c r="M2" s="2"/>
      <c r="N2" t="s">
        <v>98</v>
      </c>
      <c r="P2" s="2"/>
    </row>
    <row r="3" spans="1:16" x14ac:dyDescent="0.3">
      <c r="A3" s="2"/>
      <c r="B3" t="s">
        <v>57</v>
      </c>
      <c r="C3">
        <v>7480.4</v>
      </c>
      <c r="D3" s="2"/>
      <c r="E3" t="s">
        <v>57</v>
      </c>
      <c r="G3" s="2"/>
      <c r="H3" t="s">
        <v>84</v>
      </c>
      <c r="I3" s="3"/>
      <c r="J3" s="4"/>
      <c r="K3" t="s">
        <v>57</v>
      </c>
      <c r="L3">
        <f t="shared" ref="L3:L12" si="0">C3+F3</f>
        <v>7480.4</v>
      </c>
      <c r="M3" s="2"/>
      <c r="N3" t="s">
        <v>0</v>
      </c>
      <c r="O3" t="s">
        <v>1</v>
      </c>
      <c r="P3" s="2"/>
    </row>
    <row r="4" spans="1:16" x14ac:dyDescent="0.3">
      <c r="A4" s="2"/>
      <c r="B4" t="s">
        <v>56</v>
      </c>
      <c r="C4">
        <v>603.4</v>
      </c>
      <c r="D4" s="2"/>
      <c r="E4" t="s">
        <v>56</v>
      </c>
      <c r="G4" s="2"/>
      <c r="H4" t="s">
        <v>86</v>
      </c>
      <c r="I4" s="3"/>
      <c r="J4" s="4"/>
      <c r="K4" t="s">
        <v>56</v>
      </c>
      <c r="L4">
        <f t="shared" si="0"/>
        <v>603.4</v>
      </c>
      <c r="M4" s="2"/>
      <c r="N4" t="s">
        <v>2</v>
      </c>
      <c r="O4">
        <v>70</v>
      </c>
      <c r="P4" s="2"/>
    </row>
    <row r="5" spans="1:16" x14ac:dyDescent="0.3">
      <c r="A5" s="2"/>
      <c r="B5" t="s">
        <v>55</v>
      </c>
      <c r="C5">
        <v>825.97</v>
      </c>
      <c r="D5" s="2"/>
      <c r="E5" t="s">
        <v>55</v>
      </c>
      <c r="F5">
        <v>684</v>
      </c>
      <c r="G5" s="2"/>
      <c r="H5" t="s">
        <v>85</v>
      </c>
      <c r="I5" s="3"/>
      <c r="J5" s="4"/>
      <c r="K5" t="s">
        <v>55</v>
      </c>
      <c r="L5">
        <f t="shared" si="0"/>
        <v>1509.97</v>
      </c>
      <c r="M5" s="2"/>
      <c r="N5" t="s">
        <v>3</v>
      </c>
      <c r="O5">
        <v>1000</v>
      </c>
      <c r="P5" s="2"/>
    </row>
    <row r="6" spans="1:16" x14ac:dyDescent="0.3">
      <c r="A6" s="2"/>
      <c r="B6" t="s">
        <v>47</v>
      </c>
      <c r="C6">
        <f>5/100</f>
        <v>0.05</v>
      </c>
      <c r="D6" s="2"/>
      <c r="E6" t="s">
        <v>47</v>
      </c>
      <c r="G6" s="2"/>
      <c r="H6" t="s">
        <v>87</v>
      </c>
      <c r="I6" s="3"/>
      <c r="J6" s="4"/>
      <c r="K6" t="s">
        <v>47</v>
      </c>
      <c r="L6">
        <f t="shared" si="0"/>
        <v>0.05</v>
      </c>
      <c r="M6" s="2"/>
      <c r="N6" t="s">
        <v>4</v>
      </c>
      <c r="O6">
        <v>36</v>
      </c>
      <c r="P6" s="2"/>
    </row>
    <row r="7" spans="1:16" x14ac:dyDescent="0.3">
      <c r="A7" s="2"/>
      <c r="B7" t="s">
        <v>48</v>
      </c>
      <c r="C7">
        <f>50/100</f>
        <v>0.5</v>
      </c>
      <c r="D7" s="2"/>
      <c r="E7" t="s">
        <v>48</v>
      </c>
      <c r="G7" s="2"/>
      <c r="H7" t="s">
        <v>88</v>
      </c>
      <c r="I7" s="3"/>
      <c r="J7" s="4"/>
      <c r="K7" t="s">
        <v>48</v>
      </c>
      <c r="L7">
        <f t="shared" si="0"/>
        <v>0.5</v>
      </c>
      <c r="M7" s="2"/>
      <c r="N7" t="s">
        <v>5</v>
      </c>
      <c r="O7">
        <v>571.70000000000005</v>
      </c>
      <c r="P7" s="2"/>
    </row>
    <row r="8" spans="1:16" x14ac:dyDescent="0.3">
      <c r="A8" s="2"/>
      <c r="B8" t="s">
        <v>49</v>
      </c>
      <c r="C8">
        <v>0</v>
      </c>
      <c r="D8" s="2"/>
      <c r="E8" t="s">
        <v>49</v>
      </c>
      <c r="F8">
        <v>0.24</v>
      </c>
      <c r="G8" s="2"/>
      <c r="H8" t="s">
        <v>89</v>
      </c>
      <c r="I8" s="3"/>
      <c r="J8" s="4"/>
      <c r="K8" t="s">
        <v>49</v>
      </c>
      <c r="L8">
        <f t="shared" si="0"/>
        <v>0.24</v>
      </c>
      <c r="M8" s="2"/>
      <c r="N8" s="5" t="s">
        <v>96</v>
      </c>
      <c r="O8" s="5">
        <f>$O$7*(1-$F$8)-$I$12</f>
        <v>434.49200000000002</v>
      </c>
      <c r="P8" s="2"/>
    </row>
    <row r="9" spans="1:16" x14ac:dyDescent="0.3">
      <c r="A9" s="2"/>
      <c r="B9" t="s">
        <v>31</v>
      </c>
      <c r="C9">
        <v>83</v>
      </c>
      <c r="D9" s="2"/>
      <c r="E9" t="s">
        <v>31</v>
      </c>
      <c r="G9" s="2"/>
      <c r="H9" t="s">
        <v>90</v>
      </c>
      <c r="I9" s="3"/>
      <c r="J9" s="4"/>
      <c r="K9" t="s">
        <v>31</v>
      </c>
      <c r="L9">
        <f t="shared" si="0"/>
        <v>83</v>
      </c>
      <c r="M9" s="2"/>
      <c r="N9" s="5" t="s">
        <v>23</v>
      </c>
      <c r="O9" s="5">
        <f>$L$16/($L$16+$O$8)</f>
        <v>0.3927367461830461</v>
      </c>
      <c r="P9" s="2"/>
    </row>
    <row r="10" spans="1:16" x14ac:dyDescent="0.3">
      <c r="A10" s="2"/>
      <c r="B10" t="s">
        <v>50</v>
      </c>
      <c r="C10">
        <v>151</v>
      </c>
      <c r="D10" s="2"/>
      <c r="E10" t="s">
        <v>50</v>
      </c>
      <c r="G10" s="2"/>
      <c r="H10" t="s">
        <v>92</v>
      </c>
      <c r="I10" s="3"/>
      <c r="J10" s="4"/>
      <c r="K10" t="s">
        <v>50</v>
      </c>
      <c r="L10">
        <f t="shared" si="0"/>
        <v>151</v>
      </c>
      <c r="M10" s="2"/>
      <c r="N10" t="s">
        <v>6</v>
      </c>
      <c r="O10">
        <v>1003</v>
      </c>
      <c r="P10" s="2"/>
    </row>
    <row r="11" spans="1:16" x14ac:dyDescent="0.3">
      <c r="A11" s="2"/>
      <c r="B11" t="s">
        <v>51</v>
      </c>
      <c r="C11">
        <v>116</v>
      </c>
      <c r="D11" s="2"/>
      <c r="E11" t="s">
        <v>51</v>
      </c>
      <c r="F11">
        <f>25*3</f>
        <v>75</v>
      </c>
      <c r="G11" s="2"/>
      <c r="H11" t="s">
        <v>91</v>
      </c>
      <c r="I11" s="3"/>
      <c r="J11" s="4"/>
      <c r="K11" t="s">
        <v>51</v>
      </c>
      <c r="L11">
        <f t="shared" si="0"/>
        <v>191</v>
      </c>
      <c r="M11" s="2"/>
      <c r="N11" t="s">
        <v>7</v>
      </c>
      <c r="O11">
        <v>600</v>
      </c>
      <c r="P11" s="2"/>
    </row>
    <row r="12" spans="1:16" x14ac:dyDescent="0.3">
      <c r="A12" s="2"/>
      <c r="B12" t="s">
        <v>52</v>
      </c>
      <c r="C12">
        <v>1.2</v>
      </c>
      <c r="D12" s="2"/>
      <c r="E12" t="s">
        <v>52</v>
      </c>
      <c r="G12" s="2"/>
      <c r="H12" t="s">
        <v>99</v>
      </c>
      <c r="I12" s="3"/>
      <c r="J12" s="4"/>
      <c r="K12" t="s">
        <v>52</v>
      </c>
      <c r="L12">
        <f t="shared" si="0"/>
        <v>1.2</v>
      </c>
      <c r="M12" s="2"/>
      <c r="N12" t="s">
        <v>8</v>
      </c>
      <c r="O12">
        <v>1002</v>
      </c>
      <c r="P12" s="2"/>
    </row>
    <row r="13" spans="1:16" x14ac:dyDescent="0.3">
      <c r="A13" s="2"/>
      <c r="B13" s="2"/>
      <c r="C13" s="2"/>
      <c r="D13" s="2"/>
      <c r="E13" t="s">
        <v>81</v>
      </c>
      <c r="G13" s="2"/>
      <c r="H13" s="3"/>
      <c r="I13" s="3"/>
      <c r="J13" s="2"/>
      <c r="K13" t="s">
        <v>80</v>
      </c>
      <c r="L13">
        <f>((C3+F3)*(1+F13)+I3)*(1+I6)+I9</f>
        <v>7480.4</v>
      </c>
      <c r="M13" s="2"/>
      <c r="N13" t="s">
        <v>9</v>
      </c>
      <c r="O13" s="1">
        <v>0</v>
      </c>
      <c r="P13" s="2"/>
    </row>
    <row r="14" spans="1:16" x14ac:dyDescent="0.3">
      <c r="A14" s="2"/>
      <c r="B14" s="2"/>
      <c r="C14" s="2"/>
      <c r="D14" s="2"/>
      <c r="E14" t="s">
        <v>82</v>
      </c>
      <c r="G14" s="2"/>
      <c r="H14" s="2"/>
      <c r="I14" s="2"/>
      <c r="J14" s="2"/>
      <c r="K14" t="s">
        <v>79</v>
      </c>
      <c r="L14">
        <f>((C4+F4)*(1+F14)+I4)*(1+I7)+I10</f>
        <v>603.4</v>
      </c>
      <c r="M14" s="2"/>
      <c r="N14" t="s">
        <v>10</v>
      </c>
      <c r="O14" s="1">
        <v>-0.2</v>
      </c>
      <c r="P14" s="2"/>
    </row>
    <row r="15" spans="1:16" x14ac:dyDescent="0.3">
      <c r="A15" s="2"/>
      <c r="B15" s="2"/>
      <c r="C15" s="2"/>
      <c r="D15" s="2"/>
      <c r="E15" t="s">
        <v>58</v>
      </c>
      <c r="F15">
        <v>0.12</v>
      </c>
      <c r="G15" s="2"/>
      <c r="H15" s="2"/>
      <c r="I15" s="2"/>
      <c r="J15" s="2"/>
      <c r="K15" t="s">
        <v>60</v>
      </c>
      <c r="L15">
        <f>((C5+F5)*(1+F15)+I5)*(1+I8)+I11</f>
        <v>1691.1664000000003</v>
      </c>
      <c r="M15" s="2"/>
      <c r="N15" t="s">
        <v>11</v>
      </c>
      <c r="O15" s="1">
        <v>0</v>
      </c>
      <c r="P15" s="2"/>
    </row>
    <row r="16" spans="1:16" x14ac:dyDescent="0.3">
      <c r="A16" s="2"/>
      <c r="B16" s="2"/>
      <c r="C16" s="2"/>
      <c r="D16" s="2"/>
      <c r="E16" s="3" t="s">
        <v>110</v>
      </c>
      <c r="F16" s="3"/>
      <c r="G16" s="2"/>
      <c r="H16" s="2"/>
      <c r="I16" s="2"/>
      <c r="J16" s="2"/>
      <c r="K16" t="s">
        <v>97</v>
      </c>
      <c r="L16">
        <f>Scaling!$B$20</f>
        <v>281</v>
      </c>
      <c r="M16" s="2"/>
      <c r="N16" t="s">
        <v>12</v>
      </c>
      <c r="O16" s="1">
        <v>-0.2</v>
      </c>
      <c r="P16" s="2"/>
    </row>
    <row r="17" spans="1:2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3" t="s">
        <v>101</v>
      </c>
      <c r="L17" s="3"/>
      <c r="M17" s="2"/>
      <c r="N17" t="s">
        <v>13</v>
      </c>
      <c r="O17" s="1">
        <v>0</v>
      </c>
      <c r="P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3" t="s">
        <v>21</v>
      </c>
      <c r="L18" s="3">
        <v>0</v>
      </c>
      <c r="M18" s="2"/>
      <c r="N18" t="s">
        <v>109</v>
      </c>
      <c r="O18" s="1">
        <v>0</v>
      </c>
      <c r="P18" s="2"/>
    </row>
    <row r="19" spans="1:2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16</v>
      </c>
      <c r="L19" s="3">
        <f>1+0.0169*(60-1)</f>
        <v>1.9970999999999999</v>
      </c>
      <c r="M19" s="2"/>
      <c r="N19" t="s">
        <v>22</v>
      </c>
      <c r="O19" s="1">
        <v>0</v>
      </c>
      <c r="P19" s="2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2" spans="1:20" x14ac:dyDescent="0.3">
      <c r="B22" t="s">
        <v>61</v>
      </c>
    </row>
    <row r="23" spans="1:20" hidden="1" x14ac:dyDescent="0.3">
      <c r="B23" t="s">
        <v>62</v>
      </c>
      <c r="C23" t="s">
        <v>63</v>
      </c>
      <c r="D23" t="s">
        <v>64</v>
      </c>
      <c r="E23" t="s">
        <v>78</v>
      </c>
      <c r="F23" t="s">
        <v>93</v>
      </c>
      <c r="G23" t="s">
        <v>94</v>
      </c>
      <c r="H23" t="s">
        <v>104</v>
      </c>
      <c r="I23" t="s">
        <v>105</v>
      </c>
      <c r="J23" t="s">
        <v>106</v>
      </c>
      <c r="K23" t="s">
        <v>107</v>
      </c>
      <c r="L23" t="s">
        <v>26</v>
      </c>
      <c r="M23" t="s">
        <v>95</v>
      </c>
      <c r="N23" t="s">
        <v>108</v>
      </c>
      <c r="O23" t="s">
        <v>24</v>
      </c>
      <c r="P23" t="s">
        <v>112</v>
      </c>
      <c r="Q23" t="s">
        <v>111</v>
      </c>
    </row>
    <row r="24" spans="1:20" hidden="1" x14ac:dyDescent="0.3">
      <c r="B24" t="s">
        <v>65</v>
      </c>
      <c r="C24">
        <v>101</v>
      </c>
      <c r="D24">
        <v>26.1</v>
      </c>
      <c r="F24">
        <f>C24/100*$L$15</f>
        <v>1708.0780640000003</v>
      </c>
      <c r="G24">
        <f>1+0</f>
        <v>1</v>
      </c>
      <c r="H24" t="s">
        <v>103</v>
      </c>
      <c r="I24" t="s">
        <v>102</v>
      </c>
      <c r="J24">
        <f>IF(H24="Fire",$O$13,IF(H24="Ice",$O$14,IF(H24="Electric",$O$15,IF(H24="Ether",$O$16,IF(H24="Physical",$O$17,0)))))</f>
        <v>0</v>
      </c>
      <c r="K24">
        <f>IF(I24="Fire",$O$13,IF(I24="Ice",$O$14,IF(I24="Electric",$O$15,IF(I24="Ether",$O$16,IF(I24="Physical",$O$17,0)))))</f>
        <v>0</v>
      </c>
      <c r="L24">
        <f>1+$L$18</f>
        <v>1</v>
      </c>
      <c r="M24">
        <v>1</v>
      </c>
      <c r="N24">
        <f t="shared" ref="N24:N36" si="1">D24/100*$L$9*(1-$O$18)*(1+$F$16)</f>
        <v>21.663</v>
      </c>
      <c r="O24">
        <f>1+MAX(J24:K24)</f>
        <v>1</v>
      </c>
      <c r="P24">
        <f>F24*G24*$O$9*O24*(1+$L$6*$L$7)</f>
        <v>687.59564660904675</v>
      </c>
      <c r="Q24">
        <f>F24*G24*$O$9*O24*L24</f>
        <v>670.82502108199685</v>
      </c>
      <c r="T24" s="1"/>
    </row>
    <row r="25" spans="1:20" hidden="1" x14ac:dyDescent="0.3">
      <c r="B25" t="s">
        <v>66</v>
      </c>
      <c r="C25">
        <v>109.2</v>
      </c>
      <c r="D25">
        <v>49.1</v>
      </c>
      <c r="F25">
        <f t="shared" ref="F25:F36" si="2">C25/100*$L$15</f>
        <v>1846.7537088000004</v>
      </c>
      <c r="G25">
        <f t="shared" ref="G25:G36" si="3">1+0</f>
        <v>1</v>
      </c>
      <c r="H25" t="s">
        <v>103</v>
      </c>
      <c r="I25" t="s">
        <v>102</v>
      </c>
      <c r="J25">
        <f t="shared" ref="J25:J36" si="4">IF(H25="Fire",$O$13,IF(H25="Ice",$O$14,IF(H25="Electric",$O$15,IF(H25="Ether",$O$16,IF(H25="Physical",$O$17,0)))))</f>
        <v>0</v>
      </c>
      <c r="K25">
        <f t="shared" ref="K25:K36" si="5">IF(I25="Fire",$O$13,IF(I25="Ice",$O$14,IF(I25="Electric",$O$15,IF(I25="Ether",$O$16,IF(I25="Physical",$O$17,0)))))</f>
        <v>0</v>
      </c>
      <c r="L25">
        <f t="shared" ref="L25:L36" si="6">1+$L$18</f>
        <v>1</v>
      </c>
      <c r="M25">
        <v>1</v>
      </c>
      <c r="N25">
        <f t="shared" si="1"/>
        <v>40.753</v>
      </c>
      <c r="O25">
        <f t="shared" ref="O25:O36" si="7">1+MAX(J25:K25)</f>
        <v>1</v>
      </c>
      <c r="P25">
        <f t="shared" ref="P25:P36" si="8">F25*G25*$O$9*O25*(1+$L$6*$L$7)</f>
        <v>743.42024366047428</v>
      </c>
    </row>
    <row r="26" spans="1:20" hidden="1" x14ac:dyDescent="0.3">
      <c r="B26" t="s">
        <v>67</v>
      </c>
      <c r="C26">
        <v>227.4</v>
      </c>
      <c r="D26">
        <v>101.3</v>
      </c>
      <c r="F26">
        <f t="shared" si="2"/>
        <v>3845.7123936000007</v>
      </c>
      <c r="G26">
        <f t="shared" si="3"/>
        <v>1</v>
      </c>
      <c r="H26" t="s">
        <v>103</v>
      </c>
      <c r="I26" t="s">
        <v>102</v>
      </c>
      <c r="J26">
        <f t="shared" si="4"/>
        <v>0</v>
      </c>
      <c r="K26">
        <f t="shared" si="5"/>
        <v>0</v>
      </c>
      <c r="L26">
        <f t="shared" si="6"/>
        <v>1</v>
      </c>
      <c r="M26">
        <v>1</v>
      </c>
      <c r="N26">
        <f t="shared" si="1"/>
        <v>84.078999999999994</v>
      </c>
      <c r="O26">
        <f t="shared" si="7"/>
        <v>1</v>
      </c>
      <c r="P26">
        <f t="shared" si="8"/>
        <v>1548.1113865237351</v>
      </c>
    </row>
    <row r="27" spans="1:20" hidden="1" x14ac:dyDescent="0.3">
      <c r="B27" t="s">
        <v>68</v>
      </c>
      <c r="C27">
        <v>339.3</v>
      </c>
      <c r="D27">
        <v>151.30000000000001</v>
      </c>
      <c r="F27">
        <f t="shared" si="2"/>
        <v>5738.1275952000015</v>
      </c>
      <c r="G27">
        <f t="shared" si="3"/>
        <v>1</v>
      </c>
      <c r="H27" t="s">
        <v>103</v>
      </c>
      <c r="I27" t="s">
        <v>102</v>
      </c>
      <c r="J27">
        <f t="shared" si="4"/>
        <v>0</v>
      </c>
      <c r="K27">
        <f t="shared" si="5"/>
        <v>0</v>
      </c>
      <c r="L27">
        <f t="shared" si="6"/>
        <v>1</v>
      </c>
      <c r="M27">
        <v>1</v>
      </c>
      <c r="N27">
        <f t="shared" si="1"/>
        <v>125.57900000000001</v>
      </c>
      <c r="O27">
        <f t="shared" si="7"/>
        <v>1</v>
      </c>
      <c r="P27">
        <f t="shared" si="8"/>
        <v>2309.9128999450454</v>
      </c>
    </row>
    <row r="28" spans="1:20" hidden="1" x14ac:dyDescent="0.3">
      <c r="B28" t="s">
        <v>69</v>
      </c>
      <c r="C28">
        <v>73.599999999999994</v>
      </c>
      <c r="D28">
        <v>57.4</v>
      </c>
      <c r="F28">
        <f t="shared" si="2"/>
        <v>1244.6984704000001</v>
      </c>
      <c r="G28">
        <f t="shared" si="3"/>
        <v>1</v>
      </c>
      <c r="H28" t="s">
        <v>103</v>
      </c>
      <c r="J28">
        <f t="shared" si="4"/>
        <v>0</v>
      </c>
      <c r="K28">
        <f t="shared" si="5"/>
        <v>0</v>
      </c>
      <c r="L28">
        <f t="shared" si="6"/>
        <v>1</v>
      </c>
      <c r="M28">
        <v>1</v>
      </c>
      <c r="N28">
        <f t="shared" si="1"/>
        <v>47.641999999999996</v>
      </c>
      <c r="O28">
        <f t="shared" si="7"/>
        <v>1</v>
      </c>
      <c r="P28">
        <f t="shared" si="8"/>
        <v>501.0597979250083</v>
      </c>
      <c r="T28" s="1"/>
    </row>
    <row r="29" spans="1:20" hidden="1" x14ac:dyDescent="0.3">
      <c r="B29" t="s">
        <v>77</v>
      </c>
      <c r="C29">
        <v>61.2</v>
      </c>
      <c r="D29">
        <v>23.9</v>
      </c>
      <c r="F29">
        <f t="shared" si="2"/>
        <v>1034.9938368000001</v>
      </c>
      <c r="G29">
        <f t="shared" si="3"/>
        <v>1</v>
      </c>
      <c r="H29" t="s">
        <v>103</v>
      </c>
      <c r="J29">
        <f t="shared" si="4"/>
        <v>0</v>
      </c>
      <c r="K29">
        <f t="shared" si="5"/>
        <v>0</v>
      </c>
      <c r="L29">
        <f t="shared" si="6"/>
        <v>1</v>
      </c>
      <c r="M29">
        <v>1</v>
      </c>
      <c r="N29">
        <f t="shared" si="1"/>
        <v>19.837</v>
      </c>
      <c r="O29">
        <f t="shared" si="7"/>
        <v>1</v>
      </c>
      <c r="P29">
        <f t="shared" si="8"/>
        <v>416.64211457894709</v>
      </c>
      <c r="T29" s="1"/>
    </row>
    <row r="30" spans="1:20" hidden="1" x14ac:dyDescent="0.3">
      <c r="B30" t="s">
        <v>76</v>
      </c>
      <c r="C30">
        <v>299.2</v>
      </c>
      <c r="D30">
        <v>212.6</v>
      </c>
      <c r="F30">
        <f t="shared" si="2"/>
        <v>5059.9698688000008</v>
      </c>
      <c r="G30">
        <f t="shared" si="3"/>
        <v>1</v>
      </c>
      <c r="H30" t="s">
        <v>102</v>
      </c>
      <c r="J30">
        <f t="shared" si="4"/>
        <v>0</v>
      </c>
      <c r="K30">
        <f t="shared" si="5"/>
        <v>0</v>
      </c>
      <c r="L30">
        <f t="shared" si="6"/>
        <v>1</v>
      </c>
      <c r="M30">
        <v>1</v>
      </c>
      <c r="N30">
        <f t="shared" si="1"/>
        <v>176.458</v>
      </c>
      <c r="O30">
        <f t="shared" si="7"/>
        <v>1</v>
      </c>
      <c r="P30">
        <f t="shared" si="8"/>
        <v>2036.9170046081861</v>
      </c>
      <c r="T30" s="1"/>
    </row>
    <row r="31" spans="1:20" hidden="1" x14ac:dyDescent="0.3">
      <c r="B31" t="s">
        <v>71</v>
      </c>
      <c r="C31">
        <v>83.3</v>
      </c>
      <c r="D31">
        <v>64.400000000000006</v>
      </c>
      <c r="F31">
        <f t="shared" si="2"/>
        <v>1408.7416112000001</v>
      </c>
      <c r="G31">
        <f t="shared" si="3"/>
        <v>1</v>
      </c>
      <c r="H31" t="s">
        <v>102</v>
      </c>
      <c r="J31">
        <f t="shared" si="4"/>
        <v>0</v>
      </c>
      <c r="K31">
        <f t="shared" si="5"/>
        <v>0</v>
      </c>
      <c r="L31">
        <f t="shared" si="6"/>
        <v>1</v>
      </c>
      <c r="M31">
        <v>1</v>
      </c>
      <c r="N31">
        <f t="shared" si="1"/>
        <v>53.451999999999998</v>
      </c>
      <c r="O31">
        <f t="shared" si="7"/>
        <v>1</v>
      </c>
      <c r="P31">
        <f t="shared" si="8"/>
        <v>567.09621151023362</v>
      </c>
      <c r="T31" s="1"/>
    </row>
    <row r="32" spans="1:20" hidden="1" x14ac:dyDescent="0.3">
      <c r="B32" t="s">
        <v>70</v>
      </c>
      <c r="C32">
        <v>653.5</v>
      </c>
      <c r="D32">
        <v>441.5</v>
      </c>
      <c r="F32">
        <f t="shared" si="2"/>
        <v>11051.772424000003</v>
      </c>
      <c r="G32">
        <f t="shared" si="3"/>
        <v>1</v>
      </c>
      <c r="H32" t="s">
        <v>102</v>
      </c>
      <c r="J32">
        <f t="shared" si="4"/>
        <v>0</v>
      </c>
      <c r="K32">
        <f t="shared" si="5"/>
        <v>0</v>
      </c>
      <c r="L32">
        <f t="shared" si="6"/>
        <v>1</v>
      </c>
      <c r="M32">
        <v>1</v>
      </c>
      <c r="N32">
        <f t="shared" si="1"/>
        <v>366.44499999999999</v>
      </c>
      <c r="O32">
        <f t="shared" si="7"/>
        <v>1</v>
      </c>
      <c r="P32">
        <f t="shared" si="8"/>
        <v>4448.9480698912084</v>
      </c>
      <c r="T32" s="1"/>
    </row>
    <row r="33" spans="2:20" hidden="1" x14ac:dyDescent="0.3">
      <c r="B33" t="s">
        <v>72</v>
      </c>
      <c r="C33">
        <v>77.2</v>
      </c>
      <c r="D33">
        <v>60.1</v>
      </c>
      <c r="F33">
        <f t="shared" si="2"/>
        <v>1305.5804608000003</v>
      </c>
      <c r="G33">
        <f t="shared" si="3"/>
        <v>1</v>
      </c>
      <c r="H33" t="s">
        <v>102</v>
      </c>
      <c r="J33">
        <f t="shared" si="4"/>
        <v>0</v>
      </c>
      <c r="K33">
        <f t="shared" si="5"/>
        <v>0</v>
      </c>
      <c r="L33">
        <f t="shared" si="6"/>
        <v>1</v>
      </c>
      <c r="M33">
        <v>1</v>
      </c>
      <c r="N33">
        <f t="shared" si="1"/>
        <v>49.882999999999996</v>
      </c>
      <c r="O33">
        <f t="shared" si="7"/>
        <v>1</v>
      </c>
      <c r="P33">
        <f t="shared" si="8"/>
        <v>525.5681576061229</v>
      </c>
      <c r="T33" s="1"/>
    </row>
    <row r="34" spans="2:20" hidden="1" x14ac:dyDescent="0.3">
      <c r="B34" t="s">
        <v>73</v>
      </c>
      <c r="C34">
        <f>303.7*2</f>
        <v>607.4</v>
      </c>
      <c r="D34">
        <f>189.1*2</f>
        <v>378.2</v>
      </c>
      <c r="E34">
        <v>40</v>
      </c>
      <c r="F34">
        <f t="shared" si="2"/>
        <v>10272.144713600002</v>
      </c>
      <c r="G34">
        <f t="shared" si="3"/>
        <v>1</v>
      </c>
      <c r="H34" t="s">
        <v>102</v>
      </c>
      <c r="J34">
        <f t="shared" si="4"/>
        <v>0</v>
      </c>
      <c r="K34">
        <f t="shared" si="5"/>
        <v>0</v>
      </c>
      <c r="L34">
        <f t="shared" si="6"/>
        <v>1</v>
      </c>
      <c r="M34">
        <v>1</v>
      </c>
      <c r="N34">
        <f t="shared" si="1"/>
        <v>313.90600000000001</v>
      </c>
      <c r="O34">
        <f t="shared" si="7"/>
        <v>1</v>
      </c>
      <c r="P34">
        <f t="shared" si="8"/>
        <v>4135.1049084191591</v>
      </c>
      <c r="T34" s="1"/>
    </row>
    <row r="35" spans="2:20" hidden="1" x14ac:dyDescent="0.3">
      <c r="B35" t="s">
        <v>74</v>
      </c>
      <c r="C35">
        <v>1039.3</v>
      </c>
      <c r="D35">
        <v>215.3</v>
      </c>
      <c r="F35">
        <f t="shared" si="2"/>
        <v>17576.292395200002</v>
      </c>
      <c r="G35">
        <f t="shared" si="3"/>
        <v>1</v>
      </c>
      <c r="H35" t="s">
        <v>102</v>
      </c>
      <c r="J35">
        <f t="shared" si="4"/>
        <v>0</v>
      </c>
      <c r="K35">
        <f t="shared" si="5"/>
        <v>0</v>
      </c>
      <c r="L35">
        <f t="shared" si="6"/>
        <v>1</v>
      </c>
      <c r="M35">
        <v>1</v>
      </c>
      <c r="N35">
        <f t="shared" si="1"/>
        <v>178.69900000000001</v>
      </c>
      <c r="O35">
        <f t="shared" si="7"/>
        <v>1</v>
      </c>
      <c r="P35">
        <f t="shared" si="8"/>
        <v>7075.4272823839829</v>
      </c>
      <c r="T35" s="1"/>
    </row>
    <row r="36" spans="2:20" hidden="1" x14ac:dyDescent="0.3">
      <c r="B36" t="s">
        <v>75</v>
      </c>
      <c r="C36">
        <v>2688.4</v>
      </c>
      <c r="D36">
        <v>188</v>
      </c>
      <c r="F36">
        <f t="shared" si="2"/>
        <v>45465.317497600008</v>
      </c>
      <c r="G36">
        <f t="shared" si="3"/>
        <v>1</v>
      </c>
      <c r="H36" t="s">
        <v>102</v>
      </c>
      <c r="J36">
        <f t="shared" si="4"/>
        <v>0</v>
      </c>
      <c r="K36">
        <f t="shared" si="5"/>
        <v>0</v>
      </c>
      <c r="L36">
        <f t="shared" si="6"/>
        <v>1</v>
      </c>
      <c r="M36">
        <v>1</v>
      </c>
      <c r="N36">
        <f t="shared" si="1"/>
        <v>156.04</v>
      </c>
      <c r="O36">
        <f t="shared" si="7"/>
        <v>1</v>
      </c>
      <c r="P36">
        <f t="shared" si="8"/>
        <v>18302.298379641201</v>
      </c>
      <c r="T36" s="1"/>
    </row>
    <row r="37" spans="2:20" hidden="1" x14ac:dyDescent="0.3">
      <c r="T37" s="1"/>
    </row>
    <row r="38" spans="2:20" x14ac:dyDescent="0.3">
      <c r="B38" t="s">
        <v>62</v>
      </c>
      <c r="C38" t="s">
        <v>65</v>
      </c>
      <c r="D38" t="s">
        <v>66</v>
      </c>
      <c r="E38" t="s">
        <v>67</v>
      </c>
      <c r="F38" t="s">
        <v>68</v>
      </c>
      <c r="G38" t="s">
        <v>69</v>
      </c>
      <c r="H38" t="s">
        <v>77</v>
      </c>
      <c r="I38" t="s">
        <v>76</v>
      </c>
      <c r="J38" t="s">
        <v>71</v>
      </c>
      <c r="K38" t="s">
        <v>70</v>
      </c>
      <c r="L38" t="s">
        <v>72</v>
      </c>
      <c r="M38" t="s">
        <v>73</v>
      </c>
      <c r="N38" t="s">
        <v>74</v>
      </c>
      <c r="O38" t="s">
        <v>75</v>
      </c>
    </row>
    <row r="39" spans="2:20" x14ac:dyDescent="0.3">
      <c r="B39" t="s">
        <v>63</v>
      </c>
      <c r="C39">
        <v>101</v>
      </c>
      <c r="D39">
        <v>109.2</v>
      </c>
      <c r="E39">
        <v>227.4</v>
      </c>
      <c r="F39">
        <v>339.3</v>
      </c>
      <c r="G39">
        <v>73.599999999999994</v>
      </c>
      <c r="H39">
        <v>61.2</v>
      </c>
      <c r="I39">
        <v>299.2</v>
      </c>
      <c r="J39">
        <v>83.3</v>
      </c>
      <c r="K39">
        <v>653.5</v>
      </c>
      <c r="L39">
        <v>77.2</v>
      </c>
      <c r="M39">
        <f>303.7*2</f>
        <v>607.4</v>
      </c>
      <c r="N39">
        <v>1039.3</v>
      </c>
      <c r="O39">
        <v>2688.4</v>
      </c>
    </row>
    <row r="40" spans="2:20" x14ac:dyDescent="0.3">
      <c r="B40" t="s">
        <v>64</v>
      </c>
      <c r="C40">
        <v>26.1</v>
      </c>
      <c r="D40">
        <v>49.1</v>
      </c>
      <c r="E40">
        <v>101.3</v>
      </c>
      <c r="F40">
        <v>151.30000000000001</v>
      </c>
      <c r="G40">
        <v>57.4</v>
      </c>
      <c r="H40">
        <v>23.9</v>
      </c>
      <c r="I40">
        <v>212.6</v>
      </c>
      <c r="J40">
        <v>64.400000000000006</v>
      </c>
      <c r="K40">
        <v>441.5</v>
      </c>
      <c r="L40">
        <v>60.1</v>
      </c>
      <c r="M40">
        <f>189.1*2</f>
        <v>378.2</v>
      </c>
      <c r="N40">
        <v>215.3</v>
      </c>
      <c r="O40">
        <v>188</v>
      </c>
    </row>
    <row r="41" spans="2:20" x14ac:dyDescent="0.3">
      <c r="B41" t="s">
        <v>78</v>
      </c>
      <c r="M41">
        <v>40</v>
      </c>
    </row>
    <row r="42" spans="2:20" x14ac:dyDescent="0.3">
      <c r="B42" t="s">
        <v>93</v>
      </c>
      <c r="C42">
        <f t="shared" ref="C42:O42" si="9">C39/100*$L$15</f>
        <v>1708.0780640000003</v>
      </c>
      <c r="D42">
        <f t="shared" si="9"/>
        <v>1846.7537088000004</v>
      </c>
      <c r="E42">
        <f t="shared" si="9"/>
        <v>3845.7123936000007</v>
      </c>
      <c r="F42">
        <f t="shared" si="9"/>
        <v>5738.1275952000015</v>
      </c>
      <c r="G42">
        <f t="shared" si="9"/>
        <v>1244.6984704000001</v>
      </c>
      <c r="H42">
        <f t="shared" si="9"/>
        <v>1034.9938368000001</v>
      </c>
      <c r="I42">
        <f t="shared" si="9"/>
        <v>5059.9698688000008</v>
      </c>
      <c r="J42">
        <f t="shared" si="9"/>
        <v>1408.7416112000001</v>
      </c>
      <c r="K42">
        <f t="shared" si="9"/>
        <v>11051.772424000003</v>
      </c>
      <c r="L42">
        <f t="shared" si="9"/>
        <v>1305.5804608000003</v>
      </c>
      <c r="M42">
        <f t="shared" si="9"/>
        <v>10272.144713600002</v>
      </c>
      <c r="N42">
        <f t="shared" si="9"/>
        <v>17576.292395200002</v>
      </c>
      <c r="O42">
        <f t="shared" si="9"/>
        <v>45465.317497600008</v>
      </c>
    </row>
    <row r="43" spans="2:20" x14ac:dyDescent="0.3">
      <c r="B43" t="s">
        <v>94</v>
      </c>
      <c r="C43">
        <f t="shared" ref="C43:O43" si="10">1+0</f>
        <v>1</v>
      </c>
      <c r="D43">
        <f t="shared" si="10"/>
        <v>1</v>
      </c>
      <c r="E43">
        <f t="shared" si="10"/>
        <v>1</v>
      </c>
      <c r="F43">
        <f t="shared" si="10"/>
        <v>1</v>
      </c>
      <c r="G43">
        <f t="shared" si="10"/>
        <v>1</v>
      </c>
      <c r="H43">
        <f t="shared" si="10"/>
        <v>1</v>
      </c>
      <c r="I43">
        <f t="shared" si="10"/>
        <v>1</v>
      </c>
      <c r="J43">
        <f t="shared" si="10"/>
        <v>1</v>
      </c>
      <c r="K43">
        <f t="shared" si="10"/>
        <v>1</v>
      </c>
      <c r="L43">
        <f t="shared" si="10"/>
        <v>1</v>
      </c>
      <c r="M43">
        <f t="shared" si="10"/>
        <v>1</v>
      </c>
      <c r="N43">
        <f t="shared" si="10"/>
        <v>1</v>
      </c>
      <c r="O43">
        <f t="shared" si="10"/>
        <v>1</v>
      </c>
    </row>
    <row r="44" spans="2:20" x14ac:dyDescent="0.3">
      <c r="B44" t="s">
        <v>25</v>
      </c>
      <c r="C44">
        <f>1+0-0</f>
        <v>1</v>
      </c>
      <c r="D44">
        <f t="shared" ref="D44:O44" si="11">1+0-0</f>
        <v>1</v>
      </c>
      <c r="E44">
        <f t="shared" si="11"/>
        <v>1</v>
      </c>
      <c r="F44">
        <f t="shared" si="11"/>
        <v>1</v>
      </c>
      <c r="G44">
        <f t="shared" si="11"/>
        <v>1</v>
      </c>
      <c r="H44">
        <f t="shared" si="11"/>
        <v>1</v>
      </c>
      <c r="I44">
        <f t="shared" si="11"/>
        <v>1</v>
      </c>
      <c r="J44">
        <f t="shared" si="11"/>
        <v>1</v>
      </c>
      <c r="K44">
        <f t="shared" si="11"/>
        <v>1</v>
      </c>
      <c r="L44">
        <f t="shared" si="11"/>
        <v>1</v>
      </c>
      <c r="M44">
        <f t="shared" si="11"/>
        <v>1</v>
      </c>
      <c r="N44">
        <f t="shared" si="11"/>
        <v>1</v>
      </c>
      <c r="O44">
        <f t="shared" si="11"/>
        <v>1</v>
      </c>
    </row>
    <row r="45" spans="2:20" x14ac:dyDescent="0.3">
      <c r="B45" t="s">
        <v>104</v>
      </c>
      <c r="C45" t="s">
        <v>103</v>
      </c>
      <c r="D45" t="s">
        <v>103</v>
      </c>
      <c r="E45" t="s">
        <v>103</v>
      </c>
      <c r="F45" t="s">
        <v>103</v>
      </c>
      <c r="G45" t="s">
        <v>103</v>
      </c>
      <c r="H45" t="s">
        <v>103</v>
      </c>
      <c r="I45" t="s">
        <v>102</v>
      </c>
      <c r="J45" t="s">
        <v>102</v>
      </c>
      <c r="K45" t="s">
        <v>102</v>
      </c>
      <c r="L45" t="s">
        <v>102</v>
      </c>
      <c r="M45" t="s">
        <v>102</v>
      </c>
      <c r="N45" t="s">
        <v>102</v>
      </c>
      <c r="O45" t="s">
        <v>102</v>
      </c>
    </row>
    <row r="46" spans="2:20" x14ac:dyDescent="0.3">
      <c r="B46" t="s">
        <v>105</v>
      </c>
      <c r="C46" t="s">
        <v>102</v>
      </c>
      <c r="D46" t="s">
        <v>102</v>
      </c>
      <c r="E46" t="s">
        <v>102</v>
      </c>
      <c r="F46" t="s">
        <v>102</v>
      </c>
    </row>
    <row r="47" spans="2:20" x14ac:dyDescent="0.3">
      <c r="B47" t="s">
        <v>106</v>
      </c>
      <c r="C47">
        <f t="shared" ref="C47:O47" si="12">IF(C45="Fire",$O$13,IF(C45="Ice",$O$14,IF(C45="Electric",$O$15,IF(C45="Ether",$O$16,IF(C45="Physical",$O$17,0)))))</f>
        <v>0</v>
      </c>
      <c r="D47">
        <f t="shared" si="12"/>
        <v>0</v>
      </c>
      <c r="E47">
        <f t="shared" si="12"/>
        <v>0</v>
      </c>
      <c r="F47">
        <f t="shared" si="12"/>
        <v>0</v>
      </c>
      <c r="G47">
        <f t="shared" si="12"/>
        <v>0</v>
      </c>
      <c r="H47">
        <f t="shared" si="12"/>
        <v>0</v>
      </c>
      <c r="I47">
        <f t="shared" si="12"/>
        <v>0</v>
      </c>
      <c r="J47">
        <f t="shared" si="12"/>
        <v>0</v>
      </c>
      <c r="K47">
        <f t="shared" si="12"/>
        <v>0</v>
      </c>
      <c r="L47">
        <f t="shared" si="12"/>
        <v>0</v>
      </c>
      <c r="M47">
        <f t="shared" si="12"/>
        <v>0</v>
      </c>
      <c r="N47">
        <f t="shared" si="12"/>
        <v>0</v>
      </c>
      <c r="O47">
        <f t="shared" si="12"/>
        <v>0</v>
      </c>
    </row>
    <row r="48" spans="2:20" x14ac:dyDescent="0.3">
      <c r="B48" t="s">
        <v>107</v>
      </c>
      <c r="C48">
        <f t="shared" ref="C48:O48" si="13">IF(C46="Fire",$O$13,IF(C46="Ice",$O$14,IF(C46="Electric",$O$15,IF(C46="Ether",$O$16,IF(C46="Physical",$O$17,0)))))</f>
        <v>0</v>
      </c>
      <c r="D48">
        <f t="shared" si="13"/>
        <v>0</v>
      </c>
      <c r="E48">
        <f t="shared" si="13"/>
        <v>0</v>
      </c>
      <c r="F48">
        <f t="shared" si="13"/>
        <v>0</v>
      </c>
      <c r="G48">
        <f t="shared" si="13"/>
        <v>0</v>
      </c>
      <c r="H48">
        <f t="shared" si="13"/>
        <v>0</v>
      </c>
      <c r="I48">
        <f t="shared" si="13"/>
        <v>0</v>
      </c>
      <c r="J48">
        <f t="shared" si="13"/>
        <v>0</v>
      </c>
      <c r="K48">
        <f t="shared" si="13"/>
        <v>0</v>
      </c>
      <c r="L48">
        <f t="shared" si="13"/>
        <v>0</v>
      </c>
      <c r="M48">
        <f t="shared" si="13"/>
        <v>0</v>
      </c>
      <c r="N48">
        <f t="shared" si="13"/>
        <v>0</v>
      </c>
      <c r="O48">
        <f t="shared" si="13"/>
        <v>0</v>
      </c>
    </row>
    <row r="49" spans="2:15" x14ac:dyDescent="0.3">
      <c r="B49" t="s">
        <v>26</v>
      </c>
      <c r="C49">
        <f t="shared" ref="C49:O49" si="14">1+$L$18</f>
        <v>1</v>
      </c>
      <c r="D49">
        <f t="shared" si="14"/>
        <v>1</v>
      </c>
      <c r="E49">
        <f t="shared" si="14"/>
        <v>1</v>
      </c>
      <c r="F49">
        <f t="shared" si="14"/>
        <v>1</v>
      </c>
      <c r="G49">
        <f t="shared" si="14"/>
        <v>1</v>
      </c>
      <c r="H49">
        <f t="shared" si="14"/>
        <v>1</v>
      </c>
      <c r="I49">
        <f t="shared" si="14"/>
        <v>1</v>
      </c>
      <c r="J49">
        <f t="shared" si="14"/>
        <v>1</v>
      </c>
      <c r="K49">
        <f t="shared" si="14"/>
        <v>1</v>
      </c>
      <c r="L49">
        <f t="shared" si="14"/>
        <v>1</v>
      </c>
      <c r="M49">
        <f t="shared" si="14"/>
        <v>1</v>
      </c>
      <c r="N49">
        <f t="shared" si="14"/>
        <v>1</v>
      </c>
      <c r="O49">
        <f t="shared" si="14"/>
        <v>1</v>
      </c>
    </row>
    <row r="50" spans="2:15" x14ac:dyDescent="0.3">
      <c r="B50" t="s">
        <v>95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2:15" x14ac:dyDescent="0.3">
      <c r="B51" t="s">
        <v>108</v>
      </c>
      <c r="C51">
        <f t="shared" ref="C51:O51" si="15">C40/100*$L$9*(1-$O$18)*(1+$F$16)</f>
        <v>21.663</v>
      </c>
      <c r="D51">
        <f t="shared" si="15"/>
        <v>40.753</v>
      </c>
      <c r="E51">
        <f t="shared" si="15"/>
        <v>84.078999999999994</v>
      </c>
      <c r="F51">
        <f t="shared" si="15"/>
        <v>125.57900000000001</v>
      </c>
      <c r="G51">
        <f t="shared" si="15"/>
        <v>47.641999999999996</v>
      </c>
      <c r="H51">
        <f t="shared" si="15"/>
        <v>19.837</v>
      </c>
      <c r="I51">
        <f t="shared" si="15"/>
        <v>176.458</v>
      </c>
      <c r="J51">
        <f t="shared" si="15"/>
        <v>53.451999999999998</v>
      </c>
      <c r="K51">
        <f t="shared" si="15"/>
        <v>366.44499999999999</v>
      </c>
      <c r="L51">
        <f t="shared" si="15"/>
        <v>49.882999999999996</v>
      </c>
      <c r="M51">
        <f t="shared" si="15"/>
        <v>313.90600000000001</v>
      </c>
      <c r="N51">
        <f t="shared" si="15"/>
        <v>178.69900000000001</v>
      </c>
      <c r="O51">
        <f t="shared" si="15"/>
        <v>156.04</v>
      </c>
    </row>
    <row r="52" spans="2:15" x14ac:dyDescent="0.3">
      <c r="B52" t="s">
        <v>24</v>
      </c>
      <c r="C52">
        <f t="shared" ref="C52:O52" si="16">1+MAX(C47:C48)</f>
        <v>1</v>
      </c>
      <c r="D52">
        <f t="shared" si="16"/>
        <v>1</v>
      </c>
      <c r="E52">
        <f t="shared" si="16"/>
        <v>1</v>
      </c>
      <c r="F52">
        <f t="shared" si="16"/>
        <v>1</v>
      </c>
      <c r="G52">
        <f t="shared" si="16"/>
        <v>1</v>
      </c>
      <c r="H52">
        <f t="shared" si="16"/>
        <v>1</v>
      </c>
      <c r="I52">
        <f t="shared" si="16"/>
        <v>1</v>
      </c>
      <c r="J52">
        <f t="shared" si="16"/>
        <v>1</v>
      </c>
      <c r="K52">
        <f t="shared" si="16"/>
        <v>1</v>
      </c>
      <c r="L52">
        <f t="shared" si="16"/>
        <v>1</v>
      </c>
      <c r="M52">
        <f t="shared" si="16"/>
        <v>1</v>
      </c>
      <c r="N52">
        <f t="shared" si="16"/>
        <v>1</v>
      </c>
      <c r="O52">
        <f t="shared" si="16"/>
        <v>1</v>
      </c>
    </row>
    <row r="53" spans="2:15" x14ac:dyDescent="0.3">
      <c r="B53" t="s">
        <v>112</v>
      </c>
      <c r="C53">
        <f>C42*C43*C44*$O$9*C52*C49*(1+$L$6*$L$7)</f>
        <v>687.59564660904675</v>
      </c>
      <c r="D53">
        <f t="shared" ref="D53:O53" si="17">D42*D43*D44*$O$9*D52*D49*(1+$L$6*$L$7)</f>
        <v>743.42024366047428</v>
      </c>
      <c r="E53">
        <f t="shared" si="17"/>
        <v>1548.1113865237351</v>
      </c>
      <c r="F53">
        <f t="shared" si="17"/>
        <v>2309.9128999450454</v>
      </c>
      <c r="G53">
        <f t="shared" si="17"/>
        <v>501.0597979250083</v>
      </c>
      <c r="H53">
        <f t="shared" si="17"/>
        <v>416.64211457894709</v>
      </c>
      <c r="I53">
        <f t="shared" si="17"/>
        <v>2036.9170046081861</v>
      </c>
      <c r="J53">
        <f t="shared" si="17"/>
        <v>567.09621151023362</v>
      </c>
      <c r="K53">
        <f t="shared" si="17"/>
        <v>4448.9480698912084</v>
      </c>
      <c r="L53">
        <f t="shared" si="17"/>
        <v>525.5681576061229</v>
      </c>
      <c r="M53">
        <f t="shared" si="17"/>
        <v>4135.1049084191591</v>
      </c>
      <c r="N53">
        <f t="shared" si="17"/>
        <v>7075.4272823839829</v>
      </c>
      <c r="O53">
        <f t="shared" si="17"/>
        <v>18302.298379641201</v>
      </c>
    </row>
    <row r="54" spans="2:15" x14ac:dyDescent="0.3">
      <c r="B54" t="s">
        <v>113</v>
      </c>
      <c r="C54">
        <f>IF(C45="Fire",0.5*10,IF(C45="Ice",5,IF(C45="Electric",1.25*10,IF(C45="Ether",0.625*20,IF(C45="Physical",7.13,0)))))*$L$15</f>
        <v>12058.016432000002</v>
      </c>
    </row>
    <row r="55" spans="2:15" x14ac:dyDescent="0.3">
      <c r="B55" t="s">
        <v>114</v>
      </c>
      <c r="C55">
        <f>IF(C46="Fire",0.5*10,IF(C46="Ice",5,IF(C46="Electric",1.25*10,IF(C46="Ether",0.625*20,IF(C46="Physical",7.13,0)))))*$L$15</f>
        <v>21139.580000000005</v>
      </c>
    </row>
    <row r="56" spans="2:15" x14ac:dyDescent="0.3">
      <c r="B56" t="s">
        <v>115</v>
      </c>
      <c r="C56">
        <f>C54*C43*$O$9*C52*C44*C49*$L$11/100*$L$19</f>
        <v>18063.861217511458</v>
      </c>
    </row>
    <row r="57" spans="2:15" x14ac:dyDescent="0.3">
      <c r="B57" t="s">
        <v>116</v>
      </c>
      <c r="C57">
        <f>C55*C43*$O$9*C52*C44*C49*$L$11/100*$L$19</f>
        <v>31668.760900265534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4069-495B-4D8D-A40D-FCA1F5DC5896}">
  <dimension ref="A1:T58"/>
  <sheetViews>
    <sheetView workbookViewId="0">
      <selection activeCell="F3" sqref="F3"/>
    </sheetView>
  </sheetViews>
  <sheetFormatPr defaultRowHeight="14.4" x14ac:dyDescent="0.3"/>
  <cols>
    <col min="2" max="2" width="32" bestFit="1" customWidth="1"/>
    <col min="5" max="5" width="17.77734375" bestFit="1" customWidth="1"/>
    <col min="6" max="6" width="17.88671875" bestFit="1" customWidth="1"/>
    <col min="7" max="10" width="16" customWidth="1"/>
    <col min="11" max="11" width="34.33203125" bestFit="1" customWidth="1"/>
    <col min="12" max="12" width="14" bestFit="1" customWidth="1"/>
    <col min="13" max="13" width="11.77734375" bestFit="1" customWidth="1"/>
    <col min="14" max="14" width="15.6640625" bestFit="1" customWidth="1"/>
    <col min="15" max="15" width="13.21875" bestFit="1" customWidth="1"/>
    <col min="16" max="16" width="17.77734375" bestFit="1" customWidth="1"/>
    <col min="18" max="19" width="18.6640625" bestFit="1" customWidth="1"/>
  </cols>
  <sheetData>
    <row r="1" spans="1:16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2"/>
      <c r="B2" t="s">
        <v>46</v>
      </c>
      <c r="C2" t="s">
        <v>53</v>
      </c>
      <c r="D2" s="2"/>
      <c r="E2" t="s">
        <v>54</v>
      </c>
      <c r="F2" t="s">
        <v>119</v>
      </c>
      <c r="G2" s="2"/>
      <c r="H2" t="s">
        <v>83</v>
      </c>
      <c r="I2" s="3"/>
      <c r="J2" s="4"/>
      <c r="K2" t="s">
        <v>59</v>
      </c>
      <c r="L2" s="3" t="s">
        <v>100</v>
      </c>
      <c r="M2" s="2"/>
      <c r="N2" t="s">
        <v>98</v>
      </c>
      <c r="P2" s="2"/>
    </row>
    <row r="3" spans="1:16" x14ac:dyDescent="0.3">
      <c r="A3" s="2"/>
      <c r="B3" t="s">
        <v>57</v>
      </c>
      <c r="C3">
        <v>7480.4</v>
      </c>
      <c r="D3" s="2"/>
      <c r="E3" t="s">
        <v>57</v>
      </c>
      <c r="G3" s="2"/>
      <c r="H3" t="s">
        <v>84</v>
      </c>
      <c r="I3" s="3"/>
      <c r="J3" s="4"/>
      <c r="K3" t="s">
        <v>57</v>
      </c>
      <c r="L3">
        <f t="shared" ref="L3:L12" si="0">C3+F3</f>
        <v>7480.4</v>
      </c>
      <c r="M3" s="2"/>
      <c r="N3" t="s">
        <v>0</v>
      </c>
      <c r="O3" t="s">
        <v>1</v>
      </c>
      <c r="P3" s="2"/>
    </row>
    <row r="4" spans="1:16" x14ac:dyDescent="0.3">
      <c r="A4" s="2"/>
      <c r="B4" t="s">
        <v>56</v>
      </c>
      <c r="C4">
        <v>603.4</v>
      </c>
      <c r="D4" s="2"/>
      <c r="E4" t="s">
        <v>56</v>
      </c>
      <c r="G4" s="2"/>
      <c r="H4" t="s">
        <v>86</v>
      </c>
      <c r="I4" s="3"/>
      <c r="J4" s="4"/>
      <c r="K4" t="s">
        <v>56</v>
      </c>
      <c r="L4">
        <f t="shared" si="0"/>
        <v>603.4</v>
      </c>
      <c r="M4" s="2"/>
      <c r="N4" t="s">
        <v>2</v>
      </c>
      <c r="O4">
        <v>70</v>
      </c>
      <c r="P4" s="2"/>
    </row>
    <row r="5" spans="1:16" x14ac:dyDescent="0.3">
      <c r="A5" s="2"/>
      <c r="B5" t="s">
        <v>55</v>
      </c>
      <c r="C5">
        <v>825.97</v>
      </c>
      <c r="D5" s="2"/>
      <c r="E5" t="s">
        <v>55</v>
      </c>
      <c r="F5">
        <v>594</v>
      </c>
      <c r="G5" s="2"/>
      <c r="H5" t="s">
        <v>85</v>
      </c>
      <c r="I5" s="3"/>
      <c r="J5" s="4"/>
      <c r="K5" t="s">
        <v>55</v>
      </c>
      <c r="L5">
        <f t="shared" si="0"/>
        <v>1419.97</v>
      </c>
      <c r="M5" s="2"/>
      <c r="N5" t="s">
        <v>3</v>
      </c>
      <c r="O5">
        <v>1000</v>
      </c>
      <c r="P5" s="2"/>
    </row>
    <row r="6" spans="1:16" x14ac:dyDescent="0.3">
      <c r="A6" s="2"/>
      <c r="B6" t="s">
        <v>47</v>
      </c>
      <c r="C6">
        <f>5/100</f>
        <v>0.05</v>
      </c>
      <c r="D6" s="2"/>
      <c r="E6" t="s">
        <v>47</v>
      </c>
      <c r="G6" s="2"/>
      <c r="H6" t="s">
        <v>87</v>
      </c>
      <c r="I6" s="3"/>
      <c r="J6" s="4"/>
      <c r="K6" t="s">
        <v>47</v>
      </c>
      <c r="L6">
        <f t="shared" si="0"/>
        <v>0.05</v>
      </c>
      <c r="M6" s="2"/>
      <c r="N6" t="s">
        <v>4</v>
      </c>
      <c r="O6">
        <v>36</v>
      </c>
      <c r="P6" s="2"/>
    </row>
    <row r="7" spans="1:16" x14ac:dyDescent="0.3">
      <c r="A7" s="2"/>
      <c r="B7" t="s">
        <v>48</v>
      </c>
      <c r="C7">
        <f>50/100</f>
        <v>0.5</v>
      </c>
      <c r="D7" s="2"/>
      <c r="E7" t="s">
        <v>48</v>
      </c>
      <c r="G7" s="2"/>
      <c r="H7" t="s">
        <v>88</v>
      </c>
      <c r="I7" s="3"/>
      <c r="J7" s="4"/>
      <c r="K7" t="s">
        <v>48</v>
      </c>
      <c r="L7">
        <f t="shared" si="0"/>
        <v>0.5</v>
      </c>
      <c r="M7" s="2"/>
      <c r="N7" t="s">
        <v>5</v>
      </c>
      <c r="O7">
        <v>571.70000000000005</v>
      </c>
      <c r="P7" s="2"/>
    </row>
    <row r="8" spans="1:16" x14ac:dyDescent="0.3">
      <c r="A8" s="2"/>
      <c r="B8" t="s">
        <v>49</v>
      </c>
      <c r="C8">
        <v>0</v>
      </c>
      <c r="D8" s="2"/>
      <c r="E8" t="s">
        <v>49</v>
      </c>
      <c r="G8" s="2"/>
      <c r="H8" t="s">
        <v>89</v>
      </c>
      <c r="I8" s="3"/>
      <c r="J8" s="4"/>
      <c r="K8" t="s">
        <v>49</v>
      </c>
      <c r="L8">
        <f t="shared" si="0"/>
        <v>0</v>
      </c>
      <c r="M8" s="2"/>
      <c r="N8" s="5" t="s">
        <v>96</v>
      </c>
      <c r="O8" s="5">
        <f>$O$7*(1-$F$8)-$I$12</f>
        <v>571.70000000000005</v>
      </c>
      <c r="P8" s="2"/>
    </row>
    <row r="9" spans="1:16" x14ac:dyDescent="0.3">
      <c r="A9" s="2"/>
      <c r="B9" t="s">
        <v>31</v>
      </c>
      <c r="C9">
        <v>83</v>
      </c>
      <c r="D9" s="2"/>
      <c r="E9" t="s">
        <v>31</v>
      </c>
      <c r="G9" s="2"/>
      <c r="H9" t="s">
        <v>90</v>
      </c>
      <c r="I9" s="3"/>
      <c r="J9" s="4"/>
      <c r="K9" t="s">
        <v>31</v>
      </c>
      <c r="L9">
        <f t="shared" si="0"/>
        <v>83</v>
      </c>
      <c r="M9" s="2"/>
      <c r="N9" s="5" t="s">
        <v>23</v>
      </c>
      <c r="O9" s="5">
        <f>$L$16/($L$16+$O$8)</f>
        <v>0.32954145654978301</v>
      </c>
      <c r="P9" s="2"/>
    </row>
    <row r="10" spans="1:16" x14ac:dyDescent="0.3">
      <c r="A10" s="2"/>
      <c r="B10" t="s">
        <v>50</v>
      </c>
      <c r="C10">
        <v>151</v>
      </c>
      <c r="D10" s="2"/>
      <c r="E10" t="s">
        <v>50</v>
      </c>
      <c r="G10" s="2"/>
      <c r="H10" t="s">
        <v>92</v>
      </c>
      <c r="I10" s="3"/>
      <c r="J10" s="4"/>
      <c r="K10" t="s">
        <v>50</v>
      </c>
      <c r="L10">
        <f t="shared" si="0"/>
        <v>151</v>
      </c>
      <c r="M10" s="2"/>
      <c r="N10" t="s">
        <v>6</v>
      </c>
      <c r="O10">
        <v>1003</v>
      </c>
      <c r="P10" s="2"/>
    </row>
    <row r="11" spans="1:16" x14ac:dyDescent="0.3">
      <c r="A11" s="2"/>
      <c r="B11" t="s">
        <v>51</v>
      </c>
      <c r="C11">
        <v>116</v>
      </c>
      <c r="D11" s="2"/>
      <c r="E11" t="s">
        <v>51</v>
      </c>
      <c r="F11">
        <f>25*3</f>
        <v>75</v>
      </c>
      <c r="G11" s="2"/>
      <c r="H11" t="s">
        <v>91</v>
      </c>
      <c r="I11" s="3"/>
      <c r="J11" s="4"/>
      <c r="K11" t="s">
        <v>51</v>
      </c>
      <c r="L11">
        <f t="shared" si="0"/>
        <v>191</v>
      </c>
      <c r="M11" s="2"/>
      <c r="N11" t="s">
        <v>7</v>
      </c>
      <c r="O11">
        <v>600</v>
      </c>
      <c r="P11" s="2"/>
    </row>
    <row r="12" spans="1:16" x14ac:dyDescent="0.3">
      <c r="A12" s="2"/>
      <c r="B12" t="s">
        <v>52</v>
      </c>
      <c r="C12">
        <v>1.2</v>
      </c>
      <c r="D12" s="2"/>
      <c r="E12" t="s">
        <v>52</v>
      </c>
      <c r="G12" s="2"/>
      <c r="H12" t="s">
        <v>99</v>
      </c>
      <c r="I12" s="3"/>
      <c r="J12" s="4"/>
      <c r="K12" t="s">
        <v>52</v>
      </c>
      <c r="L12">
        <f t="shared" si="0"/>
        <v>1.2</v>
      </c>
      <c r="M12" s="2"/>
      <c r="N12" t="s">
        <v>8</v>
      </c>
      <c r="O12">
        <v>1002</v>
      </c>
      <c r="P12" s="2"/>
    </row>
    <row r="13" spans="1:16" x14ac:dyDescent="0.3">
      <c r="A13" s="2"/>
      <c r="B13" s="2"/>
      <c r="C13" s="2"/>
      <c r="D13" s="2"/>
      <c r="E13" t="s">
        <v>81</v>
      </c>
      <c r="G13" s="2"/>
      <c r="H13" s="3"/>
      <c r="I13" s="3"/>
      <c r="J13" s="2"/>
      <c r="K13" t="s">
        <v>80</v>
      </c>
      <c r="L13">
        <f>((C3+F3)*(1+F13)+I3)*(1+I6)+I9</f>
        <v>7480.4</v>
      </c>
      <c r="M13" s="2"/>
      <c r="N13" t="s">
        <v>9</v>
      </c>
      <c r="O13" s="1">
        <v>0</v>
      </c>
      <c r="P13" s="2"/>
    </row>
    <row r="14" spans="1:16" x14ac:dyDescent="0.3">
      <c r="A14" s="2"/>
      <c r="B14" s="2"/>
      <c r="C14" s="2"/>
      <c r="D14" s="2"/>
      <c r="E14" t="s">
        <v>82</v>
      </c>
      <c r="G14" s="2"/>
      <c r="H14" s="2"/>
      <c r="I14" s="2"/>
      <c r="J14" s="2"/>
      <c r="K14" t="s">
        <v>79</v>
      </c>
      <c r="L14">
        <f>((C4+F4)*(1+F14)+I4)*(1+I7)+I10</f>
        <v>603.4</v>
      </c>
      <c r="M14" s="2"/>
      <c r="N14" t="s">
        <v>10</v>
      </c>
      <c r="O14" s="1">
        <v>-0.2</v>
      </c>
      <c r="P14" s="2"/>
    </row>
    <row r="15" spans="1:16" x14ac:dyDescent="0.3">
      <c r="A15" s="2"/>
      <c r="B15" s="2"/>
      <c r="C15" s="2"/>
      <c r="D15" s="2"/>
      <c r="E15" t="s">
        <v>58</v>
      </c>
      <c r="F15">
        <v>0.1</v>
      </c>
      <c r="G15" s="2"/>
      <c r="H15" s="2"/>
      <c r="I15" s="2"/>
      <c r="J15" s="2"/>
      <c r="K15" t="s">
        <v>60</v>
      </c>
      <c r="L15">
        <f>((C5+F5)*(1+F15)+I5)*(1+I8)+I11</f>
        <v>1561.9670000000001</v>
      </c>
      <c r="M15" s="2"/>
      <c r="N15" t="s">
        <v>11</v>
      </c>
      <c r="O15" s="1">
        <v>0</v>
      </c>
      <c r="P15" s="2"/>
    </row>
    <row r="16" spans="1:16" x14ac:dyDescent="0.3">
      <c r="A16" s="2"/>
      <c r="B16" s="2"/>
      <c r="C16" s="2"/>
      <c r="D16" s="2"/>
      <c r="E16" s="3" t="s">
        <v>110</v>
      </c>
      <c r="F16" s="3"/>
      <c r="G16" s="2"/>
      <c r="H16" s="2"/>
      <c r="I16" s="2"/>
      <c r="J16" s="2"/>
      <c r="K16" t="s">
        <v>97</v>
      </c>
      <c r="L16">
        <f>Scaling!$B$20</f>
        <v>281</v>
      </c>
      <c r="M16" s="2"/>
      <c r="N16" t="s">
        <v>12</v>
      </c>
      <c r="O16" s="1">
        <v>-0.2</v>
      </c>
      <c r="P16" s="2"/>
    </row>
    <row r="17" spans="1:20" x14ac:dyDescent="0.3">
      <c r="A17" s="2"/>
      <c r="B17" s="2"/>
      <c r="C17" s="2"/>
      <c r="D17" s="2"/>
      <c r="E17" s="3" t="s">
        <v>117</v>
      </c>
      <c r="F17" s="3">
        <v>0.15</v>
      </c>
      <c r="G17" s="2"/>
      <c r="H17" s="2"/>
      <c r="I17" s="2"/>
      <c r="J17" s="2"/>
      <c r="K17" s="3" t="s">
        <v>101</v>
      </c>
      <c r="L17" s="3"/>
      <c r="M17" s="2"/>
      <c r="N17" t="s">
        <v>13</v>
      </c>
      <c r="O17" s="1">
        <v>0</v>
      </c>
      <c r="P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3" t="s">
        <v>21</v>
      </c>
      <c r="L18" s="3">
        <v>0</v>
      </c>
      <c r="M18" s="2"/>
      <c r="N18" t="s">
        <v>109</v>
      </c>
      <c r="O18" s="1">
        <v>0</v>
      </c>
      <c r="P18" s="2"/>
    </row>
    <row r="19" spans="1:2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16</v>
      </c>
      <c r="L19" s="3">
        <f>1+0.0169*(60-1)</f>
        <v>1.9970999999999999</v>
      </c>
      <c r="M19" s="2"/>
      <c r="N19" t="s">
        <v>22</v>
      </c>
      <c r="O19" s="1">
        <v>0</v>
      </c>
      <c r="P19" s="2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3" t="s">
        <v>117</v>
      </c>
      <c r="L20" s="3">
        <v>0</v>
      </c>
      <c r="M20" s="2"/>
      <c r="O20" s="1"/>
      <c r="P20" s="2"/>
    </row>
    <row r="21" spans="1:2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3" spans="1:20" x14ac:dyDescent="0.3">
      <c r="B23" t="s">
        <v>61</v>
      </c>
    </row>
    <row r="24" spans="1:20" hidden="1" x14ac:dyDescent="0.3">
      <c r="B24" t="s">
        <v>62</v>
      </c>
      <c r="C24" t="s">
        <v>63</v>
      </c>
      <c r="D24" t="s">
        <v>64</v>
      </c>
      <c r="E24" t="s">
        <v>78</v>
      </c>
      <c r="F24" t="s">
        <v>93</v>
      </c>
      <c r="G24" t="s">
        <v>94</v>
      </c>
      <c r="H24" t="s">
        <v>104</v>
      </c>
      <c r="I24" t="s">
        <v>105</v>
      </c>
      <c r="J24" t="s">
        <v>106</v>
      </c>
      <c r="K24" t="s">
        <v>107</v>
      </c>
      <c r="L24" t="s">
        <v>26</v>
      </c>
      <c r="M24" t="s">
        <v>95</v>
      </c>
      <c r="N24" t="s">
        <v>108</v>
      </c>
      <c r="O24" t="s">
        <v>24</v>
      </c>
      <c r="P24" t="s">
        <v>112</v>
      </c>
      <c r="Q24" t="s">
        <v>111</v>
      </c>
    </row>
    <row r="25" spans="1:20" hidden="1" x14ac:dyDescent="0.3">
      <c r="B25" t="s">
        <v>65</v>
      </c>
      <c r="C25">
        <v>101</v>
      </c>
      <c r="D25">
        <v>26.1</v>
      </c>
      <c r="F25">
        <f>C25/100*$L$15</f>
        <v>1577.5866700000001</v>
      </c>
      <c r="G25">
        <f>1+0</f>
        <v>1</v>
      </c>
      <c r="H25" t="s">
        <v>103</v>
      </c>
      <c r="I25" t="s">
        <v>102</v>
      </c>
      <c r="J25">
        <f>IF(H25="Fire",$O$13,IF(H25="Ice",$O$14,IF(H25="Electric",$O$15,IF(H25="Ether",$O$16,IF(H25="Physical",$O$17,0)))))</f>
        <v>0</v>
      </c>
      <c r="K25">
        <f>IF(I25="Fire",$O$13,IF(I25="Ice",$O$14,IF(I25="Electric",$O$15,IF(I25="Ether",$O$16,IF(I25="Physical",$O$17,0)))))</f>
        <v>0</v>
      </c>
      <c r="L25">
        <f>1+$L$18</f>
        <v>1</v>
      </c>
      <c r="M25">
        <v>1</v>
      </c>
      <c r="N25">
        <f t="shared" ref="N25:N37" si="1">D25/100*$L$9*(1-$O$18)*(1+$F$16)</f>
        <v>21.663</v>
      </c>
      <c r="O25">
        <f>1+MAX(J25:K25)</f>
        <v>1</v>
      </c>
      <c r="P25">
        <f>F25*G25*$O$9*O25*(1+$L$6*$L$7)</f>
        <v>532.87721429195483</v>
      </c>
      <c r="Q25">
        <f>F25*G25*$O$9*O25*L25</f>
        <v>519.88020906532188</v>
      </c>
      <c r="T25" s="1"/>
    </row>
    <row r="26" spans="1:20" hidden="1" x14ac:dyDescent="0.3">
      <c r="B26" t="s">
        <v>66</v>
      </c>
      <c r="C26">
        <v>109.2</v>
      </c>
      <c r="D26">
        <v>49.1</v>
      </c>
      <c r="F26">
        <f t="shared" ref="F26:F37" si="2">C26/100*$L$15</f>
        <v>1705.6679640000002</v>
      </c>
      <c r="G26">
        <f t="shared" ref="G26:G37" si="3">1+0</f>
        <v>1</v>
      </c>
      <c r="H26" t="s">
        <v>103</v>
      </c>
      <c r="I26" t="s">
        <v>102</v>
      </c>
      <c r="J26">
        <f t="shared" ref="J26:K37" si="4">IF(H26="Fire",$O$13,IF(H26="Ice",$O$14,IF(H26="Electric",$O$15,IF(H26="Ether",$O$16,IF(H26="Physical",$O$17,0)))))</f>
        <v>0</v>
      </c>
      <c r="K26">
        <f t="shared" si="4"/>
        <v>0</v>
      </c>
      <c r="L26">
        <f t="shared" ref="L26:L37" si="5">1+$L$18</f>
        <v>1</v>
      </c>
      <c r="M26">
        <v>1</v>
      </c>
      <c r="N26">
        <f t="shared" si="1"/>
        <v>40.753</v>
      </c>
      <c r="O26">
        <f t="shared" ref="O26:O37" si="6">1+MAX(J26:K26)</f>
        <v>1</v>
      </c>
      <c r="P26">
        <f t="shared" ref="P26:P37" si="7">F26*G26*$O$9*O26*(1+$L$6*$L$7)</f>
        <v>576.14051287803443</v>
      </c>
    </row>
    <row r="27" spans="1:20" hidden="1" x14ac:dyDescent="0.3">
      <c r="B27" t="s">
        <v>67</v>
      </c>
      <c r="C27">
        <v>227.4</v>
      </c>
      <c r="D27">
        <v>101.3</v>
      </c>
      <c r="F27">
        <f t="shared" si="2"/>
        <v>3551.9129580000003</v>
      </c>
      <c r="G27">
        <f t="shared" si="3"/>
        <v>1</v>
      </c>
      <c r="H27" t="s">
        <v>103</v>
      </c>
      <c r="I27" t="s">
        <v>102</v>
      </c>
      <c r="J27">
        <f t="shared" si="4"/>
        <v>0</v>
      </c>
      <c r="K27">
        <f t="shared" si="4"/>
        <v>0</v>
      </c>
      <c r="L27">
        <f t="shared" si="5"/>
        <v>1</v>
      </c>
      <c r="M27">
        <v>1</v>
      </c>
      <c r="N27">
        <f t="shared" si="1"/>
        <v>84.078999999999994</v>
      </c>
      <c r="O27">
        <f t="shared" si="6"/>
        <v>1</v>
      </c>
      <c r="P27">
        <f t="shared" si="7"/>
        <v>1199.7651339603024</v>
      </c>
    </row>
    <row r="28" spans="1:20" hidden="1" x14ac:dyDescent="0.3">
      <c r="B28" t="s">
        <v>68</v>
      </c>
      <c r="C28">
        <v>339.3</v>
      </c>
      <c r="D28">
        <v>151.30000000000001</v>
      </c>
      <c r="F28">
        <f t="shared" si="2"/>
        <v>5299.7540310000004</v>
      </c>
      <c r="G28">
        <f t="shared" si="3"/>
        <v>1</v>
      </c>
      <c r="H28" t="s">
        <v>103</v>
      </c>
      <c r="I28" t="s">
        <v>102</v>
      </c>
      <c r="J28">
        <f t="shared" si="4"/>
        <v>0</v>
      </c>
      <c r="K28">
        <f t="shared" si="4"/>
        <v>0</v>
      </c>
      <c r="L28">
        <f t="shared" si="5"/>
        <v>1</v>
      </c>
      <c r="M28">
        <v>1</v>
      </c>
      <c r="N28">
        <f t="shared" si="1"/>
        <v>125.57900000000001</v>
      </c>
      <c r="O28">
        <f t="shared" si="6"/>
        <v>1</v>
      </c>
      <c r="P28">
        <f t="shared" si="7"/>
        <v>1790.1508792996069</v>
      </c>
    </row>
    <row r="29" spans="1:20" hidden="1" x14ac:dyDescent="0.3">
      <c r="B29" t="s">
        <v>69</v>
      </c>
      <c r="C29">
        <v>73.599999999999994</v>
      </c>
      <c r="D29">
        <v>57.4</v>
      </c>
      <c r="F29">
        <f t="shared" si="2"/>
        <v>1149.607712</v>
      </c>
      <c r="G29">
        <f t="shared" si="3"/>
        <v>1</v>
      </c>
      <c r="H29" t="s">
        <v>103</v>
      </c>
      <c r="J29">
        <f t="shared" si="4"/>
        <v>0</v>
      </c>
      <c r="K29">
        <f t="shared" si="4"/>
        <v>0</v>
      </c>
      <c r="L29">
        <f t="shared" si="5"/>
        <v>1</v>
      </c>
      <c r="M29">
        <v>1</v>
      </c>
      <c r="N29">
        <f t="shared" si="1"/>
        <v>47.641999999999996</v>
      </c>
      <c r="O29">
        <f t="shared" si="6"/>
        <v>1</v>
      </c>
      <c r="P29">
        <f t="shared" si="7"/>
        <v>388.31448487017701</v>
      </c>
      <c r="T29" s="1"/>
    </row>
    <row r="30" spans="1:20" hidden="1" x14ac:dyDescent="0.3">
      <c r="B30" t="s">
        <v>77</v>
      </c>
      <c r="C30">
        <v>61.2</v>
      </c>
      <c r="D30">
        <v>23.9</v>
      </c>
      <c r="F30">
        <f t="shared" si="2"/>
        <v>955.92380400000002</v>
      </c>
      <c r="G30">
        <f t="shared" si="3"/>
        <v>1</v>
      </c>
      <c r="H30" t="s">
        <v>103</v>
      </c>
      <c r="J30">
        <f t="shared" si="4"/>
        <v>0</v>
      </c>
      <c r="K30">
        <f t="shared" si="4"/>
        <v>0</v>
      </c>
      <c r="L30">
        <f t="shared" si="5"/>
        <v>1</v>
      </c>
      <c r="M30">
        <v>1</v>
      </c>
      <c r="N30">
        <f t="shared" si="1"/>
        <v>19.837</v>
      </c>
      <c r="O30">
        <f t="shared" si="6"/>
        <v>1</v>
      </c>
      <c r="P30">
        <f t="shared" si="7"/>
        <v>322.89193578878849</v>
      </c>
      <c r="T30" s="1"/>
    </row>
    <row r="31" spans="1:20" hidden="1" x14ac:dyDescent="0.3">
      <c r="B31" t="s">
        <v>76</v>
      </c>
      <c r="C31">
        <v>299.2</v>
      </c>
      <c r="D31">
        <v>212.6</v>
      </c>
      <c r="F31">
        <f t="shared" si="2"/>
        <v>4673.405264</v>
      </c>
      <c r="G31">
        <f t="shared" si="3"/>
        <v>1</v>
      </c>
      <c r="H31" t="s">
        <v>102</v>
      </c>
      <c r="J31">
        <f t="shared" si="4"/>
        <v>0</v>
      </c>
      <c r="K31">
        <f t="shared" si="4"/>
        <v>0</v>
      </c>
      <c r="L31">
        <f t="shared" si="5"/>
        <v>1</v>
      </c>
      <c r="M31">
        <v>1</v>
      </c>
      <c r="N31">
        <f t="shared" si="1"/>
        <v>176.458</v>
      </c>
      <c r="O31">
        <f t="shared" si="6"/>
        <v>1</v>
      </c>
      <c r="P31">
        <f t="shared" si="7"/>
        <v>1578.5827971896326</v>
      </c>
      <c r="T31" s="1"/>
    </row>
    <row r="32" spans="1:20" hidden="1" x14ac:dyDescent="0.3">
      <c r="B32" t="s">
        <v>71</v>
      </c>
      <c r="C32">
        <v>83.3</v>
      </c>
      <c r="D32">
        <v>64.400000000000006</v>
      </c>
      <c r="F32">
        <f t="shared" si="2"/>
        <v>1301.1185110000001</v>
      </c>
      <c r="G32">
        <f t="shared" si="3"/>
        <v>1</v>
      </c>
      <c r="H32" t="s">
        <v>102</v>
      </c>
      <c r="J32">
        <f t="shared" si="4"/>
        <v>0</v>
      </c>
      <c r="K32">
        <f t="shared" si="4"/>
        <v>0</v>
      </c>
      <c r="L32">
        <f t="shared" si="5"/>
        <v>1</v>
      </c>
      <c r="M32">
        <v>1</v>
      </c>
      <c r="N32">
        <f t="shared" si="1"/>
        <v>53.451999999999998</v>
      </c>
      <c r="O32">
        <f t="shared" si="6"/>
        <v>1</v>
      </c>
      <c r="P32">
        <f t="shared" si="7"/>
        <v>439.49180149029553</v>
      </c>
      <c r="T32" s="1"/>
    </row>
    <row r="33" spans="2:20" hidden="1" x14ac:dyDescent="0.3">
      <c r="B33" t="s">
        <v>70</v>
      </c>
      <c r="C33">
        <v>653.5</v>
      </c>
      <c r="D33">
        <v>441.5</v>
      </c>
      <c r="F33">
        <f t="shared" si="2"/>
        <v>10207.454345</v>
      </c>
      <c r="G33">
        <f t="shared" si="3"/>
        <v>1</v>
      </c>
      <c r="H33" t="s">
        <v>102</v>
      </c>
      <c r="J33">
        <f t="shared" si="4"/>
        <v>0</v>
      </c>
      <c r="K33">
        <f t="shared" si="4"/>
        <v>0</v>
      </c>
      <c r="L33">
        <f t="shared" si="5"/>
        <v>1</v>
      </c>
      <c r="M33">
        <v>1</v>
      </c>
      <c r="N33">
        <f t="shared" si="1"/>
        <v>366.44499999999999</v>
      </c>
      <c r="O33">
        <f t="shared" si="6"/>
        <v>1</v>
      </c>
      <c r="P33">
        <f t="shared" si="7"/>
        <v>3447.8738568296285</v>
      </c>
      <c r="T33" s="1"/>
    </row>
    <row r="34" spans="2:20" hidden="1" x14ac:dyDescent="0.3">
      <c r="B34" t="s">
        <v>72</v>
      </c>
      <c r="C34">
        <v>77.2</v>
      </c>
      <c r="D34">
        <v>60.1</v>
      </c>
      <c r="F34">
        <f t="shared" si="2"/>
        <v>1205.838524</v>
      </c>
      <c r="G34">
        <f t="shared" si="3"/>
        <v>1</v>
      </c>
      <c r="H34" t="s">
        <v>102</v>
      </c>
      <c r="J34">
        <f t="shared" si="4"/>
        <v>0</v>
      </c>
      <c r="K34">
        <f t="shared" si="4"/>
        <v>0</v>
      </c>
      <c r="L34">
        <f t="shared" si="5"/>
        <v>1</v>
      </c>
      <c r="M34">
        <v>1</v>
      </c>
      <c r="N34">
        <f t="shared" si="1"/>
        <v>49.882999999999996</v>
      </c>
      <c r="O34">
        <f t="shared" si="6"/>
        <v>1</v>
      </c>
      <c r="P34">
        <f t="shared" si="7"/>
        <v>407.30812815187045</v>
      </c>
      <c r="T34" s="1"/>
    </row>
    <row r="35" spans="2:20" hidden="1" x14ac:dyDescent="0.3">
      <c r="B35" t="s">
        <v>73</v>
      </c>
      <c r="C35">
        <f>303.7*2</f>
        <v>607.4</v>
      </c>
      <c r="D35">
        <f>189.1*2</f>
        <v>378.2</v>
      </c>
      <c r="E35">
        <v>40</v>
      </c>
      <c r="F35">
        <f t="shared" si="2"/>
        <v>9487.3875580000004</v>
      </c>
      <c r="G35">
        <f t="shared" si="3"/>
        <v>1</v>
      </c>
      <c r="H35" t="s">
        <v>102</v>
      </c>
      <c r="J35">
        <f t="shared" si="4"/>
        <v>0</v>
      </c>
      <c r="K35">
        <f t="shared" si="4"/>
        <v>0</v>
      </c>
      <c r="L35">
        <f t="shared" si="5"/>
        <v>1</v>
      </c>
      <c r="M35">
        <v>1</v>
      </c>
      <c r="N35">
        <f t="shared" si="1"/>
        <v>313.90600000000001</v>
      </c>
      <c r="O35">
        <f t="shared" si="6"/>
        <v>1</v>
      </c>
      <c r="P35">
        <f t="shared" si="7"/>
        <v>3204.6497025834988</v>
      </c>
      <c r="T35" s="1"/>
    </row>
    <row r="36" spans="2:20" hidden="1" x14ac:dyDescent="0.3">
      <c r="B36" t="s">
        <v>74</v>
      </c>
      <c r="C36">
        <v>1039.3</v>
      </c>
      <c r="D36">
        <v>215.3</v>
      </c>
      <c r="F36">
        <f t="shared" si="2"/>
        <v>16233.523030999999</v>
      </c>
      <c r="G36">
        <f t="shared" si="3"/>
        <v>1</v>
      </c>
      <c r="H36" t="s">
        <v>102</v>
      </c>
      <c r="J36">
        <f t="shared" si="4"/>
        <v>0</v>
      </c>
      <c r="K36">
        <f t="shared" si="4"/>
        <v>0</v>
      </c>
      <c r="L36">
        <f t="shared" si="5"/>
        <v>1</v>
      </c>
      <c r="M36">
        <v>1</v>
      </c>
      <c r="N36">
        <f t="shared" si="1"/>
        <v>178.69900000000001</v>
      </c>
      <c r="O36">
        <f t="shared" si="6"/>
        <v>1</v>
      </c>
      <c r="P36">
        <f t="shared" si="7"/>
        <v>5483.3592951844421</v>
      </c>
      <c r="T36" s="1"/>
    </row>
    <row r="37" spans="2:20" hidden="1" x14ac:dyDescent="0.3">
      <c r="B37" t="s">
        <v>75</v>
      </c>
      <c r="C37">
        <v>2688.4</v>
      </c>
      <c r="D37">
        <v>188</v>
      </c>
      <c r="F37">
        <f t="shared" si="2"/>
        <v>41991.920828000002</v>
      </c>
      <c r="G37">
        <f t="shared" si="3"/>
        <v>1</v>
      </c>
      <c r="H37" t="s">
        <v>102</v>
      </c>
      <c r="J37">
        <f t="shared" si="4"/>
        <v>0</v>
      </c>
      <c r="K37">
        <f t="shared" si="4"/>
        <v>0</v>
      </c>
      <c r="L37">
        <f t="shared" si="5"/>
        <v>1</v>
      </c>
      <c r="M37">
        <v>1</v>
      </c>
      <c r="N37">
        <f t="shared" si="1"/>
        <v>156.04</v>
      </c>
      <c r="O37">
        <f t="shared" si="6"/>
        <v>1</v>
      </c>
      <c r="P37">
        <f t="shared" si="7"/>
        <v>14184.030721806846</v>
      </c>
      <c r="T37" s="1"/>
    </row>
    <row r="38" spans="2:20" hidden="1" x14ac:dyDescent="0.3">
      <c r="T38" s="1"/>
    </row>
    <row r="39" spans="2:20" x14ac:dyDescent="0.3">
      <c r="B39" t="s">
        <v>62</v>
      </c>
      <c r="C39" t="s">
        <v>65</v>
      </c>
      <c r="D39" t="s">
        <v>66</v>
      </c>
      <c r="E39" t="s">
        <v>67</v>
      </c>
      <c r="F39" t="s">
        <v>68</v>
      </c>
      <c r="G39" t="s">
        <v>69</v>
      </c>
      <c r="H39" t="s">
        <v>77</v>
      </c>
      <c r="I39" t="s">
        <v>76</v>
      </c>
      <c r="J39" t="s">
        <v>71</v>
      </c>
      <c r="K39" t="s">
        <v>70</v>
      </c>
      <c r="L39" t="s">
        <v>72</v>
      </c>
      <c r="M39" t="s">
        <v>73</v>
      </c>
      <c r="N39" t="s">
        <v>74</v>
      </c>
      <c r="O39" t="s">
        <v>75</v>
      </c>
    </row>
    <row r="40" spans="2:20" x14ac:dyDescent="0.3">
      <c r="B40" t="s">
        <v>63</v>
      </c>
      <c r="C40">
        <v>101</v>
      </c>
      <c r="D40">
        <v>109.2</v>
      </c>
      <c r="E40">
        <v>227.4</v>
      </c>
      <c r="F40">
        <v>339.3</v>
      </c>
      <c r="G40">
        <v>73.599999999999994</v>
      </c>
      <c r="H40">
        <v>61.2</v>
      </c>
      <c r="I40">
        <v>299.2</v>
      </c>
      <c r="J40">
        <v>83.3</v>
      </c>
      <c r="K40">
        <v>653.5</v>
      </c>
      <c r="L40">
        <v>77.2</v>
      </c>
      <c r="M40">
        <f>303.7*2</f>
        <v>607.4</v>
      </c>
      <c r="N40">
        <v>1039.3</v>
      </c>
      <c r="O40">
        <v>2688.4</v>
      </c>
    </row>
    <row r="41" spans="2:20" x14ac:dyDescent="0.3">
      <c r="B41" t="s">
        <v>64</v>
      </c>
      <c r="C41">
        <v>26.1</v>
      </c>
      <c r="D41">
        <v>49.1</v>
      </c>
      <c r="E41">
        <v>101.3</v>
      </c>
      <c r="F41">
        <v>151.30000000000001</v>
      </c>
      <c r="G41">
        <v>57.4</v>
      </c>
      <c r="H41">
        <v>23.9</v>
      </c>
      <c r="I41">
        <v>212.6</v>
      </c>
      <c r="J41">
        <v>64.400000000000006</v>
      </c>
      <c r="K41">
        <v>441.5</v>
      </c>
      <c r="L41">
        <v>60.1</v>
      </c>
      <c r="M41">
        <f>189.1*2</f>
        <v>378.2</v>
      </c>
      <c r="N41">
        <v>215.3</v>
      </c>
      <c r="O41">
        <v>188</v>
      </c>
    </row>
    <row r="42" spans="2:20" x14ac:dyDescent="0.3">
      <c r="B42" t="s">
        <v>78</v>
      </c>
      <c r="M42">
        <v>40</v>
      </c>
    </row>
    <row r="43" spans="2:20" x14ac:dyDescent="0.3">
      <c r="B43" t="s">
        <v>93</v>
      </c>
      <c r="C43">
        <f t="shared" ref="C43:O43" si="8">C40/100*$L$15</f>
        <v>1577.5866700000001</v>
      </c>
      <c r="D43">
        <f t="shared" si="8"/>
        <v>1705.6679640000002</v>
      </c>
      <c r="E43">
        <f t="shared" si="8"/>
        <v>3551.9129580000003</v>
      </c>
      <c r="F43">
        <f t="shared" si="8"/>
        <v>5299.7540310000004</v>
      </c>
      <c r="G43">
        <f t="shared" si="8"/>
        <v>1149.607712</v>
      </c>
      <c r="H43">
        <f t="shared" si="8"/>
        <v>955.92380400000002</v>
      </c>
      <c r="I43">
        <f t="shared" si="8"/>
        <v>4673.405264</v>
      </c>
      <c r="J43">
        <f t="shared" si="8"/>
        <v>1301.1185110000001</v>
      </c>
      <c r="K43">
        <f t="shared" si="8"/>
        <v>10207.454345</v>
      </c>
      <c r="L43">
        <f t="shared" si="8"/>
        <v>1205.838524</v>
      </c>
      <c r="M43">
        <f t="shared" si="8"/>
        <v>9487.3875580000004</v>
      </c>
      <c r="N43">
        <f t="shared" si="8"/>
        <v>16233.523030999999</v>
      </c>
      <c r="O43">
        <f t="shared" si="8"/>
        <v>41991.920828000002</v>
      </c>
    </row>
    <row r="44" spans="2:20" x14ac:dyDescent="0.3">
      <c r="B44" t="s">
        <v>94</v>
      </c>
      <c r="C44">
        <f>1+SUM($F$17,$L$20)</f>
        <v>1.1499999999999999</v>
      </c>
      <c r="D44">
        <f t="shared" ref="D44:O44" si="9">1+SUM($F$17,$L$20)</f>
        <v>1.1499999999999999</v>
      </c>
      <c r="E44">
        <f t="shared" si="9"/>
        <v>1.1499999999999999</v>
      </c>
      <c r="F44">
        <f t="shared" si="9"/>
        <v>1.1499999999999999</v>
      </c>
      <c r="G44">
        <f t="shared" si="9"/>
        <v>1.1499999999999999</v>
      </c>
      <c r="H44">
        <f t="shared" si="9"/>
        <v>1.1499999999999999</v>
      </c>
      <c r="I44">
        <f t="shared" si="9"/>
        <v>1.1499999999999999</v>
      </c>
      <c r="J44">
        <f t="shared" si="9"/>
        <v>1.1499999999999999</v>
      </c>
      <c r="K44">
        <f t="shared" si="9"/>
        <v>1.1499999999999999</v>
      </c>
      <c r="L44">
        <f t="shared" si="9"/>
        <v>1.1499999999999999</v>
      </c>
      <c r="M44">
        <f t="shared" si="9"/>
        <v>1.1499999999999999</v>
      </c>
      <c r="N44">
        <f t="shared" si="9"/>
        <v>1.1499999999999999</v>
      </c>
      <c r="O44">
        <f t="shared" si="9"/>
        <v>1.1499999999999999</v>
      </c>
    </row>
    <row r="45" spans="2:20" x14ac:dyDescent="0.3">
      <c r="B45" t="s">
        <v>25</v>
      </c>
      <c r="C45">
        <f>1+0-0</f>
        <v>1</v>
      </c>
      <c r="D45">
        <f t="shared" ref="D45:O45" si="10">1+0-0</f>
        <v>1</v>
      </c>
      <c r="E45">
        <f t="shared" si="10"/>
        <v>1</v>
      </c>
      <c r="F45">
        <f t="shared" si="10"/>
        <v>1</v>
      </c>
      <c r="G45">
        <f t="shared" si="10"/>
        <v>1</v>
      </c>
      <c r="H45">
        <f t="shared" si="10"/>
        <v>1</v>
      </c>
      <c r="I45">
        <f t="shared" si="10"/>
        <v>1</v>
      </c>
      <c r="J45">
        <f t="shared" si="10"/>
        <v>1</v>
      </c>
      <c r="K45">
        <f t="shared" si="10"/>
        <v>1</v>
      </c>
      <c r="L45">
        <f t="shared" si="10"/>
        <v>1</v>
      </c>
      <c r="M45">
        <f t="shared" si="10"/>
        <v>1</v>
      </c>
      <c r="N45">
        <f t="shared" si="10"/>
        <v>1</v>
      </c>
      <c r="O45">
        <f t="shared" si="10"/>
        <v>1</v>
      </c>
    </row>
    <row r="46" spans="2:20" x14ac:dyDescent="0.3">
      <c r="B46" t="s">
        <v>104</v>
      </c>
      <c r="C46" t="s">
        <v>103</v>
      </c>
      <c r="D46" t="s">
        <v>103</v>
      </c>
      <c r="E46" t="s">
        <v>103</v>
      </c>
      <c r="F46" t="s">
        <v>103</v>
      </c>
      <c r="G46" t="s">
        <v>103</v>
      </c>
      <c r="H46" t="s">
        <v>103</v>
      </c>
      <c r="I46" t="s">
        <v>102</v>
      </c>
      <c r="J46" t="s">
        <v>102</v>
      </c>
      <c r="K46" t="s">
        <v>102</v>
      </c>
      <c r="L46" t="s">
        <v>102</v>
      </c>
      <c r="M46" t="s">
        <v>102</v>
      </c>
      <c r="N46" t="s">
        <v>102</v>
      </c>
      <c r="O46" t="s">
        <v>102</v>
      </c>
    </row>
    <row r="47" spans="2:20" x14ac:dyDescent="0.3">
      <c r="B47" t="s">
        <v>105</v>
      </c>
      <c r="C47" t="s">
        <v>102</v>
      </c>
      <c r="D47" t="s">
        <v>102</v>
      </c>
      <c r="E47" t="s">
        <v>102</v>
      </c>
      <c r="F47" t="s">
        <v>102</v>
      </c>
    </row>
    <row r="48" spans="2:20" x14ac:dyDescent="0.3">
      <c r="B48" t="s">
        <v>106</v>
      </c>
      <c r="C48">
        <f t="shared" ref="C48:O48" si="11">IF(C46="Fire",$O$13,IF(C46="Ice",$O$14,IF(C46="Electric",$O$15,IF(C46="Ether",$O$16,IF(C46="Physical",$O$17,0)))))</f>
        <v>0</v>
      </c>
      <c r="D48">
        <f t="shared" si="11"/>
        <v>0</v>
      </c>
      <c r="E48">
        <f t="shared" si="11"/>
        <v>0</v>
      </c>
      <c r="F48">
        <f t="shared" si="11"/>
        <v>0</v>
      </c>
      <c r="G48">
        <f t="shared" si="11"/>
        <v>0</v>
      </c>
      <c r="H48">
        <f t="shared" si="11"/>
        <v>0</v>
      </c>
      <c r="I48">
        <f t="shared" si="11"/>
        <v>0</v>
      </c>
      <c r="J48">
        <f t="shared" si="11"/>
        <v>0</v>
      </c>
      <c r="K48">
        <f t="shared" si="11"/>
        <v>0</v>
      </c>
      <c r="L48">
        <f t="shared" si="11"/>
        <v>0</v>
      </c>
      <c r="M48">
        <f t="shared" si="11"/>
        <v>0</v>
      </c>
      <c r="N48">
        <f t="shared" si="11"/>
        <v>0</v>
      </c>
      <c r="O48">
        <f t="shared" si="11"/>
        <v>0</v>
      </c>
    </row>
    <row r="49" spans="2:15" x14ac:dyDescent="0.3">
      <c r="B49" t="s">
        <v>107</v>
      </c>
      <c r="C49">
        <f t="shared" ref="C49:O49" si="12">IF(C47="Fire",$O$13,IF(C47="Ice",$O$14,IF(C47="Electric",$O$15,IF(C47="Ether",$O$16,IF(C47="Physical",$O$17,0)))))</f>
        <v>0</v>
      </c>
      <c r="D49">
        <f t="shared" si="12"/>
        <v>0</v>
      </c>
      <c r="E49">
        <f t="shared" si="12"/>
        <v>0</v>
      </c>
      <c r="F49">
        <f t="shared" si="12"/>
        <v>0</v>
      </c>
      <c r="G49">
        <f t="shared" si="12"/>
        <v>0</v>
      </c>
      <c r="H49">
        <f t="shared" si="12"/>
        <v>0</v>
      </c>
      <c r="I49">
        <f t="shared" si="12"/>
        <v>0</v>
      </c>
      <c r="J49">
        <f t="shared" si="12"/>
        <v>0</v>
      </c>
      <c r="K49">
        <f t="shared" si="12"/>
        <v>0</v>
      </c>
      <c r="L49">
        <f t="shared" si="12"/>
        <v>0</v>
      </c>
      <c r="M49">
        <f t="shared" si="12"/>
        <v>0</v>
      </c>
      <c r="N49">
        <f t="shared" si="12"/>
        <v>0</v>
      </c>
      <c r="O49">
        <f t="shared" si="12"/>
        <v>0</v>
      </c>
    </row>
    <row r="50" spans="2:15" x14ac:dyDescent="0.3">
      <c r="B50" t="s">
        <v>26</v>
      </c>
      <c r="C50">
        <f t="shared" ref="C50:O50" si="13">1+$L$18</f>
        <v>1</v>
      </c>
      <c r="D50">
        <f t="shared" si="13"/>
        <v>1</v>
      </c>
      <c r="E50">
        <f t="shared" si="13"/>
        <v>1</v>
      </c>
      <c r="F50">
        <f t="shared" si="13"/>
        <v>1</v>
      </c>
      <c r="G50">
        <f t="shared" si="13"/>
        <v>1</v>
      </c>
      <c r="H50">
        <f t="shared" si="13"/>
        <v>1</v>
      </c>
      <c r="I50">
        <f t="shared" si="13"/>
        <v>1</v>
      </c>
      <c r="J50">
        <f t="shared" si="13"/>
        <v>1</v>
      </c>
      <c r="K50">
        <f t="shared" si="13"/>
        <v>1</v>
      </c>
      <c r="L50">
        <f t="shared" si="13"/>
        <v>1</v>
      </c>
      <c r="M50">
        <f t="shared" si="13"/>
        <v>1</v>
      </c>
      <c r="N50">
        <f t="shared" si="13"/>
        <v>1</v>
      </c>
      <c r="O50">
        <f t="shared" si="13"/>
        <v>1</v>
      </c>
    </row>
    <row r="51" spans="2:15" x14ac:dyDescent="0.3">
      <c r="B51" t="s">
        <v>95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2:15" x14ac:dyDescent="0.3">
      <c r="B52" t="s">
        <v>108</v>
      </c>
      <c r="C52">
        <f t="shared" ref="C52:O52" si="14">C41/100*$L$9*(1-$O$18)*(1+$F$16)</f>
        <v>21.663</v>
      </c>
      <c r="D52">
        <f t="shared" si="14"/>
        <v>40.753</v>
      </c>
      <c r="E52">
        <f t="shared" si="14"/>
        <v>84.078999999999994</v>
      </c>
      <c r="F52">
        <f t="shared" si="14"/>
        <v>125.57900000000001</v>
      </c>
      <c r="G52">
        <f t="shared" si="14"/>
        <v>47.641999999999996</v>
      </c>
      <c r="H52">
        <f t="shared" si="14"/>
        <v>19.837</v>
      </c>
      <c r="I52">
        <f t="shared" si="14"/>
        <v>176.458</v>
      </c>
      <c r="J52">
        <f t="shared" si="14"/>
        <v>53.451999999999998</v>
      </c>
      <c r="K52">
        <f t="shared" si="14"/>
        <v>366.44499999999999</v>
      </c>
      <c r="L52">
        <f t="shared" si="14"/>
        <v>49.882999999999996</v>
      </c>
      <c r="M52">
        <f t="shared" si="14"/>
        <v>313.90600000000001</v>
      </c>
      <c r="N52">
        <f t="shared" si="14"/>
        <v>178.69900000000001</v>
      </c>
      <c r="O52">
        <f t="shared" si="14"/>
        <v>156.04</v>
      </c>
    </row>
    <row r="53" spans="2:15" x14ac:dyDescent="0.3">
      <c r="B53" t="s">
        <v>24</v>
      </c>
      <c r="C53">
        <f t="shared" ref="C53:O53" si="15">1+MAX(C48:C49)</f>
        <v>1</v>
      </c>
      <c r="D53">
        <f t="shared" si="15"/>
        <v>1</v>
      </c>
      <c r="E53">
        <f t="shared" si="15"/>
        <v>1</v>
      </c>
      <c r="F53">
        <f t="shared" si="15"/>
        <v>1</v>
      </c>
      <c r="G53">
        <f t="shared" si="15"/>
        <v>1</v>
      </c>
      <c r="H53">
        <f t="shared" si="15"/>
        <v>1</v>
      </c>
      <c r="I53">
        <f t="shared" si="15"/>
        <v>1</v>
      </c>
      <c r="J53">
        <f t="shared" si="15"/>
        <v>1</v>
      </c>
      <c r="K53">
        <f t="shared" si="15"/>
        <v>1</v>
      </c>
      <c r="L53">
        <f t="shared" si="15"/>
        <v>1</v>
      </c>
      <c r="M53">
        <f t="shared" si="15"/>
        <v>1</v>
      </c>
      <c r="N53">
        <f t="shared" si="15"/>
        <v>1</v>
      </c>
      <c r="O53">
        <f t="shared" si="15"/>
        <v>1</v>
      </c>
    </row>
    <row r="54" spans="2:15" x14ac:dyDescent="0.3">
      <c r="B54" t="s">
        <v>112</v>
      </c>
      <c r="C54">
        <f>C43*C44*C45*$O$9*C53*C50*(1+$L$6*$L$7)</f>
        <v>612.80879643574815</v>
      </c>
      <c r="D54">
        <f t="shared" ref="D54:O54" si="16">D43*D44*D45*$O$9*D53*D50*(1+$L$6*$L$7)</f>
        <v>662.56158980973964</v>
      </c>
      <c r="E54">
        <f t="shared" si="16"/>
        <v>1379.7299040543478</v>
      </c>
      <c r="F54">
        <f t="shared" si="16"/>
        <v>2058.6735111945477</v>
      </c>
      <c r="G54">
        <f t="shared" si="16"/>
        <v>446.56165760070348</v>
      </c>
      <c r="H54">
        <f t="shared" si="16"/>
        <v>371.32572615710677</v>
      </c>
      <c r="I54">
        <f t="shared" si="16"/>
        <v>1815.3702167680776</v>
      </c>
      <c r="J54">
        <f t="shared" si="16"/>
        <v>505.41557171383982</v>
      </c>
      <c r="K54">
        <f t="shared" si="16"/>
        <v>3965.0549353540728</v>
      </c>
      <c r="L54">
        <f t="shared" si="16"/>
        <v>468.40434737465097</v>
      </c>
      <c r="M54">
        <f t="shared" si="16"/>
        <v>3685.347157971024</v>
      </c>
      <c r="N54">
        <f t="shared" si="16"/>
        <v>6305.8631894621085</v>
      </c>
      <c r="O54">
        <f t="shared" si="16"/>
        <v>16311.635330077872</v>
      </c>
    </row>
    <row r="55" spans="2:15" x14ac:dyDescent="0.3">
      <c r="B55" t="s">
        <v>113</v>
      </c>
      <c r="C55">
        <f>IF(C46="Fire",0.5*10,IF(C46="Ice",5,IF(C46="Electric",1.25*10,IF(C46="Ether",0.625*20,IF(C46="Physical",7.13,0)))))*$L$15</f>
        <v>11136.824710000001</v>
      </c>
    </row>
    <row r="56" spans="2:15" x14ac:dyDescent="0.3">
      <c r="B56" t="s">
        <v>114</v>
      </c>
      <c r="C56">
        <f>IF(C47="Fire",0.5*10,IF(C47="Ice",5,IF(C47="Electric",1.25*10,IF(C47="Ether",0.625*20,IF(C47="Physical",7.13,0)))))*$L$15</f>
        <v>19524.587500000001</v>
      </c>
    </row>
    <row r="57" spans="2:15" x14ac:dyDescent="0.3">
      <c r="B57" t="s">
        <v>115</v>
      </c>
      <c r="C57">
        <f>C55*C44*$O$9*C53*C45*C50*$L$11/100*$L$19</f>
        <v>16099.131962625112</v>
      </c>
    </row>
    <row r="58" spans="2:15" x14ac:dyDescent="0.3">
      <c r="B58" t="s">
        <v>116</v>
      </c>
      <c r="C58">
        <f>C56*C44*$O$9*C53*C45*C50*$L$11/100*$L$19</f>
        <v>28224.284646958462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8C66F-46F2-48DC-815B-E0BBF07CF7B8}">
  <dimension ref="A1:T58"/>
  <sheetViews>
    <sheetView workbookViewId="0">
      <selection activeCell="G58" sqref="G58"/>
    </sheetView>
  </sheetViews>
  <sheetFormatPr defaultRowHeight="14.4" x14ac:dyDescent="0.3"/>
  <cols>
    <col min="2" max="2" width="32" bestFit="1" customWidth="1"/>
    <col min="5" max="5" width="17.77734375" bestFit="1" customWidth="1"/>
    <col min="6" max="6" width="17.88671875" bestFit="1" customWidth="1"/>
    <col min="7" max="10" width="16" customWidth="1"/>
    <col min="11" max="11" width="34.33203125" bestFit="1" customWidth="1"/>
    <col min="12" max="12" width="14" bestFit="1" customWidth="1"/>
    <col min="13" max="13" width="11.77734375" bestFit="1" customWidth="1"/>
    <col min="14" max="14" width="15.6640625" bestFit="1" customWidth="1"/>
    <col min="15" max="15" width="13.21875" bestFit="1" customWidth="1"/>
    <col min="16" max="16" width="17.77734375" bestFit="1" customWidth="1"/>
    <col min="18" max="19" width="18.6640625" bestFit="1" customWidth="1"/>
  </cols>
  <sheetData>
    <row r="1" spans="1:16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2"/>
      <c r="B2" t="s">
        <v>46</v>
      </c>
      <c r="C2" t="s">
        <v>53</v>
      </c>
      <c r="D2" s="2"/>
      <c r="E2" t="s">
        <v>54</v>
      </c>
      <c r="F2" t="s">
        <v>120</v>
      </c>
      <c r="G2" s="2"/>
      <c r="H2" t="s">
        <v>83</v>
      </c>
      <c r="I2" s="3"/>
      <c r="J2" s="4"/>
      <c r="K2" t="s">
        <v>59</v>
      </c>
      <c r="L2" s="3" t="s">
        <v>100</v>
      </c>
      <c r="M2" s="2"/>
      <c r="N2" t="s">
        <v>98</v>
      </c>
      <c r="P2" s="2"/>
    </row>
    <row r="3" spans="1:16" x14ac:dyDescent="0.3">
      <c r="A3" s="2"/>
      <c r="B3" t="s">
        <v>57</v>
      </c>
      <c r="C3">
        <v>7480.4</v>
      </c>
      <c r="D3" s="2"/>
      <c r="E3" t="s">
        <v>57</v>
      </c>
      <c r="G3" s="2"/>
      <c r="H3" t="s">
        <v>84</v>
      </c>
      <c r="I3" s="3"/>
      <c r="J3" s="4"/>
      <c r="K3" t="s">
        <v>57</v>
      </c>
      <c r="L3">
        <f t="shared" ref="L3:L12" si="0">C3+F3</f>
        <v>7480.4</v>
      </c>
      <c r="M3" s="2"/>
      <c r="N3" t="s">
        <v>0</v>
      </c>
      <c r="O3" t="s">
        <v>1</v>
      </c>
      <c r="P3" s="2"/>
    </row>
    <row r="4" spans="1:16" x14ac:dyDescent="0.3">
      <c r="A4" s="2"/>
      <c r="B4" t="s">
        <v>56</v>
      </c>
      <c r="C4">
        <v>603.4</v>
      </c>
      <c r="D4" s="2"/>
      <c r="E4" t="s">
        <v>56</v>
      </c>
      <c r="G4" s="2"/>
      <c r="H4" t="s">
        <v>86</v>
      </c>
      <c r="I4" s="3"/>
      <c r="J4" s="4"/>
      <c r="K4" t="s">
        <v>56</v>
      </c>
      <c r="L4">
        <f t="shared" si="0"/>
        <v>603.4</v>
      </c>
      <c r="M4" s="2"/>
      <c r="N4" t="s">
        <v>2</v>
      </c>
      <c r="O4">
        <v>70</v>
      </c>
      <c r="P4" s="2"/>
    </row>
    <row r="5" spans="1:16" x14ac:dyDescent="0.3">
      <c r="A5" s="2"/>
      <c r="B5" t="s">
        <v>55</v>
      </c>
      <c r="C5">
        <v>825.97</v>
      </c>
      <c r="D5" s="2"/>
      <c r="E5" t="s">
        <v>55</v>
      </c>
      <c r="F5">
        <v>594</v>
      </c>
      <c r="G5" s="2"/>
      <c r="H5" t="s">
        <v>85</v>
      </c>
      <c r="I5" s="3"/>
      <c r="J5" s="4"/>
      <c r="K5" t="s">
        <v>55</v>
      </c>
      <c r="L5">
        <f t="shared" si="0"/>
        <v>1419.97</v>
      </c>
      <c r="M5" s="2"/>
      <c r="N5" t="s">
        <v>3</v>
      </c>
      <c r="O5">
        <v>1000</v>
      </c>
      <c r="P5" s="2"/>
    </row>
    <row r="6" spans="1:16" x14ac:dyDescent="0.3">
      <c r="A6" s="2"/>
      <c r="B6" t="s">
        <v>47</v>
      </c>
      <c r="C6">
        <f>5/100</f>
        <v>0.05</v>
      </c>
      <c r="D6" s="2"/>
      <c r="E6" t="s">
        <v>47</v>
      </c>
      <c r="G6" s="2"/>
      <c r="H6" t="s">
        <v>87</v>
      </c>
      <c r="I6" s="3"/>
      <c r="J6" s="4"/>
      <c r="K6" t="s">
        <v>47</v>
      </c>
      <c r="L6">
        <f t="shared" si="0"/>
        <v>0.05</v>
      </c>
      <c r="M6" s="2"/>
      <c r="N6" t="s">
        <v>4</v>
      </c>
      <c r="O6">
        <v>36</v>
      </c>
      <c r="P6" s="2"/>
    </row>
    <row r="7" spans="1:16" x14ac:dyDescent="0.3">
      <c r="A7" s="2"/>
      <c r="B7" t="s">
        <v>48</v>
      </c>
      <c r="C7">
        <f>50/100</f>
        <v>0.5</v>
      </c>
      <c r="D7" s="2"/>
      <c r="E7" t="s">
        <v>48</v>
      </c>
      <c r="G7" s="2"/>
      <c r="H7" t="s">
        <v>88</v>
      </c>
      <c r="I7" s="3"/>
      <c r="J7" s="4"/>
      <c r="K7" t="s">
        <v>48</v>
      </c>
      <c r="L7">
        <f t="shared" si="0"/>
        <v>0.5</v>
      </c>
      <c r="M7" s="2"/>
      <c r="N7" t="s">
        <v>5</v>
      </c>
      <c r="O7">
        <v>571.70000000000005</v>
      </c>
      <c r="P7" s="2"/>
    </row>
    <row r="8" spans="1:16" x14ac:dyDescent="0.3">
      <c r="A8" s="2"/>
      <c r="B8" t="s">
        <v>49</v>
      </c>
      <c r="C8">
        <v>0</v>
      </c>
      <c r="D8" s="2"/>
      <c r="E8" t="s">
        <v>49</v>
      </c>
      <c r="G8" s="2"/>
      <c r="H8" t="s">
        <v>89</v>
      </c>
      <c r="I8" s="3"/>
      <c r="J8" s="4"/>
      <c r="K8" t="s">
        <v>49</v>
      </c>
      <c r="L8">
        <f t="shared" si="0"/>
        <v>0</v>
      </c>
      <c r="M8" s="2"/>
      <c r="N8" s="5" t="s">
        <v>96</v>
      </c>
      <c r="O8" s="5">
        <f>$O$7*(1-$F$8)-$I$12</f>
        <v>571.70000000000005</v>
      </c>
      <c r="P8" s="2"/>
    </row>
    <row r="9" spans="1:16" x14ac:dyDescent="0.3">
      <c r="A9" s="2"/>
      <c r="B9" t="s">
        <v>31</v>
      </c>
      <c r="C9">
        <v>83</v>
      </c>
      <c r="D9" s="2"/>
      <c r="E9" t="s">
        <v>31</v>
      </c>
      <c r="G9" s="2"/>
      <c r="H9" t="s">
        <v>90</v>
      </c>
      <c r="I9" s="3"/>
      <c r="J9" s="4"/>
      <c r="K9" t="s">
        <v>31</v>
      </c>
      <c r="L9">
        <f t="shared" si="0"/>
        <v>83</v>
      </c>
      <c r="M9" s="2"/>
      <c r="N9" s="5" t="s">
        <v>23</v>
      </c>
      <c r="O9" s="5">
        <f>$L$16/($L$16+$O$8)</f>
        <v>0.32954145654978301</v>
      </c>
      <c r="P9" s="2"/>
    </row>
    <row r="10" spans="1:16" x14ac:dyDescent="0.3">
      <c r="A10" s="2"/>
      <c r="B10" t="s">
        <v>50</v>
      </c>
      <c r="C10">
        <v>151</v>
      </c>
      <c r="D10" s="2"/>
      <c r="E10" t="s">
        <v>50</v>
      </c>
      <c r="G10" s="2"/>
      <c r="H10" t="s">
        <v>92</v>
      </c>
      <c r="I10" s="3"/>
      <c r="J10" s="4"/>
      <c r="K10" t="s">
        <v>50</v>
      </c>
      <c r="L10">
        <f t="shared" si="0"/>
        <v>151</v>
      </c>
      <c r="M10" s="2"/>
      <c r="N10" t="s">
        <v>6</v>
      </c>
      <c r="O10">
        <v>1003</v>
      </c>
      <c r="P10" s="2"/>
    </row>
    <row r="11" spans="1:16" x14ac:dyDescent="0.3">
      <c r="A11" s="2"/>
      <c r="B11" t="s">
        <v>51</v>
      </c>
      <c r="C11">
        <v>116</v>
      </c>
      <c r="D11" s="2"/>
      <c r="E11" t="s">
        <v>51</v>
      </c>
      <c r="F11">
        <f>25*3</f>
        <v>75</v>
      </c>
      <c r="G11" s="2"/>
      <c r="H11" t="s">
        <v>91</v>
      </c>
      <c r="I11" s="3"/>
      <c r="J11" s="4"/>
      <c r="K11" t="s">
        <v>51</v>
      </c>
      <c r="L11">
        <f t="shared" si="0"/>
        <v>191</v>
      </c>
      <c r="M11" s="2"/>
      <c r="N11" t="s">
        <v>7</v>
      </c>
      <c r="O11">
        <v>600</v>
      </c>
      <c r="P11" s="2"/>
    </row>
    <row r="12" spans="1:16" x14ac:dyDescent="0.3">
      <c r="A12" s="2"/>
      <c r="B12" t="s">
        <v>52</v>
      </c>
      <c r="C12">
        <v>1.2</v>
      </c>
      <c r="D12" s="2"/>
      <c r="E12" t="s">
        <v>52</v>
      </c>
      <c r="G12" s="2"/>
      <c r="H12" t="s">
        <v>99</v>
      </c>
      <c r="I12" s="3"/>
      <c r="J12" s="4"/>
      <c r="K12" t="s">
        <v>52</v>
      </c>
      <c r="L12">
        <f t="shared" si="0"/>
        <v>1.2</v>
      </c>
      <c r="M12" s="2"/>
      <c r="N12" t="s">
        <v>8</v>
      </c>
      <c r="O12">
        <v>1002</v>
      </c>
      <c r="P12" s="2"/>
    </row>
    <row r="13" spans="1:16" x14ac:dyDescent="0.3">
      <c r="A13" s="2"/>
      <c r="B13" s="2"/>
      <c r="C13" s="2"/>
      <c r="D13" s="2"/>
      <c r="E13" t="s">
        <v>81</v>
      </c>
      <c r="G13" s="2"/>
      <c r="H13" s="3"/>
      <c r="I13" s="3"/>
      <c r="J13" s="2"/>
      <c r="K13" t="s">
        <v>80</v>
      </c>
      <c r="L13">
        <f>((C3+F3)*(1+F13)+I3)*(1+I6)+I9</f>
        <v>7480.4</v>
      </c>
      <c r="M13" s="2"/>
      <c r="N13" t="s">
        <v>9</v>
      </c>
      <c r="O13" s="1">
        <v>0</v>
      </c>
      <c r="P13" s="2"/>
    </row>
    <row r="14" spans="1:16" x14ac:dyDescent="0.3">
      <c r="A14" s="2"/>
      <c r="B14" s="2"/>
      <c r="C14" s="2"/>
      <c r="D14" s="2"/>
      <c r="E14" t="s">
        <v>82</v>
      </c>
      <c r="G14" s="2"/>
      <c r="H14" s="2"/>
      <c r="I14" s="2"/>
      <c r="J14" s="2"/>
      <c r="K14" t="s">
        <v>79</v>
      </c>
      <c r="L14">
        <f>((C4+F4)*(1+F14)+I4)*(1+I7)+I10</f>
        <v>603.4</v>
      </c>
      <c r="M14" s="2"/>
      <c r="N14" t="s">
        <v>10</v>
      </c>
      <c r="O14" s="1">
        <v>-0.2</v>
      </c>
      <c r="P14" s="2"/>
    </row>
    <row r="15" spans="1:16" x14ac:dyDescent="0.3">
      <c r="A15" s="2"/>
      <c r="B15" s="2"/>
      <c r="C15" s="2"/>
      <c r="D15" s="2"/>
      <c r="E15" t="s">
        <v>58</v>
      </c>
      <c r="F15">
        <f>0.16</f>
        <v>0.16</v>
      </c>
      <c r="G15" s="2"/>
      <c r="H15" s="2"/>
      <c r="I15" s="2"/>
      <c r="J15" s="2"/>
      <c r="K15" t="s">
        <v>60</v>
      </c>
      <c r="L15">
        <f>((C5+F5)*(1+F15)+I5)*(1+I8)+I11</f>
        <v>1647.1651999999999</v>
      </c>
      <c r="M15" s="2"/>
      <c r="N15" t="s">
        <v>11</v>
      </c>
      <c r="O15" s="1">
        <v>0</v>
      </c>
      <c r="P15" s="2"/>
    </row>
    <row r="16" spans="1:16" x14ac:dyDescent="0.3">
      <c r="A16" s="2"/>
      <c r="B16" s="2"/>
      <c r="C16" s="2"/>
      <c r="D16" s="2"/>
      <c r="E16" s="3" t="s">
        <v>110</v>
      </c>
      <c r="F16" s="3"/>
      <c r="G16" s="2"/>
      <c r="H16" s="2"/>
      <c r="I16" s="2"/>
      <c r="J16" s="2"/>
      <c r="K16" t="s">
        <v>97</v>
      </c>
      <c r="L16">
        <f>Scaling!$B$20</f>
        <v>281</v>
      </c>
      <c r="M16" s="2"/>
      <c r="N16" t="s">
        <v>12</v>
      </c>
      <c r="O16" s="1">
        <v>-0.2</v>
      </c>
      <c r="P16" s="2"/>
    </row>
    <row r="17" spans="1:20" x14ac:dyDescent="0.3">
      <c r="A17" s="2"/>
      <c r="B17" s="2"/>
      <c r="C17" s="2"/>
      <c r="D17" s="2"/>
      <c r="E17" s="3" t="s">
        <v>117</v>
      </c>
      <c r="F17" s="3">
        <f>0.25</f>
        <v>0.25</v>
      </c>
      <c r="G17" s="2"/>
      <c r="H17" s="2"/>
      <c r="I17" s="2"/>
      <c r="J17" s="2"/>
      <c r="K17" s="3" t="s">
        <v>101</v>
      </c>
      <c r="L17" s="3"/>
      <c r="M17" s="2"/>
      <c r="N17" t="s">
        <v>13</v>
      </c>
      <c r="O17" s="1">
        <v>0</v>
      </c>
      <c r="P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3" t="s">
        <v>21</v>
      </c>
      <c r="L18" s="3">
        <v>0</v>
      </c>
      <c r="M18" s="2"/>
      <c r="N18" t="s">
        <v>109</v>
      </c>
      <c r="O18" s="1">
        <v>0</v>
      </c>
      <c r="P18" s="2"/>
    </row>
    <row r="19" spans="1:2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16</v>
      </c>
      <c r="L19" s="3">
        <f>1+0.0169*(60-1)</f>
        <v>1.9970999999999999</v>
      </c>
      <c r="M19" s="2"/>
      <c r="N19" t="s">
        <v>22</v>
      </c>
      <c r="O19" s="1">
        <v>0</v>
      </c>
      <c r="P19" s="2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3" t="s">
        <v>117</v>
      </c>
      <c r="L20" s="3">
        <v>0</v>
      </c>
      <c r="M20" s="2"/>
      <c r="O20" s="1"/>
      <c r="P20" s="2"/>
    </row>
    <row r="21" spans="1:2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3" spans="1:20" x14ac:dyDescent="0.3">
      <c r="B23" t="s">
        <v>61</v>
      </c>
    </row>
    <row r="24" spans="1:20" hidden="1" x14ac:dyDescent="0.3">
      <c r="B24" t="s">
        <v>62</v>
      </c>
      <c r="C24" t="s">
        <v>63</v>
      </c>
      <c r="D24" t="s">
        <v>64</v>
      </c>
      <c r="E24" t="s">
        <v>78</v>
      </c>
      <c r="F24" t="s">
        <v>93</v>
      </c>
      <c r="G24" t="s">
        <v>94</v>
      </c>
      <c r="H24" t="s">
        <v>104</v>
      </c>
      <c r="I24" t="s">
        <v>105</v>
      </c>
      <c r="J24" t="s">
        <v>106</v>
      </c>
      <c r="K24" t="s">
        <v>107</v>
      </c>
      <c r="L24" t="s">
        <v>26</v>
      </c>
      <c r="M24" t="s">
        <v>95</v>
      </c>
      <c r="N24" t="s">
        <v>108</v>
      </c>
      <c r="O24" t="s">
        <v>24</v>
      </c>
      <c r="P24" t="s">
        <v>112</v>
      </c>
      <c r="Q24" t="s">
        <v>111</v>
      </c>
    </row>
    <row r="25" spans="1:20" hidden="1" x14ac:dyDescent="0.3">
      <c r="B25" t="s">
        <v>65</v>
      </c>
      <c r="C25">
        <v>101</v>
      </c>
      <c r="D25">
        <v>26.1</v>
      </c>
      <c r="F25">
        <f>C25/100*$L$15</f>
        <v>1663.6368519999999</v>
      </c>
      <c r="G25">
        <f>1+0</f>
        <v>1</v>
      </c>
      <c r="H25" t="s">
        <v>103</v>
      </c>
      <c r="I25" t="s">
        <v>102</v>
      </c>
      <c r="J25">
        <f>IF(H25="Fire",$O$13,IF(H25="Ice",$O$14,IF(H25="Electric",$O$15,IF(H25="Ether",$O$16,IF(H25="Physical",$O$17,0)))))</f>
        <v>0</v>
      </c>
      <c r="K25">
        <f>IF(I25="Fire",$O$13,IF(I25="Ice",$O$14,IF(I25="Electric",$O$15,IF(I25="Ether",$O$16,IF(I25="Physical",$O$17,0)))))</f>
        <v>0</v>
      </c>
      <c r="L25">
        <f>1+$L$18</f>
        <v>1</v>
      </c>
      <c r="M25">
        <v>1</v>
      </c>
      <c r="N25">
        <f t="shared" ref="N25:N37" si="1">D25/100*$L$9*(1-$O$18)*(1+$F$16)</f>
        <v>21.663</v>
      </c>
      <c r="O25">
        <f>1+MAX(J25:K25)</f>
        <v>1</v>
      </c>
      <c r="P25">
        <f>F25*G25*$O$9*O25*(1+$L$6*$L$7)</f>
        <v>561.94324416242512</v>
      </c>
      <c r="Q25">
        <f>F25*G25*$O$9*O25*L25</f>
        <v>548.23731137797574</v>
      </c>
      <c r="T25" s="1"/>
    </row>
    <row r="26" spans="1:20" hidden="1" x14ac:dyDescent="0.3">
      <c r="B26" t="s">
        <v>66</v>
      </c>
      <c r="C26">
        <v>109.2</v>
      </c>
      <c r="D26">
        <v>49.1</v>
      </c>
      <c r="F26">
        <f t="shared" ref="F26:F37" si="2">C26/100*$L$15</f>
        <v>1798.7043983999999</v>
      </c>
      <c r="G26">
        <f t="shared" ref="G26:G37" si="3">1+0</f>
        <v>1</v>
      </c>
      <c r="H26" t="s">
        <v>103</v>
      </c>
      <c r="I26" t="s">
        <v>102</v>
      </c>
      <c r="J26">
        <f t="shared" ref="J26:K37" si="4">IF(H26="Fire",$O$13,IF(H26="Ice",$O$14,IF(H26="Electric",$O$15,IF(H26="Ether",$O$16,IF(H26="Physical",$O$17,0)))))</f>
        <v>0</v>
      </c>
      <c r="K26">
        <f t="shared" si="4"/>
        <v>0</v>
      </c>
      <c r="L26">
        <f t="shared" ref="L26:L37" si="5">1+$L$18</f>
        <v>1</v>
      </c>
      <c r="M26">
        <v>1</v>
      </c>
      <c r="N26">
        <f t="shared" si="1"/>
        <v>40.753</v>
      </c>
      <c r="O26">
        <f t="shared" ref="O26:O37" si="6">1+MAX(J26:K26)</f>
        <v>1</v>
      </c>
      <c r="P26">
        <f t="shared" ref="P26:P37" si="7">F26*G26*$O$9*O26*(1+$L$6*$L$7)</f>
        <v>607.56635903501808</v>
      </c>
    </row>
    <row r="27" spans="1:20" hidden="1" x14ac:dyDescent="0.3">
      <c r="B27" t="s">
        <v>67</v>
      </c>
      <c r="C27">
        <v>227.4</v>
      </c>
      <c r="D27">
        <v>101.3</v>
      </c>
      <c r="F27">
        <f t="shared" si="2"/>
        <v>3745.6536647999997</v>
      </c>
      <c r="G27">
        <f t="shared" si="3"/>
        <v>1</v>
      </c>
      <c r="H27" t="s">
        <v>103</v>
      </c>
      <c r="I27" t="s">
        <v>102</v>
      </c>
      <c r="J27">
        <f t="shared" si="4"/>
        <v>0</v>
      </c>
      <c r="K27">
        <f t="shared" si="4"/>
        <v>0</v>
      </c>
      <c r="L27">
        <f t="shared" si="5"/>
        <v>1</v>
      </c>
      <c r="M27">
        <v>1</v>
      </c>
      <c r="N27">
        <f t="shared" si="1"/>
        <v>84.078999999999994</v>
      </c>
      <c r="O27">
        <f t="shared" si="6"/>
        <v>1</v>
      </c>
      <c r="P27">
        <f t="shared" si="7"/>
        <v>1265.2068685399552</v>
      </c>
    </row>
    <row r="28" spans="1:20" hidden="1" x14ac:dyDescent="0.3">
      <c r="B28" t="s">
        <v>68</v>
      </c>
      <c r="C28">
        <v>339.3</v>
      </c>
      <c r="D28">
        <v>151.30000000000001</v>
      </c>
      <c r="F28">
        <f t="shared" si="2"/>
        <v>5588.8315235999999</v>
      </c>
      <c r="G28">
        <f t="shared" si="3"/>
        <v>1</v>
      </c>
      <c r="H28" t="s">
        <v>103</v>
      </c>
      <c r="I28" t="s">
        <v>102</v>
      </c>
      <c r="J28">
        <f t="shared" si="4"/>
        <v>0</v>
      </c>
      <c r="K28">
        <f t="shared" si="4"/>
        <v>0</v>
      </c>
      <c r="L28">
        <f t="shared" si="5"/>
        <v>1</v>
      </c>
      <c r="M28">
        <v>1</v>
      </c>
      <c r="N28">
        <f t="shared" si="1"/>
        <v>125.57900000000001</v>
      </c>
      <c r="O28">
        <f t="shared" si="6"/>
        <v>1</v>
      </c>
      <c r="P28">
        <f t="shared" si="7"/>
        <v>1887.795472715949</v>
      </c>
    </row>
    <row r="29" spans="1:20" hidden="1" x14ac:dyDescent="0.3">
      <c r="B29" t="s">
        <v>69</v>
      </c>
      <c r="C29">
        <v>73.599999999999994</v>
      </c>
      <c r="D29">
        <v>57.4</v>
      </c>
      <c r="F29">
        <f t="shared" si="2"/>
        <v>1212.3135872</v>
      </c>
      <c r="G29">
        <f t="shared" si="3"/>
        <v>1</v>
      </c>
      <c r="H29" t="s">
        <v>103</v>
      </c>
      <c r="J29">
        <f t="shared" si="4"/>
        <v>0</v>
      </c>
      <c r="K29">
        <f t="shared" si="4"/>
        <v>0</v>
      </c>
      <c r="L29">
        <f t="shared" si="5"/>
        <v>1</v>
      </c>
      <c r="M29">
        <v>1</v>
      </c>
      <c r="N29">
        <f t="shared" si="1"/>
        <v>47.641999999999996</v>
      </c>
      <c r="O29">
        <f t="shared" si="6"/>
        <v>1</v>
      </c>
      <c r="P29">
        <f t="shared" si="7"/>
        <v>409.49527495400491</v>
      </c>
      <c r="T29" s="1"/>
    </row>
    <row r="30" spans="1:20" hidden="1" x14ac:dyDescent="0.3">
      <c r="B30" t="s">
        <v>77</v>
      </c>
      <c r="C30">
        <v>61.2</v>
      </c>
      <c r="D30">
        <v>23.9</v>
      </c>
      <c r="F30">
        <f t="shared" si="2"/>
        <v>1008.0651023999999</v>
      </c>
      <c r="G30">
        <f t="shared" si="3"/>
        <v>1</v>
      </c>
      <c r="H30" t="s">
        <v>103</v>
      </c>
      <c r="J30">
        <f t="shared" si="4"/>
        <v>0</v>
      </c>
      <c r="K30">
        <f t="shared" si="4"/>
        <v>0</v>
      </c>
      <c r="L30">
        <f t="shared" si="5"/>
        <v>1</v>
      </c>
      <c r="M30">
        <v>1</v>
      </c>
      <c r="N30">
        <f t="shared" si="1"/>
        <v>19.837</v>
      </c>
      <c r="O30">
        <f t="shared" si="6"/>
        <v>1</v>
      </c>
      <c r="P30">
        <f t="shared" si="7"/>
        <v>340.50422319544964</v>
      </c>
      <c r="T30" s="1"/>
    </row>
    <row r="31" spans="1:20" hidden="1" x14ac:dyDescent="0.3">
      <c r="B31" t="s">
        <v>76</v>
      </c>
      <c r="C31">
        <v>299.2</v>
      </c>
      <c r="D31">
        <v>212.6</v>
      </c>
      <c r="F31">
        <f t="shared" si="2"/>
        <v>4928.3182784000001</v>
      </c>
      <c r="G31">
        <f t="shared" si="3"/>
        <v>1</v>
      </c>
      <c r="H31" t="s">
        <v>102</v>
      </c>
      <c r="J31">
        <f t="shared" si="4"/>
        <v>0</v>
      </c>
      <c r="K31">
        <f t="shared" si="4"/>
        <v>0</v>
      </c>
      <c r="L31">
        <f t="shared" si="5"/>
        <v>1</v>
      </c>
      <c r="M31">
        <v>1</v>
      </c>
      <c r="N31">
        <f t="shared" si="1"/>
        <v>176.458</v>
      </c>
      <c r="O31">
        <f t="shared" si="6"/>
        <v>1</v>
      </c>
      <c r="P31">
        <f t="shared" si="7"/>
        <v>1664.6873133999761</v>
      </c>
      <c r="T31" s="1"/>
    </row>
    <row r="32" spans="1:20" hidden="1" x14ac:dyDescent="0.3">
      <c r="B32" t="s">
        <v>71</v>
      </c>
      <c r="C32">
        <v>83.3</v>
      </c>
      <c r="D32">
        <v>64.400000000000006</v>
      </c>
      <c r="F32">
        <f t="shared" si="2"/>
        <v>1372.0886115999999</v>
      </c>
      <c r="G32">
        <f t="shared" si="3"/>
        <v>1</v>
      </c>
      <c r="H32" t="s">
        <v>102</v>
      </c>
      <c r="J32">
        <f t="shared" si="4"/>
        <v>0</v>
      </c>
      <c r="K32">
        <f t="shared" si="4"/>
        <v>0</v>
      </c>
      <c r="L32">
        <f t="shared" si="5"/>
        <v>1</v>
      </c>
      <c r="M32">
        <v>1</v>
      </c>
      <c r="N32">
        <f t="shared" si="1"/>
        <v>53.451999999999998</v>
      </c>
      <c r="O32">
        <f t="shared" si="6"/>
        <v>1</v>
      </c>
      <c r="P32">
        <f t="shared" si="7"/>
        <v>463.46408157158425</v>
      </c>
      <c r="T32" s="1"/>
    </row>
    <row r="33" spans="2:20" hidden="1" x14ac:dyDescent="0.3">
      <c r="B33" t="s">
        <v>70</v>
      </c>
      <c r="C33">
        <v>653.5</v>
      </c>
      <c r="D33">
        <v>441.5</v>
      </c>
      <c r="F33">
        <f t="shared" si="2"/>
        <v>10764.224581999999</v>
      </c>
      <c r="G33">
        <f t="shared" si="3"/>
        <v>1</v>
      </c>
      <c r="H33" t="s">
        <v>102</v>
      </c>
      <c r="J33">
        <f t="shared" si="4"/>
        <v>0</v>
      </c>
      <c r="K33">
        <f t="shared" si="4"/>
        <v>0</v>
      </c>
      <c r="L33">
        <f t="shared" si="5"/>
        <v>1</v>
      </c>
      <c r="M33">
        <v>1</v>
      </c>
      <c r="N33">
        <f t="shared" si="1"/>
        <v>366.44499999999999</v>
      </c>
      <c r="O33">
        <f t="shared" si="6"/>
        <v>1</v>
      </c>
      <c r="P33">
        <f t="shared" si="7"/>
        <v>3635.9397035657898</v>
      </c>
      <c r="T33" s="1"/>
    </row>
    <row r="34" spans="2:20" hidden="1" x14ac:dyDescent="0.3">
      <c r="B34" t="s">
        <v>72</v>
      </c>
      <c r="C34">
        <v>77.2</v>
      </c>
      <c r="D34">
        <v>60.1</v>
      </c>
      <c r="F34">
        <f t="shared" si="2"/>
        <v>1271.6115344</v>
      </c>
      <c r="G34">
        <f t="shared" si="3"/>
        <v>1</v>
      </c>
      <c r="H34" t="s">
        <v>102</v>
      </c>
      <c r="J34">
        <f t="shared" si="4"/>
        <v>0</v>
      </c>
      <c r="K34">
        <f t="shared" si="4"/>
        <v>0</v>
      </c>
      <c r="L34">
        <f t="shared" si="5"/>
        <v>1</v>
      </c>
      <c r="M34">
        <v>1</v>
      </c>
      <c r="N34">
        <f t="shared" si="1"/>
        <v>49.882999999999996</v>
      </c>
      <c r="O34">
        <f t="shared" si="6"/>
        <v>1</v>
      </c>
      <c r="P34">
        <f t="shared" si="7"/>
        <v>429.52493514197243</v>
      </c>
      <c r="T34" s="1"/>
    </row>
    <row r="35" spans="2:20" hidden="1" x14ac:dyDescent="0.3">
      <c r="B35" t="s">
        <v>73</v>
      </c>
      <c r="C35">
        <f>303.7*2</f>
        <v>607.4</v>
      </c>
      <c r="D35">
        <f>189.1*2</f>
        <v>378.2</v>
      </c>
      <c r="E35">
        <v>40</v>
      </c>
      <c r="F35">
        <f t="shared" si="2"/>
        <v>10004.8814248</v>
      </c>
      <c r="G35">
        <f t="shared" si="3"/>
        <v>1</v>
      </c>
      <c r="H35" t="s">
        <v>102</v>
      </c>
      <c r="J35">
        <f t="shared" si="4"/>
        <v>0</v>
      </c>
      <c r="K35">
        <f t="shared" si="4"/>
        <v>0</v>
      </c>
      <c r="L35">
        <f t="shared" si="5"/>
        <v>1</v>
      </c>
      <c r="M35">
        <v>1</v>
      </c>
      <c r="N35">
        <f t="shared" si="1"/>
        <v>313.90600000000001</v>
      </c>
      <c r="O35">
        <f t="shared" si="6"/>
        <v>1</v>
      </c>
      <c r="P35">
        <f t="shared" si="7"/>
        <v>3379.4487772698717</v>
      </c>
      <c r="T35" s="1"/>
    </row>
    <row r="36" spans="2:20" hidden="1" x14ac:dyDescent="0.3">
      <c r="B36" t="s">
        <v>74</v>
      </c>
      <c r="C36">
        <v>1039.3</v>
      </c>
      <c r="D36">
        <v>215.3</v>
      </c>
      <c r="F36">
        <f t="shared" si="2"/>
        <v>17118.987923599998</v>
      </c>
      <c r="G36">
        <f t="shared" si="3"/>
        <v>1</v>
      </c>
      <c r="H36" t="s">
        <v>102</v>
      </c>
      <c r="J36">
        <f t="shared" si="4"/>
        <v>0</v>
      </c>
      <c r="K36">
        <f t="shared" si="4"/>
        <v>0</v>
      </c>
      <c r="L36">
        <f t="shared" si="5"/>
        <v>1</v>
      </c>
      <c r="M36">
        <v>1</v>
      </c>
      <c r="N36">
        <f t="shared" si="1"/>
        <v>178.69900000000001</v>
      </c>
      <c r="O36">
        <f t="shared" si="6"/>
        <v>1</v>
      </c>
      <c r="P36">
        <f t="shared" si="7"/>
        <v>5782.4516203763205</v>
      </c>
      <c r="T36" s="1"/>
    </row>
    <row r="37" spans="2:20" hidden="1" x14ac:dyDescent="0.3">
      <c r="B37" t="s">
        <v>75</v>
      </c>
      <c r="C37">
        <v>2688.4</v>
      </c>
      <c r="D37">
        <v>188</v>
      </c>
      <c r="F37">
        <f t="shared" si="2"/>
        <v>44282.389236800002</v>
      </c>
      <c r="G37">
        <f t="shared" si="3"/>
        <v>1</v>
      </c>
      <c r="H37" t="s">
        <v>102</v>
      </c>
      <c r="J37">
        <f t="shared" si="4"/>
        <v>0</v>
      </c>
      <c r="K37">
        <f t="shared" si="4"/>
        <v>0</v>
      </c>
      <c r="L37">
        <f t="shared" si="5"/>
        <v>1</v>
      </c>
      <c r="M37">
        <v>1</v>
      </c>
      <c r="N37">
        <f t="shared" si="1"/>
        <v>156.04</v>
      </c>
      <c r="O37">
        <f t="shared" si="6"/>
        <v>1</v>
      </c>
      <c r="P37">
        <f t="shared" si="7"/>
        <v>14957.705124814493</v>
      </c>
      <c r="T37" s="1"/>
    </row>
    <row r="38" spans="2:20" hidden="1" x14ac:dyDescent="0.3">
      <c r="T38" s="1"/>
    </row>
    <row r="39" spans="2:20" x14ac:dyDescent="0.3">
      <c r="B39" t="s">
        <v>62</v>
      </c>
      <c r="C39" t="s">
        <v>65</v>
      </c>
      <c r="D39" t="s">
        <v>66</v>
      </c>
      <c r="E39" t="s">
        <v>67</v>
      </c>
      <c r="F39" t="s">
        <v>68</v>
      </c>
      <c r="G39" t="s">
        <v>69</v>
      </c>
      <c r="H39" t="s">
        <v>77</v>
      </c>
      <c r="I39" t="s">
        <v>76</v>
      </c>
      <c r="J39" t="s">
        <v>71</v>
      </c>
      <c r="K39" t="s">
        <v>70</v>
      </c>
      <c r="L39" t="s">
        <v>72</v>
      </c>
      <c r="M39" t="s">
        <v>73</v>
      </c>
      <c r="N39" t="s">
        <v>74</v>
      </c>
      <c r="O39" t="s">
        <v>75</v>
      </c>
    </row>
    <row r="40" spans="2:20" x14ac:dyDescent="0.3">
      <c r="B40" t="s">
        <v>63</v>
      </c>
      <c r="C40">
        <v>101</v>
      </c>
      <c r="D40">
        <v>109.2</v>
      </c>
      <c r="E40">
        <v>227.4</v>
      </c>
      <c r="F40">
        <v>339.3</v>
      </c>
      <c r="G40">
        <v>73.599999999999994</v>
      </c>
      <c r="H40">
        <v>61.2</v>
      </c>
      <c r="I40">
        <v>299.2</v>
      </c>
      <c r="J40">
        <v>83.3</v>
      </c>
      <c r="K40">
        <v>653.5</v>
      </c>
      <c r="L40">
        <v>77.2</v>
      </c>
      <c r="M40">
        <f>303.7*2</f>
        <v>607.4</v>
      </c>
      <c r="N40">
        <v>1039.3</v>
      </c>
      <c r="O40">
        <v>2688.4</v>
      </c>
    </row>
    <row r="41" spans="2:20" x14ac:dyDescent="0.3">
      <c r="B41" t="s">
        <v>64</v>
      </c>
      <c r="C41">
        <v>26.1</v>
      </c>
      <c r="D41">
        <v>49.1</v>
      </c>
      <c r="E41">
        <v>101.3</v>
      </c>
      <c r="F41">
        <v>151.30000000000001</v>
      </c>
      <c r="G41">
        <v>57.4</v>
      </c>
      <c r="H41">
        <v>23.9</v>
      </c>
      <c r="I41">
        <v>212.6</v>
      </c>
      <c r="J41">
        <v>64.400000000000006</v>
      </c>
      <c r="K41">
        <v>441.5</v>
      </c>
      <c r="L41">
        <v>60.1</v>
      </c>
      <c r="M41">
        <f>189.1*2</f>
        <v>378.2</v>
      </c>
      <c r="N41">
        <v>215.3</v>
      </c>
      <c r="O41">
        <v>188</v>
      </c>
    </row>
    <row r="42" spans="2:20" x14ac:dyDescent="0.3">
      <c r="B42" t="s">
        <v>78</v>
      </c>
      <c r="M42">
        <v>40</v>
      </c>
    </row>
    <row r="43" spans="2:20" x14ac:dyDescent="0.3">
      <c r="B43" t="s">
        <v>93</v>
      </c>
      <c r="C43">
        <f t="shared" ref="C43:O43" si="8">C40/100*$L$15</f>
        <v>1663.6368519999999</v>
      </c>
      <c r="D43">
        <f t="shared" si="8"/>
        <v>1798.7043983999999</v>
      </c>
      <c r="E43">
        <f t="shared" si="8"/>
        <v>3745.6536647999997</v>
      </c>
      <c r="F43">
        <f t="shared" si="8"/>
        <v>5588.8315235999999</v>
      </c>
      <c r="G43">
        <f t="shared" si="8"/>
        <v>1212.3135872</v>
      </c>
      <c r="H43">
        <f t="shared" si="8"/>
        <v>1008.0651023999999</v>
      </c>
      <c r="I43">
        <f t="shared" si="8"/>
        <v>4928.3182784000001</v>
      </c>
      <c r="J43">
        <f t="shared" si="8"/>
        <v>1372.0886115999999</v>
      </c>
      <c r="K43">
        <f t="shared" si="8"/>
        <v>10764.224581999999</v>
      </c>
      <c r="L43">
        <f t="shared" si="8"/>
        <v>1271.6115344</v>
      </c>
      <c r="M43">
        <f t="shared" si="8"/>
        <v>10004.8814248</v>
      </c>
      <c r="N43">
        <f t="shared" si="8"/>
        <v>17118.987923599998</v>
      </c>
      <c r="O43">
        <f t="shared" si="8"/>
        <v>44282.389236800002</v>
      </c>
    </row>
    <row r="44" spans="2:20" x14ac:dyDescent="0.3">
      <c r="B44" t="s">
        <v>94</v>
      </c>
      <c r="C44">
        <f>1+SUM($F$17,$L$20)</f>
        <v>1.25</v>
      </c>
      <c r="D44">
        <f t="shared" ref="D44:O44" si="9">1+SUM($F$17,$L$20)</f>
        <v>1.25</v>
      </c>
      <c r="E44">
        <f t="shared" si="9"/>
        <v>1.25</v>
      </c>
      <c r="F44">
        <f t="shared" si="9"/>
        <v>1.25</v>
      </c>
      <c r="G44">
        <f t="shared" si="9"/>
        <v>1.25</v>
      </c>
      <c r="H44">
        <f t="shared" si="9"/>
        <v>1.25</v>
      </c>
      <c r="I44">
        <f t="shared" si="9"/>
        <v>1.25</v>
      </c>
      <c r="J44">
        <f t="shared" si="9"/>
        <v>1.25</v>
      </c>
      <c r="K44">
        <f t="shared" si="9"/>
        <v>1.25</v>
      </c>
      <c r="L44">
        <f t="shared" si="9"/>
        <v>1.25</v>
      </c>
      <c r="M44">
        <f t="shared" si="9"/>
        <v>1.25</v>
      </c>
      <c r="N44">
        <f t="shared" si="9"/>
        <v>1.25</v>
      </c>
      <c r="O44">
        <f t="shared" si="9"/>
        <v>1.25</v>
      </c>
    </row>
    <row r="45" spans="2:20" x14ac:dyDescent="0.3">
      <c r="B45" t="s">
        <v>25</v>
      </c>
      <c r="C45">
        <f>1+0-0</f>
        <v>1</v>
      </c>
      <c r="D45">
        <f t="shared" ref="D45:O45" si="10">1+0-0</f>
        <v>1</v>
      </c>
      <c r="E45">
        <f t="shared" si="10"/>
        <v>1</v>
      </c>
      <c r="F45">
        <f t="shared" si="10"/>
        <v>1</v>
      </c>
      <c r="G45">
        <f t="shared" si="10"/>
        <v>1</v>
      </c>
      <c r="H45">
        <f t="shared" si="10"/>
        <v>1</v>
      </c>
      <c r="I45">
        <f t="shared" si="10"/>
        <v>1</v>
      </c>
      <c r="J45">
        <f t="shared" si="10"/>
        <v>1</v>
      </c>
      <c r="K45">
        <f t="shared" si="10"/>
        <v>1</v>
      </c>
      <c r="L45">
        <f t="shared" si="10"/>
        <v>1</v>
      </c>
      <c r="M45">
        <f t="shared" si="10"/>
        <v>1</v>
      </c>
      <c r="N45">
        <f t="shared" si="10"/>
        <v>1</v>
      </c>
      <c r="O45">
        <f t="shared" si="10"/>
        <v>1</v>
      </c>
    </row>
    <row r="46" spans="2:20" x14ac:dyDescent="0.3">
      <c r="B46" t="s">
        <v>104</v>
      </c>
      <c r="C46" t="s">
        <v>103</v>
      </c>
      <c r="D46" t="s">
        <v>103</v>
      </c>
      <c r="E46" t="s">
        <v>103</v>
      </c>
      <c r="F46" t="s">
        <v>103</v>
      </c>
      <c r="G46" t="s">
        <v>103</v>
      </c>
      <c r="H46" t="s">
        <v>103</v>
      </c>
      <c r="I46" t="s">
        <v>102</v>
      </c>
      <c r="J46" t="s">
        <v>102</v>
      </c>
      <c r="K46" t="s">
        <v>102</v>
      </c>
      <c r="L46" t="s">
        <v>102</v>
      </c>
      <c r="M46" t="s">
        <v>102</v>
      </c>
      <c r="N46" t="s">
        <v>102</v>
      </c>
      <c r="O46" t="s">
        <v>102</v>
      </c>
    </row>
    <row r="47" spans="2:20" x14ac:dyDescent="0.3">
      <c r="B47" t="s">
        <v>105</v>
      </c>
      <c r="C47" t="s">
        <v>102</v>
      </c>
      <c r="D47" t="s">
        <v>102</v>
      </c>
      <c r="E47" t="s">
        <v>102</v>
      </c>
      <c r="F47" t="s">
        <v>102</v>
      </c>
    </row>
    <row r="48" spans="2:20" x14ac:dyDescent="0.3">
      <c r="B48" t="s">
        <v>106</v>
      </c>
      <c r="C48">
        <f t="shared" ref="C48:O48" si="11">IF(C46="Fire",$O$13,IF(C46="Ice",$O$14,IF(C46="Electric",$O$15,IF(C46="Ether",$O$16,IF(C46="Physical",$O$17,0)))))</f>
        <v>0</v>
      </c>
      <c r="D48">
        <f t="shared" si="11"/>
        <v>0</v>
      </c>
      <c r="E48">
        <f t="shared" si="11"/>
        <v>0</v>
      </c>
      <c r="F48">
        <f t="shared" si="11"/>
        <v>0</v>
      </c>
      <c r="G48">
        <f t="shared" si="11"/>
        <v>0</v>
      </c>
      <c r="H48">
        <f t="shared" si="11"/>
        <v>0</v>
      </c>
      <c r="I48">
        <f t="shared" si="11"/>
        <v>0</v>
      </c>
      <c r="J48">
        <f t="shared" si="11"/>
        <v>0</v>
      </c>
      <c r="K48">
        <f t="shared" si="11"/>
        <v>0</v>
      </c>
      <c r="L48">
        <f t="shared" si="11"/>
        <v>0</v>
      </c>
      <c r="M48">
        <f t="shared" si="11"/>
        <v>0</v>
      </c>
      <c r="N48">
        <f t="shared" si="11"/>
        <v>0</v>
      </c>
      <c r="O48">
        <f t="shared" si="11"/>
        <v>0</v>
      </c>
    </row>
    <row r="49" spans="2:15" x14ac:dyDescent="0.3">
      <c r="B49" t="s">
        <v>107</v>
      </c>
      <c r="C49">
        <f t="shared" ref="C49:O49" si="12">IF(C47="Fire",$O$13,IF(C47="Ice",$O$14,IF(C47="Electric",$O$15,IF(C47="Ether",$O$16,IF(C47="Physical",$O$17,0)))))</f>
        <v>0</v>
      </c>
      <c r="D49">
        <f t="shared" si="12"/>
        <v>0</v>
      </c>
      <c r="E49">
        <f t="shared" si="12"/>
        <v>0</v>
      </c>
      <c r="F49">
        <f t="shared" si="12"/>
        <v>0</v>
      </c>
      <c r="G49">
        <f t="shared" si="12"/>
        <v>0</v>
      </c>
      <c r="H49">
        <f t="shared" si="12"/>
        <v>0</v>
      </c>
      <c r="I49">
        <f t="shared" si="12"/>
        <v>0</v>
      </c>
      <c r="J49">
        <f t="shared" si="12"/>
        <v>0</v>
      </c>
      <c r="K49">
        <f t="shared" si="12"/>
        <v>0</v>
      </c>
      <c r="L49">
        <f t="shared" si="12"/>
        <v>0</v>
      </c>
      <c r="M49">
        <f t="shared" si="12"/>
        <v>0</v>
      </c>
      <c r="N49">
        <f t="shared" si="12"/>
        <v>0</v>
      </c>
      <c r="O49">
        <f t="shared" si="12"/>
        <v>0</v>
      </c>
    </row>
    <row r="50" spans="2:15" x14ac:dyDescent="0.3">
      <c r="B50" t="s">
        <v>26</v>
      </c>
      <c r="C50">
        <f t="shared" ref="C50:O50" si="13">1+$L$18</f>
        <v>1</v>
      </c>
      <c r="D50">
        <f t="shared" si="13"/>
        <v>1</v>
      </c>
      <c r="E50">
        <f t="shared" si="13"/>
        <v>1</v>
      </c>
      <c r="F50">
        <f t="shared" si="13"/>
        <v>1</v>
      </c>
      <c r="G50">
        <f t="shared" si="13"/>
        <v>1</v>
      </c>
      <c r="H50">
        <f t="shared" si="13"/>
        <v>1</v>
      </c>
      <c r="I50">
        <f t="shared" si="13"/>
        <v>1</v>
      </c>
      <c r="J50">
        <f t="shared" si="13"/>
        <v>1</v>
      </c>
      <c r="K50">
        <f t="shared" si="13"/>
        <v>1</v>
      </c>
      <c r="L50">
        <f t="shared" si="13"/>
        <v>1</v>
      </c>
      <c r="M50">
        <f t="shared" si="13"/>
        <v>1</v>
      </c>
      <c r="N50">
        <f t="shared" si="13"/>
        <v>1</v>
      </c>
      <c r="O50">
        <f t="shared" si="13"/>
        <v>1</v>
      </c>
    </row>
    <row r="51" spans="2:15" x14ac:dyDescent="0.3">
      <c r="B51" t="s">
        <v>95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2:15" x14ac:dyDescent="0.3">
      <c r="B52" t="s">
        <v>108</v>
      </c>
      <c r="C52">
        <f t="shared" ref="C52:O52" si="14">C41/100*$L$9*(1-$O$18)*(1+$F$16)</f>
        <v>21.663</v>
      </c>
      <c r="D52">
        <f t="shared" si="14"/>
        <v>40.753</v>
      </c>
      <c r="E52">
        <f t="shared" si="14"/>
        <v>84.078999999999994</v>
      </c>
      <c r="F52">
        <f t="shared" si="14"/>
        <v>125.57900000000001</v>
      </c>
      <c r="G52">
        <f t="shared" si="14"/>
        <v>47.641999999999996</v>
      </c>
      <c r="H52">
        <f t="shared" si="14"/>
        <v>19.837</v>
      </c>
      <c r="I52">
        <f t="shared" si="14"/>
        <v>176.458</v>
      </c>
      <c r="J52">
        <f t="shared" si="14"/>
        <v>53.451999999999998</v>
      </c>
      <c r="K52">
        <f t="shared" si="14"/>
        <v>366.44499999999999</v>
      </c>
      <c r="L52">
        <f t="shared" si="14"/>
        <v>49.882999999999996</v>
      </c>
      <c r="M52">
        <f t="shared" si="14"/>
        <v>313.90600000000001</v>
      </c>
      <c r="N52">
        <f t="shared" si="14"/>
        <v>178.69900000000001</v>
      </c>
      <c r="O52">
        <f t="shared" si="14"/>
        <v>156.04</v>
      </c>
    </row>
    <row r="53" spans="2:15" x14ac:dyDescent="0.3">
      <c r="B53" t="s">
        <v>24</v>
      </c>
      <c r="C53">
        <f t="shared" ref="C53:O53" si="15">1+MAX(C48:C49)</f>
        <v>1</v>
      </c>
      <c r="D53">
        <f t="shared" si="15"/>
        <v>1</v>
      </c>
      <c r="E53">
        <f t="shared" si="15"/>
        <v>1</v>
      </c>
      <c r="F53">
        <f t="shared" si="15"/>
        <v>1</v>
      </c>
      <c r="G53">
        <f t="shared" si="15"/>
        <v>1</v>
      </c>
      <c r="H53">
        <f t="shared" si="15"/>
        <v>1</v>
      </c>
      <c r="I53">
        <f t="shared" si="15"/>
        <v>1</v>
      </c>
      <c r="J53">
        <f t="shared" si="15"/>
        <v>1</v>
      </c>
      <c r="K53">
        <f t="shared" si="15"/>
        <v>1</v>
      </c>
      <c r="L53">
        <f t="shared" si="15"/>
        <v>1</v>
      </c>
      <c r="M53">
        <f t="shared" si="15"/>
        <v>1</v>
      </c>
      <c r="N53">
        <f t="shared" si="15"/>
        <v>1</v>
      </c>
      <c r="O53">
        <f t="shared" si="15"/>
        <v>1</v>
      </c>
    </row>
    <row r="54" spans="2:15" x14ac:dyDescent="0.3">
      <c r="B54" t="s">
        <v>112</v>
      </c>
      <c r="C54">
        <f>C43*C44*C45*$O$9*C53*C50*(1+$L$6*$L$7)</f>
        <v>702.42905520303134</v>
      </c>
      <c r="D54">
        <f t="shared" ref="D54:O54" si="16">D43*D44*D45*$O$9*D53*D50*(1+$L$6*$L$7)</f>
        <v>759.45794879377263</v>
      </c>
      <c r="E54">
        <f t="shared" si="16"/>
        <v>1581.5085856749438</v>
      </c>
      <c r="F54">
        <f t="shared" si="16"/>
        <v>2359.7443408949362</v>
      </c>
      <c r="G54">
        <f t="shared" si="16"/>
        <v>511.86909369250606</v>
      </c>
      <c r="H54">
        <f t="shared" si="16"/>
        <v>425.63027899431211</v>
      </c>
      <c r="I54">
        <f t="shared" si="16"/>
        <v>2080.8591417499706</v>
      </c>
      <c r="J54">
        <f t="shared" si="16"/>
        <v>579.33010196448026</v>
      </c>
      <c r="K54">
        <f t="shared" si="16"/>
        <v>4544.9246294572376</v>
      </c>
      <c r="L54">
        <f t="shared" si="16"/>
        <v>536.9061689274655</v>
      </c>
      <c r="M54">
        <f t="shared" si="16"/>
        <v>4224.3109715873388</v>
      </c>
      <c r="N54">
        <f t="shared" si="16"/>
        <v>7228.0645254704004</v>
      </c>
      <c r="O54">
        <f t="shared" si="16"/>
        <v>18697.131406018118</v>
      </c>
    </row>
    <row r="55" spans="2:15" x14ac:dyDescent="0.3">
      <c r="B55" t="s">
        <v>113</v>
      </c>
      <c r="C55">
        <f>IF(C46="Fire",0.5*10,IF(C46="Ice",5,IF(C46="Electric",1.25*10,IF(C46="Ether",0.625*20,IF(C46="Physical",7.13,0)))))*$L$15</f>
        <v>11744.287875999999</v>
      </c>
    </row>
    <row r="56" spans="2:15" x14ac:dyDescent="0.3">
      <c r="B56" t="s">
        <v>114</v>
      </c>
      <c r="C56">
        <f>IF(C47="Fire",0.5*10,IF(C47="Ice",5,IF(C47="Electric",1.25*10,IF(C47="Ether",0.625*20,IF(C47="Physical",7.13,0)))))*$L$15</f>
        <v>20589.564999999999</v>
      </c>
    </row>
    <row r="57" spans="2:15" x14ac:dyDescent="0.3">
      <c r="B57" t="s">
        <v>115</v>
      </c>
      <c r="C57">
        <f>C55*C44*$O$9*C53*C45*C50*$L$11/100*$L$19</f>
        <v>18453.550470993207</v>
      </c>
    </row>
    <row r="58" spans="2:15" x14ac:dyDescent="0.3">
      <c r="B58" t="s">
        <v>116</v>
      </c>
      <c r="C58">
        <f>C56*C44*$O$9*C53*C45*C50*$L$11/100*$L$19</f>
        <v>32351.946828529468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C26-BB30-4FEE-BE2F-D526DD23BD62}">
  <dimension ref="A1:T58"/>
  <sheetViews>
    <sheetView tabSelected="1" workbookViewId="0">
      <selection activeCell="F59" sqref="F59"/>
    </sheetView>
  </sheetViews>
  <sheetFormatPr defaultRowHeight="14.4" x14ac:dyDescent="0.3"/>
  <cols>
    <col min="2" max="2" width="32" bestFit="1" customWidth="1"/>
    <col min="5" max="5" width="17.77734375" bestFit="1" customWidth="1"/>
    <col min="6" max="6" width="17.88671875" bestFit="1" customWidth="1"/>
    <col min="7" max="10" width="16" customWidth="1"/>
    <col min="11" max="11" width="34.33203125" bestFit="1" customWidth="1"/>
    <col min="12" max="12" width="14" bestFit="1" customWidth="1"/>
    <col min="13" max="14" width="17.109375" bestFit="1" customWidth="1"/>
    <col min="15" max="15" width="13.21875" bestFit="1" customWidth="1"/>
    <col min="16" max="16" width="17.77734375" bestFit="1" customWidth="1"/>
    <col min="18" max="19" width="18.6640625" bestFit="1" customWidth="1"/>
  </cols>
  <sheetData>
    <row r="1" spans="1:16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2"/>
      <c r="B2" t="s">
        <v>46</v>
      </c>
      <c r="C2" t="s">
        <v>53</v>
      </c>
      <c r="D2" s="2"/>
      <c r="E2" t="s">
        <v>54</v>
      </c>
      <c r="F2" t="s">
        <v>121</v>
      </c>
      <c r="G2" s="2"/>
      <c r="H2" t="s">
        <v>83</v>
      </c>
      <c r="I2" s="3"/>
      <c r="J2" s="4"/>
      <c r="K2" t="s">
        <v>59</v>
      </c>
      <c r="L2" s="3" t="s">
        <v>122</v>
      </c>
      <c r="M2" s="2"/>
      <c r="N2" t="s">
        <v>98</v>
      </c>
      <c r="P2" s="2"/>
    </row>
    <row r="3" spans="1:16" x14ac:dyDescent="0.3">
      <c r="A3" s="2"/>
      <c r="B3" t="s">
        <v>57</v>
      </c>
      <c r="C3">
        <v>7672.3</v>
      </c>
      <c r="D3" s="2"/>
      <c r="E3" t="s">
        <v>57</v>
      </c>
      <c r="G3" s="2"/>
      <c r="H3" t="s">
        <v>84</v>
      </c>
      <c r="I3" s="3"/>
      <c r="J3" s="4"/>
      <c r="K3" t="s">
        <v>57</v>
      </c>
      <c r="L3">
        <f t="shared" ref="L3:L12" si="0">C3+F3</f>
        <v>7672.3</v>
      </c>
      <c r="M3" s="2"/>
      <c r="N3" t="s">
        <v>0</v>
      </c>
      <c r="O3" t="s">
        <v>1</v>
      </c>
      <c r="P3" s="2"/>
    </row>
    <row r="4" spans="1:16" x14ac:dyDescent="0.3">
      <c r="A4" s="2"/>
      <c r="B4" t="s">
        <v>56</v>
      </c>
      <c r="C4">
        <v>605.4</v>
      </c>
      <c r="D4" s="2"/>
      <c r="E4" t="s">
        <v>56</v>
      </c>
      <c r="G4" s="2"/>
      <c r="H4" t="s">
        <v>86</v>
      </c>
      <c r="I4" s="3"/>
      <c r="J4" s="4"/>
      <c r="K4" t="s">
        <v>56</v>
      </c>
      <c r="L4">
        <f t="shared" si="0"/>
        <v>605.4</v>
      </c>
      <c r="M4" s="2"/>
      <c r="N4" t="s">
        <v>2</v>
      </c>
      <c r="O4">
        <v>70</v>
      </c>
      <c r="P4" s="2"/>
    </row>
    <row r="5" spans="1:16" x14ac:dyDescent="0.3">
      <c r="A5" s="2"/>
      <c r="B5" t="s">
        <v>55</v>
      </c>
      <c r="C5">
        <v>938.21</v>
      </c>
      <c r="D5" s="2"/>
      <c r="E5" t="s">
        <v>55</v>
      </c>
      <c r="F5">
        <v>713</v>
      </c>
      <c r="G5" s="2"/>
      <c r="H5" t="s">
        <v>85</v>
      </c>
      <c r="I5" s="3"/>
      <c r="J5" s="4"/>
      <c r="K5" t="s">
        <v>55</v>
      </c>
      <c r="L5">
        <f t="shared" si="0"/>
        <v>1651.21</v>
      </c>
      <c r="M5" s="2"/>
      <c r="N5" t="s">
        <v>3</v>
      </c>
      <c r="O5">
        <v>1000</v>
      </c>
      <c r="P5" s="2"/>
    </row>
    <row r="6" spans="1:16" x14ac:dyDescent="0.3">
      <c r="A6" s="2"/>
      <c r="B6" t="s">
        <v>47</v>
      </c>
      <c r="C6">
        <v>0.19400000000000001</v>
      </c>
      <c r="D6" s="2"/>
      <c r="E6" t="s">
        <v>47</v>
      </c>
      <c r="F6">
        <f>0.1+0.1+0.24</f>
        <v>0.44</v>
      </c>
      <c r="G6" s="2"/>
      <c r="H6" t="s">
        <v>87</v>
      </c>
      <c r="I6" s="3"/>
      <c r="J6" s="4"/>
      <c r="K6" t="s">
        <v>47</v>
      </c>
      <c r="L6">
        <f t="shared" si="0"/>
        <v>0.63400000000000001</v>
      </c>
      <c r="M6" s="2"/>
      <c r="N6" t="s">
        <v>4</v>
      </c>
      <c r="O6">
        <v>36</v>
      </c>
      <c r="P6" s="2"/>
    </row>
    <row r="7" spans="1:16" x14ac:dyDescent="0.3">
      <c r="A7" s="2"/>
      <c r="B7" t="s">
        <v>48</v>
      </c>
      <c r="C7">
        <f>50/100</f>
        <v>0.5</v>
      </c>
      <c r="D7" s="2"/>
      <c r="E7" t="s">
        <v>48</v>
      </c>
      <c r="G7" s="2"/>
      <c r="H7" t="s">
        <v>88</v>
      </c>
      <c r="I7" s="3"/>
      <c r="J7" s="4"/>
      <c r="K7" t="s">
        <v>48</v>
      </c>
      <c r="L7">
        <f t="shared" si="0"/>
        <v>0.5</v>
      </c>
      <c r="M7" s="2"/>
      <c r="N7" t="s">
        <v>5</v>
      </c>
      <c r="O7">
        <v>571.70000000000005</v>
      </c>
      <c r="P7" s="2"/>
    </row>
    <row r="8" spans="1:16" x14ac:dyDescent="0.3">
      <c r="A8" s="2"/>
      <c r="B8" t="s">
        <v>49</v>
      </c>
      <c r="C8">
        <v>0</v>
      </c>
      <c r="D8" s="2"/>
      <c r="E8" t="s">
        <v>49</v>
      </c>
      <c r="G8" s="2"/>
      <c r="H8" t="s">
        <v>89</v>
      </c>
      <c r="I8" s="3"/>
      <c r="J8" s="4"/>
      <c r="K8" t="s">
        <v>49</v>
      </c>
      <c r="L8">
        <f t="shared" si="0"/>
        <v>0</v>
      </c>
      <c r="M8" s="2"/>
      <c r="N8" s="5" t="s">
        <v>96</v>
      </c>
      <c r="O8" s="5">
        <f>$O$7*(1-$F$8)-$I$12</f>
        <v>571.70000000000005</v>
      </c>
      <c r="P8" s="2"/>
    </row>
    <row r="9" spans="1:16" x14ac:dyDescent="0.3">
      <c r="A9" s="2"/>
      <c r="B9" t="s">
        <v>31</v>
      </c>
      <c r="C9">
        <v>93</v>
      </c>
      <c r="D9" s="2"/>
      <c r="E9" t="s">
        <v>31</v>
      </c>
      <c r="G9" s="2"/>
      <c r="H9" t="s">
        <v>90</v>
      </c>
      <c r="I9" s="3"/>
      <c r="J9" s="4"/>
      <c r="K9" t="s">
        <v>31</v>
      </c>
      <c r="L9">
        <f t="shared" si="0"/>
        <v>93</v>
      </c>
      <c r="M9" s="2"/>
      <c r="N9" s="5" t="s">
        <v>23</v>
      </c>
      <c r="O9" s="5">
        <f>$L$16/($L$16+$O$8)</f>
        <v>0.32954145654978301</v>
      </c>
      <c r="P9" s="2"/>
    </row>
    <row r="10" spans="1:16" x14ac:dyDescent="0.3">
      <c r="A10" s="2"/>
      <c r="B10" t="s">
        <v>50</v>
      </c>
      <c r="C10">
        <v>94</v>
      </c>
      <c r="D10" s="2"/>
      <c r="E10" t="s">
        <v>50</v>
      </c>
      <c r="G10" s="2"/>
      <c r="H10" t="s">
        <v>92</v>
      </c>
      <c r="I10" s="3"/>
      <c r="J10" s="4"/>
      <c r="K10" t="s">
        <v>50</v>
      </c>
      <c r="L10">
        <f t="shared" si="0"/>
        <v>94</v>
      </c>
      <c r="M10" s="2"/>
      <c r="N10" t="s">
        <v>6</v>
      </c>
      <c r="O10">
        <v>1003</v>
      </c>
      <c r="P10" s="2"/>
    </row>
    <row r="11" spans="1:16" x14ac:dyDescent="0.3">
      <c r="A11" s="2"/>
      <c r="B11" t="s">
        <v>51</v>
      </c>
      <c r="C11">
        <v>93</v>
      </c>
      <c r="D11" s="2"/>
      <c r="E11" t="s">
        <v>51</v>
      </c>
      <c r="F11">
        <f>25*3</f>
        <v>75</v>
      </c>
      <c r="G11" s="2"/>
      <c r="H11" t="s">
        <v>91</v>
      </c>
      <c r="I11" s="3"/>
      <c r="J11" s="4"/>
      <c r="K11" t="s">
        <v>51</v>
      </c>
      <c r="L11">
        <f t="shared" si="0"/>
        <v>168</v>
      </c>
      <c r="M11" s="2"/>
      <c r="N11" t="s">
        <v>7</v>
      </c>
      <c r="O11">
        <v>600</v>
      </c>
      <c r="P11" s="2"/>
    </row>
    <row r="12" spans="1:16" x14ac:dyDescent="0.3">
      <c r="A12" s="2"/>
      <c r="B12" t="s">
        <v>52</v>
      </c>
      <c r="C12">
        <v>1.2</v>
      </c>
      <c r="D12" s="2"/>
      <c r="E12" t="s">
        <v>52</v>
      </c>
      <c r="G12" s="2"/>
      <c r="H12" t="s">
        <v>99</v>
      </c>
      <c r="I12" s="3"/>
      <c r="J12" s="4"/>
      <c r="K12" t="s">
        <v>52</v>
      </c>
      <c r="L12">
        <f t="shared" si="0"/>
        <v>1.2</v>
      </c>
      <c r="M12" s="2"/>
      <c r="N12" t="s">
        <v>8</v>
      </c>
      <c r="O12">
        <v>1002</v>
      </c>
      <c r="P12" s="2"/>
    </row>
    <row r="13" spans="1:16" x14ac:dyDescent="0.3">
      <c r="A13" s="2"/>
      <c r="B13" s="2"/>
      <c r="C13" s="2"/>
      <c r="D13" s="2"/>
      <c r="E13" t="s">
        <v>81</v>
      </c>
      <c r="G13" s="2"/>
      <c r="H13" s="3"/>
      <c r="I13" s="3"/>
      <c r="J13" s="2"/>
      <c r="K13" t="s">
        <v>80</v>
      </c>
      <c r="L13">
        <f>((C3+F3)*(1+F13)+I3)*(1+I6)+I9</f>
        <v>7672.3</v>
      </c>
      <c r="M13" s="2"/>
      <c r="N13" t="s">
        <v>9</v>
      </c>
      <c r="O13" s="1">
        <v>0</v>
      </c>
      <c r="P13" s="2"/>
    </row>
    <row r="14" spans="1:16" x14ac:dyDescent="0.3">
      <c r="A14" s="2"/>
      <c r="B14" s="2"/>
      <c r="C14" s="2"/>
      <c r="D14" s="2"/>
      <c r="E14" t="s">
        <v>82</v>
      </c>
      <c r="G14" s="2"/>
      <c r="H14" s="2"/>
      <c r="I14" s="2"/>
      <c r="J14" s="2"/>
      <c r="K14" t="s">
        <v>79</v>
      </c>
      <c r="L14">
        <f>((C4+F4)*(1+F14)+I4)*(1+I7)+I10</f>
        <v>605.4</v>
      </c>
      <c r="M14" s="2"/>
      <c r="N14" t="s">
        <v>10</v>
      </c>
      <c r="O14" s="1">
        <v>-0.2</v>
      </c>
      <c r="P14" s="2"/>
    </row>
    <row r="15" spans="1:16" x14ac:dyDescent="0.3">
      <c r="A15" s="2"/>
      <c r="B15" s="2"/>
      <c r="C15" s="2"/>
      <c r="D15" s="2"/>
      <c r="E15" t="s">
        <v>58</v>
      </c>
      <c r="F15">
        <f>0.16</f>
        <v>0.16</v>
      </c>
      <c r="G15" s="2"/>
      <c r="H15" s="2"/>
      <c r="I15" s="2"/>
      <c r="J15" s="2"/>
      <c r="K15" t="s">
        <v>60</v>
      </c>
      <c r="L15">
        <f>((C5+F5)*(1+F15)+I5)*(1+I8)+I11</f>
        <v>1915.4035999999999</v>
      </c>
      <c r="M15" s="2"/>
      <c r="N15" t="s">
        <v>11</v>
      </c>
      <c r="O15" s="1">
        <v>0</v>
      </c>
      <c r="P15" s="2"/>
    </row>
    <row r="16" spans="1:16" x14ac:dyDescent="0.3">
      <c r="A16" s="2"/>
      <c r="B16" s="2"/>
      <c r="C16" s="2"/>
      <c r="D16" s="2"/>
      <c r="E16" s="3" t="s">
        <v>110</v>
      </c>
      <c r="F16" s="3"/>
      <c r="G16" s="2"/>
      <c r="H16" s="2"/>
      <c r="I16" s="2"/>
      <c r="J16" s="2"/>
      <c r="K16" t="s">
        <v>97</v>
      </c>
      <c r="L16">
        <f>Scaling!$B$20</f>
        <v>281</v>
      </c>
      <c r="M16" s="2"/>
      <c r="N16" t="s">
        <v>12</v>
      </c>
      <c r="O16" s="1">
        <v>-0.2</v>
      </c>
      <c r="P16" s="2"/>
    </row>
    <row r="17" spans="1:20" x14ac:dyDescent="0.3">
      <c r="A17" s="2"/>
      <c r="B17" s="2"/>
      <c r="C17" s="2"/>
      <c r="D17" s="2"/>
      <c r="E17" s="3" t="s">
        <v>117</v>
      </c>
      <c r="F17" s="3">
        <f>0.25</f>
        <v>0.25</v>
      </c>
      <c r="G17" s="2"/>
      <c r="H17" s="2"/>
      <c r="I17" s="2"/>
      <c r="J17" s="2"/>
      <c r="K17" s="3" t="s">
        <v>101</v>
      </c>
      <c r="L17" s="3"/>
      <c r="M17" s="2"/>
      <c r="N17" t="s">
        <v>13</v>
      </c>
      <c r="O17" s="1">
        <v>0</v>
      </c>
      <c r="P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3" t="s">
        <v>21</v>
      </c>
      <c r="L18" s="3">
        <v>0</v>
      </c>
      <c r="M18" s="2"/>
      <c r="N18" t="s">
        <v>109</v>
      </c>
      <c r="O18" s="1">
        <v>0</v>
      </c>
      <c r="P18" s="2"/>
    </row>
    <row r="19" spans="1:2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16</v>
      </c>
      <c r="L19" s="3">
        <f>1+0.0169*(60-1)</f>
        <v>1.9970999999999999</v>
      </c>
      <c r="M19" s="2"/>
      <c r="N19" t="s">
        <v>22</v>
      </c>
      <c r="O19" s="1">
        <v>0</v>
      </c>
      <c r="P19" s="2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3" t="s">
        <v>117</v>
      </c>
      <c r="L20" s="3">
        <v>0</v>
      </c>
      <c r="M20" s="2"/>
      <c r="O20" s="1"/>
      <c r="P20" s="2"/>
    </row>
    <row r="21" spans="1:2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3" spans="1:20" x14ac:dyDescent="0.3">
      <c r="B23" t="s">
        <v>61</v>
      </c>
    </row>
    <row r="24" spans="1:20" hidden="1" x14ac:dyDescent="0.3">
      <c r="B24" t="s">
        <v>62</v>
      </c>
      <c r="C24" t="s">
        <v>63</v>
      </c>
      <c r="D24" t="s">
        <v>64</v>
      </c>
      <c r="E24" t="s">
        <v>78</v>
      </c>
      <c r="F24" t="s">
        <v>93</v>
      </c>
      <c r="G24" t="s">
        <v>94</v>
      </c>
      <c r="H24" t="s">
        <v>104</v>
      </c>
      <c r="I24" t="s">
        <v>105</v>
      </c>
      <c r="J24" t="s">
        <v>106</v>
      </c>
      <c r="K24" t="s">
        <v>107</v>
      </c>
      <c r="L24" t="s">
        <v>26</v>
      </c>
      <c r="M24" t="s">
        <v>95</v>
      </c>
      <c r="N24" t="s">
        <v>108</v>
      </c>
      <c r="O24" t="s">
        <v>24</v>
      </c>
      <c r="P24" t="s">
        <v>112</v>
      </c>
      <c r="Q24" t="s">
        <v>111</v>
      </c>
    </row>
    <row r="25" spans="1:20" hidden="1" x14ac:dyDescent="0.3">
      <c r="B25" t="s">
        <v>65</v>
      </c>
      <c r="C25">
        <v>101</v>
      </c>
      <c r="D25">
        <v>26.1</v>
      </c>
      <c r="F25">
        <f>C25/100*$L$15</f>
        <v>1934.5576359999998</v>
      </c>
      <c r="G25">
        <f>1+0</f>
        <v>1</v>
      </c>
      <c r="H25" t="s">
        <v>103</v>
      </c>
      <c r="I25" t="s">
        <v>102</v>
      </c>
      <c r="J25">
        <f>IF(H25="Fire",$O$13,IF(H25="Ice",$O$14,IF(H25="Electric",$O$15,IF(H25="Ether",$O$16,IF(H25="Physical",$O$17,0)))))</f>
        <v>0</v>
      </c>
      <c r="K25">
        <f>IF(I25="Fire",$O$13,IF(I25="Ice",$O$14,IF(I25="Electric",$O$15,IF(I25="Ether",$O$16,IF(I25="Physical",$O$17,0)))))</f>
        <v>0</v>
      </c>
      <c r="L25">
        <f>1+$L$18</f>
        <v>1</v>
      </c>
      <c r="M25">
        <v>1</v>
      </c>
      <c r="N25">
        <f t="shared" ref="N25:N37" si="1">D25/100*$L$9*(1-$O$18)*(1+$F$16)</f>
        <v>24.273</v>
      </c>
      <c r="O25">
        <f>1+MAX(J25:K25)</f>
        <v>1</v>
      </c>
      <c r="P25">
        <f>F25*G25*$O$9*O25*(1+$L$6*$L$7)</f>
        <v>839.60981149052634</v>
      </c>
      <c r="Q25">
        <f>F25*G25*$O$9*O25*L25</f>
        <v>637.51694114694487</v>
      </c>
      <c r="T25" s="1"/>
    </row>
    <row r="26" spans="1:20" hidden="1" x14ac:dyDescent="0.3">
      <c r="B26" t="s">
        <v>66</v>
      </c>
      <c r="C26">
        <v>109.2</v>
      </c>
      <c r="D26">
        <v>49.1</v>
      </c>
      <c r="F26">
        <f t="shared" ref="F26:F37" si="2">C26/100*$L$15</f>
        <v>2091.6207312000001</v>
      </c>
      <c r="G26">
        <f t="shared" ref="G26:G37" si="3">1+0</f>
        <v>1</v>
      </c>
      <c r="H26" t="s">
        <v>103</v>
      </c>
      <c r="I26" t="s">
        <v>102</v>
      </c>
      <c r="J26">
        <f t="shared" ref="J26:K37" si="4">IF(H26="Fire",$O$13,IF(H26="Ice",$O$14,IF(H26="Electric",$O$15,IF(H26="Ether",$O$16,IF(H26="Physical",$O$17,0)))))</f>
        <v>0</v>
      </c>
      <c r="K26">
        <f t="shared" si="4"/>
        <v>0</v>
      </c>
      <c r="L26">
        <f t="shared" ref="L26:L37" si="5">1+$L$18</f>
        <v>1</v>
      </c>
      <c r="M26">
        <v>1</v>
      </c>
      <c r="N26">
        <f t="shared" si="1"/>
        <v>45.662999999999997</v>
      </c>
      <c r="O26">
        <f t="shared" ref="O26:O37" si="6">1+MAX(J26:K26)</f>
        <v>1</v>
      </c>
      <c r="P26">
        <f t="shared" ref="P26:P37" si="7">F26*G26*$O$9*O26*(1+$L$6*$L$7)</f>
        <v>907.77615262144059</v>
      </c>
    </row>
    <row r="27" spans="1:20" hidden="1" x14ac:dyDescent="0.3">
      <c r="B27" t="s">
        <v>67</v>
      </c>
      <c r="C27">
        <v>227.4</v>
      </c>
      <c r="D27">
        <v>101.3</v>
      </c>
      <c r="F27">
        <f t="shared" si="2"/>
        <v>4355.6277863999994</v>
      </c>
      <c r="G27">
        <f t="shared" si="3"/>
        <v>1</v>
      </c>
      <c r="H27" t="s">
        <v>103</v>
      </c>
      <c r="I27" t="s">
        <v>102</v>
      </c>
      <c r="J27">
        <f t="shared" si="4"/>
        <v>0</v>
      </c>
      <c r="K27">
        <f t="shared" si="4"/>
        <v>0</v>
      </c>
      <c r="L27">
        <f t="shared" si="5"/>
        <v>1</v>
      </c>
      <c r="M27">
        <v>1</v>
      </c>
      <c r="N27">
        <f t="shared" si="1"/>
        <v>94.208999999999989</v>
      </c>
      <c r="O27">
        <f t="shared" si="6"/>
        <v>1</v>
      </c>
      <c r="P27">
        <f t="shared" si="7"/>
        <v>1890.3690211182741</v>
      </c>
    </row>
    <row r="28" spans="1:20" hidden="1" x14ac:dyDescent="0.3">
      <c r="B28" t="s">
        <v>68</v>
      </c>
      <c r="C28">
        <v>339.3</v>
      </c>
      <c r="D28">
        <v>151.30000000000001</v>
      </c>
      <c r="F28">
        <f t="shared" si="2"/>
        <v>6498.9644147999998</v>
      </c>
      <c r="G28">
        <f t="shared" si="3"/>
        <v>1</v>
      </c>
      <c r="H28" t="s">
        <v>103</v>
      </c>
      <c r="I28" t="s">
        <v>102</v>
      </c>
      <c r="J28">
        <f t="shared" si="4"/>
        <v>0</v>
      </c>
      <c r="K28">
        <f t="shared" si="4"/>
        <v>0</v>
      </c>
      <c r="L28">
        <f t="shared" si="5"/>
        <v>1</v>
      </c>
      <c r="M28">
        <v>1</v>
      </c>
      <c r="N28">
        <f t="shared" si="1"/>
        <v>140.709</v>
      </c>
      <c r="O28">
        <f t="shared" si="6"/>
        <v>1</v>
      </c>
      <c r="P28">
        <f t="shared" si="7"/>
        <v>2820.5901885023327</v>
      </c>
    </row>
    <row r="29" spans="1:20" hidden="1" x14ac:dyDescent="0.3">
      <c r="B29" t="s">
        <v>69</v>
      </c>
      <c r="C29">
        <v>73.599999999999994</v>
      </c>
      <c r="D29">
        <v>57.4</v>
      </c>
      <c r="F29">
        <f t="shared" si="2"/>
        <v>1409.7370495999999</v>
      </c>
      <c r="G29">
        <f t="shared" si="3"/>
        <v>1</v>
      </c>
      <c r="H29" t="s">
        <v>103</v>
      </c>
      <c r="J29">
        <f t="shared" si="4"/>
        <v>0</v>
      </c>
      <c r="K29">
        <f t="shared" si="4"/>
        <v>0</v>
      </c>
      <c r="L29">
        <f t="shared" si="5"/>
        <v>1</v>
      </c>
      <c r="M29">
        <v>1</v>
      </c>
      <c r="N29">
        <f t="shared" si="1"/>
        <v>53.381999999999998</v>
      </c>
      <c r="O29">
        <f t="shared" si="6"/>
        <v>1</v>
      </c>
      <c r="P29">
        <f t="shared" si="7"/>
        <v>611.83447649210632</v>
      </c>
      <c r="T29" s="1"/>
    </row>
    <row r="30" spans="1:20" hidden="1" x14ac:dyDescent="0.3">
      <c r="B30" t="s">
        <v>77</v>
      </c>
      <c r="C30">
        <v>61.2</v>
      </c>
      <c r="D30">
        <v>23.9</v>
      </c>
      <c r="F30">
        <f t="shared" si="2"/>
        <v>1172.2270031999999</v>
      </c>
      <c r="G30">
        <f t="shared" si="3"/>
        <v>1</v>
      </c>
      <c r="H30" t="s">
        <v>103</v>
      </c>
      <c r="J30">
        <f t="shared" si="4"/>
        <v>0</v>
      </c>
      <c r="K30">
        <f t="shared" si="4"/>
        <v>0</v>
      </c>
      <c r="L30">
        <f t="shared" si="5"/>
        <v>1</v>
      </c>
      <c r="M30">
        <v>1</v>
      </c>
      <c r="N30">
        <f t="shared" si="1"/>
        <v>22.227</v>
      </c>
      <c r="O30">
        <f t="shared" si="6"/>
        <v>1</v>
      </c>
      <c r="P30">
        <f t="shared" si="7"/>
        <v>508.75366795267541</v>
      </c>
      <c r="T30" s="1"/>
    </row>
    <row r="31" spans="1:20" hidden="1" x14ac:dyDescent="0.3">
      <c r="B31" t="s">
        <v>76</v>
      </c>
      <c r="C31">
        <v>299.2</v>
      </c>
      <c r="D31">
        <v>212.6</v>
      </c>
      <c r="F31">
        <f t="shared" si="2"/>
        <v>5730.8875711999999</v>
      </c>
      <c r="G31">
        <f t="shared" si="3"/>
        <v>1</v>
      </c>
      <c r="H31" t="s">
        <v>102</v>
      </c>
      <c r="J31">
        <f t="shared" si="4"/>
        <v>0</v>
      </c>
      <c r="K31">
        <f t="shared" si="4"/>
        <v>0</v>
      </c>
      <c r="L31">
        <f t="shared" si="5"/>
        <v>1</v>
      </c>
      <c r="M31">
        <v>1</v>
      </c>
      <c r="N31">
        <f t="shared" si="1"/>
        <v>197.71799999999999</v>
      </c>
      <c r="O31">
        <f t="shared" si="6"/>
        <v>1</v>
      </c>
      <c r="P31">
        <f t="shared" si="7"/>
        <v>2487.240154435302</v>
      </c>
      <c r="T31" s="1"/>
    </row>
    <row r="32" spans="1:20" hidden="1" x14ac:dyDescent="0.3">
      <c r="B32" t="s">
        <v>71</v>
      </c>
      <c r="C32">
        <v>83.3</v>
      </c>
      <c r="D32">
        <v>64.400000000000006</v>
      </c>
      <c r="F32">
        <f t="shared" si="2"/>
        <v>1595.5311987999999</v>
      </c>
      <c r="G32">
        <f t="shared" si="3"/>
        <v>1</v>
      </c>
      <c r="H32" t="s">
        <v>102</v>
      </c>
      <c r="J32">
        <f t="shared" si="4"/>
        <v>0</v>
      </c>
      <c r="K32">
        <f t="shared" si="4"/>
        <v>0</v>
      </c>
      <c r="L32">
        <f t="shared" si="5"/>
        <v>1</v>
      </c>
      <c r="M32">
        <v>1</v>
      </c>
      <c r="N32">
        <f t="shared" si="1"/>
        <v>59.892000000000003</v>
      </c>
      <c r="O32">
        <f t="shared" si="6"/>
        <v>1</v>
      </c>
      <c r="P32">
        <f t="shared" si="7"/>
        <v>692.47027026891919</v>
      </c>
      <c r="T32" s="1"/>
    </row>
    <row r="33" spans="2:20" hidden="1" x14ac:dyDescent="0.3">
      <c r="B33" t="s">
        <v>70</v>
      </c>
      <c r="C33">
        <v>653.5</v>
      </c>
      <c r="D33">
        <v>441.5</v>
      </c>
      <c r="F33">
        <f t="shared" si="2"/>
        <v>12517.162526</v>
      </c>
      <c r="G33">
        <f t="shared" si="3"/>
        <v>1</v>
      </c>
      <c r="H33" t="s">
        <v>102</v>
      </c>
      <c r="J33">
        <f t="shared" si="4"/>
        <v>0</v>
      </c>
      <c r="K33">
        <f t="shared" si="4"/>
        <v>0</v>
      </c>
      <c r="L33">
        <f t="shared" si="5"/>
        <v>1</v>
      </c>
      <c r="M33">
        <v>1</v>
      </c>
      <c r="N33">
        <f t="shared" si="1"/>
        <v>410.59500000000003</v>
      </c>
      <c r="O33">
        <f t="shared" si="6"/>
        <v>1</v>
      </c>
      <c r="P33">
        <f t="shared" si="7"/>
        <v>5432.5248693966241</v>
      </c>
      <c r="T33" s="1"/>
    </row>
    <row r="34" spans="2:20" hidden="1" x14ac:dyDescent="0.3">
      <c r="B34" t="s">
        <v>72</v>
      </c>
      <c r="C34">
        <v>77.2</v>
      </c>
      <c r="D34">
        <v>60.1</v>
      </c>
      <c r="F34">
        <f t="shared" si="2"/>
        <v>1478.6915792</v>
      </c>
      <c r="G34">
        <f t="shared" si="3"/>
        <v>1</v>
      </c>
      <c r="H34" t="s">
        <v>102</v>
      </c>
      <c r="J34">
        <f t="shared" si="4"/>
        <v>0</v>
      </c>
      <c r="K34">
        <f t="shared" si="4"/>
        <v>0</v>
      </c>
      <c r="L34">
        <f t="shared" si="5"/>
        <v>1</v>
      </c>
      <c r="M34">
        <v>1</v>
      </c>
      <c r="N34">
        <f t="shared" si="1"/>
        <v>55.893000000000001</v>
      </c>
      <c r="O34">
        <f t="shared" si="6"/>
        <v>1</v>
      </c>
      <c r="P34">
        <f t="shared" si="7"/>
        <v>641.76116284226373</v>
      </c>
      <c r="T34" s="1"/>
    </row>
    <row r="35" spans="2:20" hidden="1" x14ac:dyDescent="0.3">
      <c r="B35" t="s">
        <v>73</v>
      </c>
      <c r="C35">
        <f>303.7*2</f>
        <v>607.4</v>
      </c>
      <c r="D35">
        <f>189.1*2</f>
        <v>378.2</v>
      </c>
      <c r="E35">
        <v>40</v>
      </c>
      <c r="F35">
        <f t="shared" si="2"/>
        <v>11634.161466399999</v>
      </c>
      <c r="G35">
        <f t="shared" si="3"/>
        <v>1</v>
      </c>
      <c r="H35" t="s">
        <v>102</v>
      </c>
      <c r="J35">
        <f t="shared" si="4"/>
        <v>0</v>
      </c>
      <c r="K35">
        <f t="shared" si="4"/>
        <v>0</v>
      </c>
      <c r="L35">
        <f t="shared" si="5"/>
        <v>1</v>
      </c>
      <c r="M35">
        <v>1</v>
      </c>
      <c r="N35">
        <f t="shared" si="1"/>
        <v>351.726</v>
      </c>
      <c r="O35">
        <f t="shared" si="6"/>
        <v>1</v>
      </c>
      <c r="P35">
        <f t="shared" si="7"/>
        <v>5049.2970247459971</v>
      </c>
      <c r="T35" s="1"/>
    </row>
    <row r="36" spans="2:20" hidden="1" x14ac:dyDescent="0.3">
      <c r="B36" t="s">
        <v>74</v>
      </c>
      <c r="C36">
        <v>1039.3</v>
      </c>
      <c r="D36">
        <v>215.3</v>
      </c>
      <c r="F36">
        <f t="shared" si="2"/>
        <v>19906.789614799996</v>
      </c>
      <c r="G36">
        <f t="shared" si="3"/>
        <v>1</v>
      </c>
      <c r="H36" t="s">
        <v>102</v>
      </c>
      <c r="J36">
        <f t="shared" si="4"/>
        <v>0</v>
      </c>
      <c r="K36">
        <f t="shared" si="4"/>
        <v>0</v>
      </c>
      <c r="L36">
        <f t="shared" si="5"/>
        <v>1</v>
      </c>
      <c r="M36">
        <v>1</v>
      </c>
      <c r="N36">
        <f t="shared" si="1"/>
        <v>200.22900000000001</v>
      </c>
      <c r="O36">
        <f t="shared" si="6"/>
        <v>1</v>
      </c>
      <c r="P36">
        <f t="shared" si="7"/>
        <v>8639.6680899218209</v>
      </c>
      <c r="T36" s="1"/>
    </row>
    <row r="37" spans="2:20" hidden="1" x14ac:dyDescent="0.3">
      <c r="B37" t="s">
        <v>75</v>
      </c>
      <c r="C37">
        <v>2688.4</v>
      </c>
      <c r="D37">
        <v>188</v>
      </c>
      <c r="F37">
        <f t="shared" si="2"/>
        <v>51493.710382400001</v>
      </c>
      <c r="G37">
        <f t="shared" si="3"/>
        <v>1</v>
      </c>
      <c r="H37" t="s">
        <v>102</v>
      </c>
      <c r="J37">
        <f t="shared" si="4"/>
        <v>0</v>
      </c>
      <c r="K37">
        <f t="shared" si="4"/>
        <v>0</v>
      </c>
      <c r="L37">
        <f t="shared" si="5"/>
        <v>1</v>
      </c>
      <c r="M37">
        <v>1</v>
      </c>
      <c r="N37">
        <f t="shared" si="1"/>
        <v>174.84</v>
      </c>
      <c r="O37">
        <f t="shared" si="6"/>
        <v>1</v>
      </c>
      <c r="P37">
        <f t="shared" si="7"/>
        <v>22348.584328823083</v>
      </c>
      <c r="T37" s="1"/>
    </row>
    <row r="38" spans="2:20" hidden="1" x14ac:dyDescent="0.3">
      <c r="T38" s="1"/>
    </row>
    <row r="39" spans="2:20" x14ac:dyDescent="0.3">
      <c r="B39" t="s">
        <v>62</v>
      </c>
      <c r="C39" t="s">
        <v>65</v>
      </c>
      <c r="D39" t="s">
        <v>66</v>
      </c>
      <c r="E39" t="s">
        <v>67</v>
      </c>
      <c r="F39" t="s">
        <v>124</v>
      </c>
      <c r="G39" t="s">
        <v>123</v>
      </c>
      <c r="H39" t="s">
        <v>77</v>
      </c>
      <c r="I39" t="s">
        <v>76</v>
      </c>
      <c r="J39" t="s">
        <v>71</v>
      </c>
      <c r="K39" t="s">
        <v>70</v>
      </c>
      <c r="L39" t="s">
        <v>72</v>
      </c>
      <c r="M39" t="s">
        <v>125</v>
      </c>
      <c r="N39" t="s">
        <v>126</v>
      </c>
      <c r="O39" t="s">
        <v>74</v>
      </c>
      <c r="P39" t="s">
        <v>75</v>
      </c>
    </row>
    <row r="40" spans="2:20" x14ac:dyDescent="0.3">
      <c r="B40" t="s">
        <v>63</v>
      </c>
      <c r="C40">
        <v>181.5</v>
      </c>
      <c r="D40">
        <v>335.2</v>
      </c>
      <c r="E40">
        <v>903</v>
      </c>
      <c r="F40">
        <v>113.6</v>
      </c>
      <c r="G40">
        <v>287.8</v>
      </c>
      <c r="H40">
        <v>232</v>
      </c>
      <c r="I40">
        <v>277.7</v>
      </c>
      <c r="J40">
        <v>221</v>
      </c>
      <c r="K40">
        <v>797</v>
      </c>
      <c r="L40">
        <v>91.9</v>
      </c>
      <c r="M40">
        <v>685.9</v>
      </c>
      <c r="N40">
        <v>1006</v>
      </c>
      <c r="O40">
        <v>1445.3</v>
      </c>
      <c r="P40">
        <v>3437.9</v>
      </c>
    </row>
    <row r="41" spans="2:20" x14ac:dyDescent="0.3">
      <c r="B41" t="s">
        <v>64</v>
      </c>
      <c r="C41">
        <v>69.5</v>
      </c>
      <c r="D41">
        <v>127.1</v>
      </c>
      <c r="E41">
        <v>346.3</v>
      </c>
      <c r="F41">
        <v>88.4</v>
      </c>
      <c r="G41">
        <v>172.1</v>
      </c>
      <c r="H41">
        <v>138.69999999999999</v>
      </c>
      <c r="I41">
        <v>321</v>
      </c>
      <c r="J41">
        <v>170.6</v>
      </c>
      <c r="K41">
        <v>541</v>
      </c>
      <c r="L41">
        <v>68.8</v>
      </c>
      <c r="M41">
        <v>571.6</v>
      </c>
      <c r="N41">
        <v>523.79999999999995</v>
      </c>
      <c r="O41">
        <v>501.5</v>
      </c>
      <c r="P41">
        <v>261.7</v>
      </c>
    </row>
    <row r="42" spans="2:20" x14ac:dyDescent="0.3">
      <c r="B42" t="s">
        <v>78</v>
      </c>
      <c r="M42">
        <v>40</v>
      </c>
    </row>
    <row r="43" spans="2:20" x14ac:dyDescent="0.3">
      <c r="B43" t="s">
        <v>93</v>
      </c>
      <c r="C43">
        <f t="shared" ref="C43:O43" si="8">C40/100*$L$15</f>
        <v>3476.4575339999997</v>
      </c>
      <c r="D43">
        <f t="shared" si="8"/>
        <v>6420.4328671999992</v>
      </c>
      <c r="E43">
        <f t="shared" si="8"/>
        <v>17296.094507999998</v>
      </c>
      <c r="F43">
        <f t="shared" si="8"/>
        <v>2175.8984895999997</v>
      </c>
      <c r="G43">
        <f t="shared" si="8"/>
        <v>5512.5315608000001</v>
      </c>
      <c r="H43">
        <f t="shared" si="8"/>
        <v>4443.736351999999</v>
      </c>
      <c r="I43">
        <f t="shared" si="8"/>
        <v>5319.0757971999992</v>
      </c>
      <c r="J43">
        <f t="shared" si="8"/>
        <v>4233.041956</v>
      </c>
      <c r="K43">
        <f t="shared" si="8"/>
        <v>15265.766691999999</v>
      </c>
      <c r="L43">
        <f t="shared" si="8"/>
        <v>1760.2559084</v>
      </c>
      <c r="M43">
        <f t="shared" si="8"/>
        <v>13137.753292399999</v>
      </c>
      <c r="N43">
        <f t="shared" si="8"/>
        <v>19268.960215999999</v>
      </c>
      <c r="O43">
        <f t="shared" ref="O43:P43" si="9">O40/100*$L$15</f>
        <v>27683.328230799998</v>
      </c>
      <c r="P43">
        <f t="shared" si="9"/>
        <v>65849.660364399984</v>
      </c>
    </row>
    <row r="44" spans="2:20" x14ac:dyDescent="0.3">
      <c r="B44" t="s">
        <v>94</v>
      </c>
      <c r="C44">
        <f>1+SUM($F$17,$L$20)</f>
        <v>1.25</v>
      </c>
      <c r="D44">
        <f t="shared" ref="D44:P44" si="10">1+SUM($F$17,$L$20)</f>
        <v>1.25</v>
      </c>
      <c r="E44">
        <f t="shared" si="10"/>
        <v>1.25</v>
      </c>
      <c r="F44">
        <f t="shared" si="10"/>
        <v>1.25</v>
      </c>
      <c r="G44">
        <f t="shared" si="10"/>
        <v>1.25</v>
      </c>
      <c r="H44">
        <f t="shared" si="10"/>
        <v>1.25</v>
      </c>
      <c r="I44">
        <f t="shared" si="10"/>
        <v>1.25</v>
      </c>
      <c r="J44">
        <f t="shared" si="10"/>
        <v>1.25</v>
      </c>
      <c r="K44">
        <f t="shared" si="10"/>
        <v>1.25</v>
      </c>
      <c r="L44">
        <f t="shared" si="10"/>
        <v>1.25</v>
      </c>
      <c r="M44">
        <f t="shared" si="10"/>
        <v>1.25</v>
      </c>
      <c r="N44">
        <f t="shared" si="10"/>
        <v>1.25</v>
      </c>
      <c r="O44">
        <f t="shared" si="10"/>
        <v>1.25</v>
      </c>
      <c r="P44">
        <f t="shared" si="10"/>
        <v>1.25</v>
      </c>
    </row>
    <row r="45" spans="2:20" x14ac:dyDescent="0.3">
      <c r="B45" t="s">
        <v>25</v>
      </c>
      <c r="C45">
        <f>1+0-0</f>
        <v>1</v>
      </c>
      <c r="D45">
        <f t="shared" ref="D45:P45" si="11">1+0-0</f>
        <v>1</v>
      </c>
      <c r="E45">
        <f t="shared" si="11"/>
        <v>1</v>
      </c>
      <c r="F45">
        <f t="shared" si="11"/>
        <v>1</v>
      </c>
      <c r="G45">
        <f t="shared" si="11"/>
        <v>1</v>
      </c>
      <c r="H45">
        <f t="shared" si="11"/>
        <v>1</v>
      </c>
      <c r="I45">
        <f t="shared" si="11"/>
        <v>1</v>
      </c>
      <c r="J45">
        <f t="shared" si="11"/>
        <v>1</v>
      </c>
      <c r="K45">
        <f t="shared" si="11"/>
        <v>1</v>
      </c>
      <c r="L45">
        <f t="shared" si="11"/>
        <v>1</v>
      </c>
      <c r="M45">
        <f t="shared" si="11"/>
        <v>1</v>
      </c>
      <c r="N45">
        <f t="shared" si="11"/>
        <v>1</v>
      </c>
      <c r="O45">
        <f t="shared" si="11"/>
        <v>1</v>
      </c>
      <c r="P45">
        <f t="shared" si="11"/>
        <v>1</v>
      </c>
    </row>
    <row r="46" spans="2:20" x14ac:dyDescent="0.3">
      <c r="B46" t="s">
        <v>104</v>
      </c>
      <c r="C46" t="s">
        <v>127</v>
      </c>
      <c r="D46" t="s">
        <v>127</v>
      </c>
      <c r="E46" t="s">
        <v>127</v>
      </c>
      <c r="F46" t="s">
        <v>127</v>
      </c>
      <c r="G46" t="s">
        <v>127</v>
      </c>
      <c r="H46" t="s">
        <v>127</v>
      </c>
      <c r="I46" t="s">
        <v>127</v>
      </c>
      <c r="J46" t="s">
        <v>127</v>
      </c>
      <c r="K46" t="s">
        <v>127</v>
      </c>
      <c r="L46" t="s">
        <v>127</v>
      </c>
      <c r="M46" t="s">
        <v>127</v>
      </c>
      <c r="N46" t="s">
        <v>127</v>
      </c>
      <c r="O46" t="s">
        <v>127</v>
      </c>
      <c r="P46" t="s">
        <v>127</v>
      </c>
    </row>
    <row r="47" spans="2:20" x14ac:dyDescent="0.3">
      <c r="B47" t="s">
        <v>105</v>
      </c>
    </row>
    <row r="48" spans="2:20" x14ac:dyDescent="0.3">
      <c r="B48" t="s">
        <v>106</v>
      </c>
      <c r="C48">
        <f t="shared" ref="C48:O49" si="12">IF(C46="Fire",$O$13,IF(C46="Ice",$O$14,IF(C46="Electric",$O$15,IF(C46="Ether",$O$16,IF(C46="Physical",$O$17,0)))))</f>
        <v>-0.2</v>
      </c>
      <c r="D48">
        <f t="shared" si="12"/>
        <v>-0.2</v>
      </c>
      <c r="E48">
        <f t="shared" si="12"/>
        <v>-0.2</v>
      </c>
      <c r="F48">
        <f t="shared" si="12"/>
        <v>-0.2</v>
      </c>
      <c r="G48">
        <f t="shared" si="12"/>
        <v>-0.2</v>
      </c>
      <c r="H48">
        <f t="shared" si="12"/>
        <v>-0.2</v>
      </c>
      <c r="I48">
        <f t="shared" si="12"/>
        <v>-0.2</v>
      </c>
      <c r="J48">
        <f t="shared" si="12"/>
        <v>-0.2</v>
      </c>
      <c r="K48">
        <f t="shared" si="12"/>
        <v>-0.2</v>
      </c>
      <c r="L48">
        <f t="shared" si="12"/>
        <v>-0.2</v>
      </c>
      <c r="M48">
        <f t="shared" si="12"/>
        <v>-0.2</v>
      </c>
      <c r="N48">
        <f t="shared" si="12"/>
        <v>-0.2</v>
      </c>
      <c r="O48">
        <f t="shared" ref="O48:P48" si="13">IF(O46="Fire",$O$13,IF(O46="Ice",$O$14,IF(O46="Electric",$O$15,IF(O46="Ether",$O$16,IF(O46="Physical",$O$17,0)))))</f>
        <v>-0.2</v>
      </c>
      <c r="P48">
        <f t="shared" si="13"/>
        <v>-0.2</v>
      </c>
    </row>
    <row r="49" spans="2:16" x14ac:dyDescent="0.3">
      <c r="B49" t="s">
        <v>107</v>
      </c>
      <c r="C49">
        <f t="shared" si="12"/>
        <v>0</v>
      </c>
      <c r="D49">
        <f t="shared" si="12"/>
        <v>0</v>
      </c>
      <c r="E49">
        <f t="shared" si="12"/>
        <v>0</v>
      </c>
      <c r="F49">
        <f t="shared" si="12"/>
        <v>0</v>
      </c>
      <c r="G49">
        <f t="shared" si="12"/>
        <v>0</v>
      </c>
      <c r="H49">
        <f t="shared" si="12"/>
        <v>0</v>
      </c>
      <c r="I49">
        <f t="shared" si="12"/>
        <v>0</v>
      </c>
      <c r="J49">
        <f t="shared" si="12"/>
        <v>0</v>
      </c>
      <c r="K49">
        <f t="shared" si="12"/>
        <v>0</v>
      </c>
      <c r="L49">
        <f t="shared" si="12"/>
        <v>0</v>
      </c>
      <c r="M49">
        <f t="shared" si="12"/>
        <v>0</v>
      </c>
      <c r="N49">
        <f t="shared" si="12"/>
        <v>0</v>
      </c>
      <c r="O49">
        <f t="shared" ref="O49:P49" si="14">IF(O47="Fire",$O$13,IF(O47="Ice",$O$14,IF(O47="Electric",$O$15,IF(O47="Ether",$O$16,IF(O47="Physical",$O$17,0)))))</f>
        <v>0</v>
      </c>
      <c r="P49">
        <f t="shared" si="14"/>
        <v>0</v>
      </c>
    </row>
    <row r="50" spans="2:16" x14ac:dyDescent="0.3">
      <c r="B50" t="s">
        <v>26</v>
      </c>
      <c r="C50">
        <f t="shared" ref="C50:P50" si="15">1+$L$18</f>
        <v>1</v>
      </c>
      <c r="D50">
        <f t="shared" si="15"/>
        <v>1</v>
      </c>
      <c r="E50">
        <f t="shared" si="15"/>
        <v>1</v>
      </c>
      <c r="F50">
        <f t="shared" si="15"/>
        <v>1</v>
      </c>
      <c r="G50">
        <f t="shared" si="15"/>
        <v>1</v>
      </c>
      <c r="H50">
        <f t="shared" si="15"/>
        <v>1</v>
      </c>
      <c r="I50">
        <f t="shared" si="15"/>
        <v>1</v>
      </c>
      <c r="J50">
        <f t="shared" si="15"/>
        <v>1</v>
      </c>
      <c r="K50">
        <f t="shared" si="15"/>
        <v>1</v>
      </c>
      <c r="L50">
        <f t="shared" si="15"/>
        <v>1</v>
      </c>
      <c r="M50">
        <f t="shared" si="15"/>
        <v>1</v>
      </c>
      <c r="N50">
        <f t="shared" si="15"/>
        <v>1</v>
      </c>
      <c r="O50">
        <f t="shared" si="15"/>
        <v>1</v>
      </c>
      <c r="P50">
        <f t="shared" si="15"/>
        <v>1</v>
      </c>
    </row>
    <row r="51" spans="2:16" x14ac:dyDescent="0.3">
      <c r="B51" t="s">
        <v>95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2:16" x14ac:dyDescent="0.3">
      <c r="B52" t="s">
        <v>108</v>
      </c>
      <c r="C52">
        <f t="shared" ref="C52:O52" si="16">C41/100*$L$9*(1-$O$18)*(1+$F$16)</f>
        <v>64.634999999999991</v>
      </c>
      <c r="D52">
        <f t="shared" si="16"/>
        <v>118.20299999999999</v>
      </c>
      <c r="E52">
        <f t="shared" si="16"/>
        <v>322.05900000000003</v>
      </c>
      <c r="F52">
        <f t="shared" si="16"/>
        <v>82.212000000000003</v>
      </c>
      <c r="G52">
        <f t="shared" si="16"/>
        <v>160.053</v>
      </c>
      <c r="H52">
        <f t="shared" si="16"/>
        <v>128.99099999999999</v>
      </c>
      <c r="I52">
        <f t="shared" si="16"/>
        <v>298.52999999999997</v>
      </c>
      <c r="J52">
        <f t="shared" si="16"/>
        <v>158.65799999999999</v>
      </c>
      <c r="K52">
        <f t="shared" si="16"/>
        <v>503.13</v>
      </c>
      <c r="L52">
        <f t="shared" si="16"/>
        <v>63.983999999999995</v>
      </c>
      <c r="M52">
        <f t="shared" si="16"/>
        <v>531.58799999999997</v>
      </c>
      <c r="N52">
        <f t="shared" si="16"/>
        <v>487.13399999999996</v>
      </c>
      <c r="O52">
        <f t="shared" ref="O52:P52" si="17">O41/100*$L$9*(1-$O$18)*(1+$F$16)</f>
        <v>466.39499999999998</v>
      </c>
      <c r="P52">
        <f t="shared" si="17"/>
        <v>243.381</v>
      </c>
    </row>
    <row r="53" spans="2:16" x14ac:dyDescent="0.3">
      <c r="B53" t="s">
        <v>24</v>
      </c>
      <c r="C53">
        <f t="shared" ref="C53:O53" si="18">1+MAX(C48:C49)</f>
        <v>1</v>
      </c>
      <c r="D53">
        <f t="shared" si="18"/>
        <v>1</v>
      </c>
      <c r="E53">
        <f t="shared" si="18"/>
        <v>1</v>
      </c>
      <c r="F53">
        <f t="shared" si="18"/>
        <v>1</v>
      </c>
      <c r="G53">
        <f t="shared" si="18"/>
        <v>1</v>
      </c>
      <c r="H53">
        <f t="shared" si="18"/>
        <v>1</v>
      </c>
      <c r="I53">
        <f t="shared" si="18"/>
        <v>1</v>
      </c>
      <c r="J53">
        <f t="shared" si="18"/>
        <v>1</v>
      </c>
      <c r="K53">
        <f t="shared" si="18"/>
        <v>1</v>
      </c>
      <c r="L53">
        <f t="shared" si="18"/>
        <v>1</v>
      </c>
      <c r="M53">
        <f t="shared" si="18"/>
        <v>1</v>
      </c>
      <c r="N53">
        <f t="shared" si="18"/>
        <v>1</v>
      </c>
      <c r="O53">
        <f t="shared" ref="O53:P53" si="19">1+MAX(O48:O49)</f>
        <v>1</v>
      </c>
      <c r="P53">
        <f t="shared" si="19"/>
        <v>1</v>
      </c>
    </row>
    <row r="54" spans="2:16" x14ac:dyDescent="0.3">
      <c r="B54" t="s">
        <v>112</v>
      </c>
      <c r="C54">
        <f>C43*C44*C45*$O$9*C53*C50*(1+$L$6*$L$7)</f>
        <v>1886.0047126922095</v>
      </c>
      <c r="D54">
        <f t="shared" ref="D54:O54" si="20">D43*D44*D45*$O$9*D53*D50*(1+$L$6*$L$7)</f>
        <v>3483.1337724210939</v>
      </c>
      <c r="E54">
        <f t="shared" si="20"/>
        <v>9383.2631160389265</v>
      </c>
      <c r="F54">
        <f t="shared" si="20"/>
        <v>1180.4415171450964</v>
      </c>
      <c r="G54">
        <f t="shared" si="20"/>
        <v>2990.5903929080882</v>
      </c>
      <c r="H54">
        <f t="shared" si="20"/>
        <v>2410.7608448737883</v>
      </c>
      <c r="I54">
        <f t="shared" si="20"/>
        <v>2885.6391664717721</v>
      </c>
      <c r="J54">
        <f t="shared" si="20"/>
        <v>2296.4575289530489</v>
      </c>
      <c r="K54">
        <f t="shared" si="20"/>
        <v>8281.7947989845234</v>
      </c>
      <c r="L54">
        <f t="shared" si="20"/>
        <v>954.95224846509143</v>
      </c>
      <c r="M54">
        <f t="shared" si="20"/>
        <v>7127.3313081850501</v>
      </c>
      <c r="N54">
        <f t="shared" si="20"/>
        <v>10453.557801478584</v>
      </c>
      <c r="O54">
        <f t="shared" ref="O54:P54" si="21">O43*O44*O45*$O$9*O53*O50*(1+$L$6*$L$7)</f>
        <v>15018.416590931409</v>
      </c>
      <c r="P54">
        <f t="shared" si="21"/>
        <v>35723.942709446543</v>
      </c>
    </row>
    <row r="55" spans="2:16" x14ac:dyDescent="0.3">
      <c r="B55" t="s">
        <v>113</v>
      </c>
      <c r="C55">
        <f>IF(C46="Fire",0.5*10,IF(C46="Ice",5,IF(C46="Electric",1.25*10,IF(C46="Ether",0.625*20,IF(C46="Physical",7.13,0)))))*$L$15</f>
        <v>9577.018</v>
      </c>
    </row>
    <row r="56" spans="2:16" x14ac:dyDescent="0.3">
      <c r="B56" t="s">
        <v>114</v>
      </c>
      <c r="C56">
        <f>IF(C47="Fire",0.5*10,IF(C47="Ice",5,IF(C47="Electric",1.25*10,IF(C47="Ether",0.625*20,IF(C47="Physical",7.13,0)))))*$L$15</f>
        <v>0</v>
      </c>
    </row>
    <row r="57" spans="2:16" x14ac:dyDescent="0.3">
      <c r="B57" t="s">
        <v>115</v>
      </c>
      <c r="C57">
        <f>C55*C44*$O$9*C53*C45*C50*$L$11/100*$L$19</f>
        <v>13236.082547750413</v>
      </c>
    </row>
    <row r="58" spans="2:16" x14ac:dyDescent="0.3">
      <c r="B58" t="s">
        <v>116</v>
      </c>
      <c r="C58">
        <f>C56*C44*$O$9*C53*C45*C50*$L$11/100*$L$19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1310-B652-4247-979B-B8CDF5122B5E}">
  <dimension ref="A1:T58"/>
  <sheetViews>
    <sheetView workbookViewId="0">
      <selection activeCell="F5" sqref="F5"/>
    </sheetView>
  </sheetViews>
  <sheetFormatPr defaultRowHeight="14.4" x14ac:dyDescent="0.3"/>
  <cols>
    <col min="2" max="2" width="32" bestFit="1" customWidth="1"/>
    <col min="5" max="5" width="17.77734375" bestFit="1" customWidth="1"/>
    <col min="6" max="6" width="17.88671875" bestFit="1" customWidth="1"/>
    <col min="7" max="10" width="16" customWidth="1"/>
    <col min="11" max="11" width="34.33203125" bestFit="1" customWidth="1"/>
    <col min="12" max="12" width="14" bestFit="1" customWidth="1"/>
    <col min="13" max="14" width="17.109375" bestFit="1" customWidth="1"/>
    <col min="15" max="15" width="13.21875" bestFit="1" customWidth="1"/>
    <col min="16" max="16" width="17.77734375" bestFit="1" customWidth="1"/>
    <col min="18" max="19" width="18.6640625" bestFit="1" customWidth="1"/>
  </cols>
  <sheetData>
    <row r="1" spans="1:16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2"/>
      <c r="B2" t="s">
        <v>46</v>
      </c>
      <c r="C2" t="s">
        <v>53</v>
      </c>
      <c r="D2" s="2"/>
      <c r="E2" t="s">
        <v>54</v>
      </c>
      <c r="F2" t="s">
        <v>128</v>
      </c>
      <c r="G2" s="2"/>
      <c r="H2" t="s">
        <v>83</v>
      </c>
      <c r="I2" s="3"/>
      <c r="J2" s="4"/>
      <c r="K2" t="s">
        <v>59</v>
      </c>
      <c r="L2" s="3" t="s">
        <v>122</v>
      </c>
      <c r="M2" s="2"/>
      <c r="N2" t="s">
        <v>98</v>
      </c>
      <c r="P2" s="2"/>
    </row>
    <row r="3" spans="1:16" x14ac:dyDescent="0.3">
      <c r="A3" s="2"/>
      <c r="B3" t="s">
        <v>57</v>
      </c>
      <c r="C3">
        <v>7672.3</v>
      </c>
      <c r="D3" s="2"/>
      <c r="E3" t="s">
        <v>57</v>
      </c>
      <c r="G3" s="2"/>
      <c r="H3" t="s">
        <v>84</v>
      </c>
      <c r="I3" s="3"/>
      <c r="J3" s="4"/>
      <c r="K3" t="s">
        <v>57</v>
      </c>
      <c r="L3">
        <f t="shared" ref="L3:L12" si="0">C3+F3</f>
        <v>7672.3</v>
      </c>
      <c r="M3" s="2"/>
      <c r="N3" t="s">
        <v>0</v>
      </c>
      <c r="O3" t="s">
        <v>1</v>
      </c>
      <c r="P3" s="2"/>
    </row>
    <row r="4" spans="1:16" x14ac:dyDescent="0.3">
      <c r="A4" s="2"/>
      <c r="B4" t="s">
        <v>56</v>
      </c>
      <c r="C4">
        <v>605.4</v>
      </c>
      <c r="D4" s="2"/>
      <c r="E4" t="s">
        <v>56</v>
      </c>
      <c r="G4" s="2"/>
      <c r="H4" t="s">
        <v>86</v>
      </c>
      <c r="I4" s="3"/>
      <c r="J4" s="4"/>
      <c r="K4" t="s">
        <v>56</v>
      </c>
      <c r="L4">
        <f t="shared" si="0"/>
        <v>605.4</v>
      </c>
      <c r="M4" s="2"/>
      <c r="N4" t="s">
        <v>2</v>
      </c>
      <c r="O4">
        <v>70</v>
      </c>
      <c r="P4" s="2"/>
    </row>
    <row r="5" spans="1:16" x14ac:dyDescent="0.3">
      <c r="A5" s="2"/>
      <c r="B5" t="s">
        <v>55</v>
      </c>
      <c r="C5">
        <v>938.21</v>
      </c>
      <c r="D5" s="2"/>
      <c r="E5" t="s">
        <v>55</v>
      </c>
      <c r="F5">
        <v>594</v>
      </c>
      <c r="G5" s="2"/>
      <c r="H5" t="s">
        <v>85</v>
      </c>
      <c r="I5" s="3"/>
      <c r="J5" s="4"/>
      <c r="K5" t="s">
        <v>55</v>
      </c>
      <c r="L5">
        <f t="shared" si="0"/>
        <v>1532.21</v>
      </c>
      <c r="M5" s="2"/>
      <c r="N5" t="s">
        <v>3</v>
      </c>
      <c r="O5">
        <v>1000</v>
      </c>
      <c r="P5" s="2"/>
    </row>
    <row r="6" spans="1:16" x14ac:dyDescent="0.3">
      <c r="A6" s="2"/>
      <c r="B6" t="s">
        <v>47</v>
      </c>
      <c r="C6">
        <v>0.19400000000000001</v>
      </c>
      <c r="D6" s="2"/>
      <c r="E6" t="s">
        <v>47</v>
      </c>
      <c r="F6">
        <v>0.2</v>
      </c>
      <c r="G6" s="2"/>
      <c r="H6" t="s">
        <v>87</v>
      </c>
      <c r="I6" s="3"/>
      <c r="J6" s="4"/>
      <c r="K6" t="s">
        <v>47</v>
      </c>
      <c r="L6">
        <f t="shared" si="0"/>
        <v>0.39400000000000002</v>
      </c>
      <c r="M6" s="2"/>
      <c r="N6" t="s">
        <v>4</v>
      </c>
      <c r="O6">
        <v>36</v>
      </c>
      <c r="P6" s="2"/>
    </row>
    <row r="7" spans="1:16" x14ac:dyDescent="0.3">
      <c r="A7" s="2"/>
      <c r="B7" t="s">
        <v>48</v>
      </c>
      <c r="C7">
        <f>50/100</f>
        <v>0.5</v>
      </c>
      <c r="D7" s="2"/>
      <c r="E7" t="s">
        <v>48</v>
      </c>
      <c r="G7" s="2"/>
      <c r="H7" t="s">
        <v>88</v>
      </c>
      <c r="I7" s="3"/>
      <c r="J7" s="4"/>
      <c r="K7" t="s">
        <v>48</v>
      </c>
      <c r="L7">
        <f t="shared" si="0"/>
        <v>0.5</v>
      </c>
      <c r="M7" s="2"/>
      <c r="N7" t="s">
        <v>5</v>
      </c>
      <c r="O7">
        <v>571.70000000000005</v>
      </c>
      <c r="P7" s="2"/>
    </row>
    <row r="8" spans="1:16" x14ac:dyDescent="0.3">
      <c r="A8" s="2"/>
      <c r="B8" t="s">
        <v>49</v>
      </c>
      <c r="C8">
        <v>0</v>
      </c>
      <c r="D8" s="2"/>
      <c r="E8" t="s">
        <v>49</v>
      </c>
      <c r="G8" s="2"/>
      <c r="H8" t="s">
        <v>89</v>
      </c>
      <c r="I8" s="3"/>
      <c r="J8" s="4"/>
      <c r="K8" t="s">
        <v>49</v>
      </c>
      <c r="L8">
        <f t="shared" si="0"/>
        <v>0</v>
      </c>
      <c r="M8" s="2"/>
      <c r="N8" s="5" t="s">
        <v>96</v>
      </c>
      <c r="O8" s="5">
        <f>$O$7*(1-$F$8)-$I$12</f>
        <v>571.70000000000005</v>
      </c>
      <c r="P8" s="2"/>
    </row>
    <row r="9" spans="1:16" x14ac:dyDescent="0.3">
      <c r="A9" s="2"/>
      <c r="B9" t="s">
        <v>31</v>
      </c>
      <c r="C9">
        <v>93</v>
      </c>
      <c r="D9" s="2"/>
      <c r="E9" t="s">
        <v>31</v>
      </c>
      <c r="G9" s="2"/>
      <c r="H9" t="s">
        <v>90</v>
      </c>
      <c r="I9" s="3"/>
      <c r="J9" s="4"/>
      <c r="K9" t="s">
        <v>31</v>
      </c>
      <c r="L9">
        <f t="shared" si="0"/>
        <v>93</v>
      </c>
      <c r="M9" s="2"/>
      <c r="N9" s="5" t="s">
        <v>23</v>
      </c>
      <c r="O9" s="5">
        <f>$L$16/($L$16+$O$8)</f>
        <v>0.32954145654978301</v>
      </c>
      <c r="P9" s="2"/>
    </row>
    <row r="10" spans="1:16" x14ac:dyDescent="0.3">
      <c r="A10" s="2"/>
      <c r="B10" t="s">
        <v>50</v>
      </c>
      <c r="C10">
        <v>94</v>
      </c>
      <c r="D10" s="2"/>
      <c r="E10" t="s">
        <v>50</v>
      </c>
      <c r="G10" s="2"/>
      <c r="H10" t="s">
        <v>92</v>
      </c>
      <c r="I10" s="3"/>
      <c r="J10" s="4"/>
      <c r="K10" t="s">
        <v>50</v>
      </c>
      <c r="L10">
        <f t="shared" si="0"/>
        <v>94</v>
      </c>
      <c r="M10" s="2"/>
      <c r="N10" t="s">
        <v>6</v>
      </c>
      <c r="O10">
        <v>1003</v>
      </c>
      <c r="P10" s="2"/>
    </row>
    <row r="11" spans="1:16" x14ac:dyDescent="0.3">
      <c r="A11" s="2"/>
      <c r="B11" t="s">
        <v>51</v>
      </c>
      <c r="C11">
        <v>93</v>
      </c>
      <c r="D11" s="2"/>
      <c r="E11" t="s">
        <v>51</v>
      </c>
      <c r="F11">
        <f>25*3</f>
        <v>75</v>
      </c>
      <c r="G11" s="2"/>
      <c r="H11" t="s">
        <v>91</v>
      </c>
      <c r="I11" s="3"/>
      <c r="J11" s="4"/>
      <c r="K11" t="s">
        <v>51</v>
      </c>
      <c r="L11">
        <f t="shared" si="0"/>
        <v>168</v>
      </c>
      <c r="M11" s="2"/>
      <c r="N11" t="s">
        <v>7</v>
      </c>
      <c r="O11">
        <v>600</v>
      </c>
      <c r="P11" s="2"/>
    </row>
    <row r="12" spans="1:16" x14ac:dyDescent="0.3">
      <c r="A12" s="2"/>
      <c r="B12" t="s">
        <v>52</v>
      </c>
      <c r="C12">
        <v>1.2</v>
      </c>
      <c r="D12" s="2"/>
      <c r="E12" t="s">
        <v>52</v>
      </c>
      <c r="G12" s="2"/>
      <c r="H12" t="s">
        <v>99</v>
      </c>
      <c r="I12" s="3"/>
      <c r="J12" s="4"/>
      <c r="K12" t="s">
        <v>52</v>
      </c>
      <c r="L12">
        <f t="shared" si="0"/>
        <v>1.2</v>
      </c>
      <c r="M12" s="2"/>
      <c r="N12" t="s">
        <v>8</v>
      </c>
      <c r="O12">
        <v>1002</v>
      </c>
      <c r="P12" s="2"/>
    </row>
    <row r="13" spans="1:16" x14ac:dyDescent="0.3">
      <c r="A13" s="2"/>
      <c r="B13" s="2"/>
      <c r="C13" s="2"/>
      <c r="D13" s="2"/>
      <c r="E13" t="s">
        <v>81</v>
      </c>
      <c r="G13" s="2"/>
      <c r="H13" s="3"/>
      <c r="I13" s="3"/>
      <c r="J13" s="2"/>
      <c r="K13" t="s">
        <v>80</v>
      </c>
      <c r="L13">
        <f>((C3+F3)*(1+F13)+I3)*(1+I6)+I9</f>
        <v>7672.3</v>
      </c>
      <c r="M13" s="2"/>
      <c r="N13" t="s">
        <v>9</v>
      </c>
      <c r="O13" s="1">
        <v>0</v>
      </c>
      <c r="P13" s="2"/>
    </row>
    <row r="14" spans="1:16" x14ac:dyDescent="0.3">
      <c r="A14" s="2"/>
      <c r="B14" s="2"/>
      <c r="C14" s="2"/>
      <c r="D14" s="2"/>
      <c r="E14" t="s">
        <v>82</v>
      </c>
      <c r="G14" s="2"/>
      <c r="H14" s="2"/>
      <c r="I14" s="2"/>
      <c r="J14" s="2"/>
      <c r="K14" t="s">
        <v>79</v>
      </c>
      <c r="L14">
        <f>((C4+F4)*(1+F14)+I4)*(1+I7)+I10</f>
        <v>605.4</v>
      </c>
      <c r="M14" s="2"/>
      <c r="N14" t="s">
        <v>10</v>
      </c>
      <c r="O14" s="1">
        <v>-0.2</v>
      </c>
      <c r="P14" s="2"/>
    </row>
    <row r="15" spans="1:16" x14ac:dyDescent="0.3">
      <c r="A15" s="2"/>
      <c r="B15" s="2"/>
      <c r="C15" s="2"/>
      <c r="D15" s="2"/>
      <c r="E15" t="s">
        <v>58</v>
      </c>
      <c r="F15">
        <f>0.16</f>
        <v>0.16</v>
      </c>
      <c r="G15" s="2"/>
      <c r="H15" s="2"/>
      <c r="I15" s="2"/>
      <c r="J15" s="2"/>
      <c r="K15" t="s">
        <v>60</v>
      </c>
      <c r="L15">
        <f>((C5+F5)*(1+F15)+I5)*(1+I8)+I11</f>
        <v>1777.3635999999999</v>
      </c>
      <c r="M15" s="2"/>
      <c r="N15" t="s">
        <v>11</v>
      </c>
      <c r="O15" s="1">
        <v>0</v>
      </c>
      <c r="P15" s="2"/>
    </row>
    <row r="16" spans="1:16" x14ac:dyDescent="0.3">
      <c r="A16" s="2"/>
      <c r="B16" s="2"/>
      <c r="C16" s="2"/>
      <c r="D16" s="2"/>
      <c r="E16" s="3" t="s">
        <v>110</v>
      </c>
      <c r="F16" s="3"/>
      <c r="G16" s="2"/>
      <c r="H16" s="2"/>
      <c r="I16" s="2"/>
      <c r="J16" s="2"/>
      <c r="K16" t="s">
        <v>97</v>
      </c>
      <c r="L16">
        <f>Scaling!$B$20</f>
        <v>281</v>
      </c>
      <c r="M16" s="2"/>
      <c r="N16" t="s">
        <v>12</v>
      </c>
      <c r="O16" s="1">
        <v>-0.2</v>
      </c>
      <c r="P16" s="2"/>
    </row>
    <row r="17" spans="1:20" x14ac:dyDescent="0.3">
      <c r="A17" s="2"/>
      <c r="B17" s="2"/>
      <c r="C17" s="2"/>
      <c r="D17" s="2"/>
      <c r="E17" s="3" t="s">
        <v>117</v>
      </c>
      <c r="F17" s="3">
        <f>0.25</f>
        <v>0.25</v>
      </c>
      <c r="G17" s="2"/>
      <c r="H17" s="2"/>
      <c r="I17" s="2"/>
      <c r="J17" s="2"/>
      <c r="K17" s="3" t="s">
        <v>101</v>
      </c>
      <c r="L17" s="3"/>
      <c r="M17" s="2"/>
      <c r="N17" t="s">
        <v>13</v>
      </c>
      <c r="O17" s="1">
        <v>0</v>
      </c>
      <c r="P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3" t="s">
        <v>21</v>
      </c>
      <c r="L18" s="3">
        <v>0</v>
      </c>
      <c r="M18" s="2"/>
      <c r="N18" t="s">
        <v>109</v>
      </c>
      <c r="O18" s="1">
        <v>0</v>
      </c>
      <c r="P18" s="2"/>
    </row>
    <row r="19" spans="1:2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16</v>
      </c>
      <c r="L19" s="3">
        <f>1+0.0169*(60-1)</f>
        <v>1.9970999999999999</v>
      </c>
      <c r="M19" s="2"/>
      <c r="N19" t="s">
        <v>22</v>
      </c>
      <c r="O19" s="1">
        <v>0</v>
      </c>
      <c r="P19" s="2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3" t="s">
        <v>117</v>
      </c>
      <c r="L20" s="3">
        <v>0</v>
      </c>
      <c r="M20" s="2"/>
      <c r="O20" s="1"/>
      <c r="P20" s="2"/>
    </row>
    <row r="21" spans="1:2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3" spans="1:20" x14ac:dyDescent="0.3">
      <c r="B23" t="s">
        <v>61</v>
      </c>
    </row>
    <row r="24" spans="1:20" hidden="1" x14ac:dyDescent="0.3">
      <c r="B24" t="s">
        <v>62</v>
      </c>
      <c r="C24" t="s">
        <v>63</v>
      </c>
      <c r="D24" t="s">
        <v>64</v>
      </c>
      <c r="E24" t="s">
        <v>78</v>
      </c>
      <c r="F24" t="s">
        <v>93</v>
      </c>
      <c r="G24" t="s">
        <v>94</v>
      </c>
      <c r="H24" t="s">
        <v>104</v>
      </c>
      <c r="I24" t="s">
        <v>105</v>
      </c>
      <c r="J24" t="s">
        <v>106</v>
      </c>
      <c r="K24" t="s">
        <v>107</v>
      </c>
      <c r="L24" t="s">
        <v>26</v>
      </c>
      <c r="M24" t="s">
        <v>95</v>
      </c>
      <c r="N24" t="s">
        <v>108</v>
      </c>
      <c r="O24" t="s">
        <v>24</v>
      </c>
      <c r="P24" t="s">
        <v>112</v>
      </c>
      <c r="Q24" t="s">
        <v>111</v>
      </c>
    </row>
    <row r="25" spans="1:20" hidden="1" x14ac:dyDescent="0.3">
      <c r="B25" t="s">
        <v>65</v>
      </c>
      <c r="C25">
        <v>101</v>
      </c>
      <c r="D25">
        <v>26.1</v>
      </c>
      <c r="F25">
        <f>C25/100*$L$15</f>
        <v>1795.137236</v>
      </c>
      <c r="G25">
        <f>1+0</f>
        <v>1</v>
      </c>
      <c r="H25" t="s">
        <v>103</v>
      </c>
      <c r="I25" t="s">
        <v>102</v>
      </c>
      <c r="J25">
        <f>IF(H25="Fire",$O$13,IF(H25="Ice",$O$14,IF(H25="Electric",$O$15,IF(H25="Ether",$O$16,IF(H25="Physical",$O$17,0)))))</f>
        <v>0</v>
      </c>
      <c r="K25">
        <f>IF(I25="Fire",$O$13,IF(I25="Ice",$O$14,IF(I25="Electric",$O$15,IF(I25="Ether",$O$16,IF(I25="Physical",$O$17,0)))))</f>
        <v>0</v>
      </c>
      <c r="L25">
        <f>1+$L$18</f>
        <v>1</v>
      </c>
      <c r="M25">
        <v>1</v>
      </c>
      <c r="N25">
        <f t="shared" ref="N25:N37" si="1">D25/100*$L$9*(1-$O$18)*(1+$F$16)</f>
        <v>24.273</v>
      </c>
      <c r="O25">
        <f>1+MAX(J25:K25)</f>
        <v>1</v>
      </c>
      <c r="P25">
        <f>F25*G25*$O$9*O25*(1+$L$6*$L$7)</f>
        <v>708.11185093145536</v>
      </c>
      <c r="Q25">
        <f>F25*G25*$O$9*O25*L25</f>
        <v>591.5721394581916</v>
      </c>
      <c r="T25" s="1"/>
    </row>
    <row r="26" spans="1:20" hidden="1" x14ac:dyDescent="0.3">
      <c r="B26" t="s">
        <v>66</v>
      </c>
      <c r="C26">
        <v>109.2</v>
      </c>
      <c r="D26">
        <v>49.1</v>
      </c>
      <c r="F26">
        <f t="shared" ref="F26:F37" si="2">C26/100*$L$15</f>
        <v>1940.8810512</v>
      </c>
      <c r="G26">
        <f t="shared" ref="G26:G37" si="3">1+0</f>
        <v>1</v>
      </c>
      <c r="H26" t="s">
        <v>103</v>
      </c>
      <c r="I26" t="s">
        <v>102</v>
      </c>
      <c r="J26">
        <f t="shared" ref="J26:K37" si="4">IF(H26="Fire",$O$13,IF(H26="Ice",$O$14,IF(H26="Electric",$O$15,IF(H26="Ether",$O$16,IF(H26="Physical",$O$17,0)))))</f>
        <v>0</v>
      </c>
      <c r="K26">
        <f t="shared" si="4"/>
        <v>0</v>
      </c>
      <c r="L26">
        <f t="shared" ref="L26:L37" si="5">1+$L$18</f>
        <v>1</v>
      </c>
      <c r="M26">
        <v>1</v>
      </c>
      <c r="N26">
        <f t="shared" si="1"/>
        <v>45.662999999999997</v>
      </c>
      <c r="O26">
        <f t="shared" ref="O26:O37" si="6">1+MAX(J26:K26)</f>
        <v>1</v>
      </c>
      <c r="P26">
        <f t="shared" ref="P26:P37" si="7">F26*G26*$O$9*O26*(1+$L$6*$L$7)</f>
        <v>765.60212001697948</v>
      </c>
    </row>
    <row r="27" spans="1:20" hidden="1" x14ac:dyDescent="0.3">
      <c r="B27" t="s">
        <v>67</v>
      </c>
      <c r="C27">
        <v>227.4</v>
      </c>
      <c r="D27">
        <v>101.3</v>
      </c>
      <c r="F27">
        <f t="shared" si="2"/>
        <v>4041.7248264</v>
      </c>
      <c r="G27">
        <f t="shared" si="3"/>
        <v>1</v>
      </c>
      <c r="H27" t="s">
        <v>103</v>
      </c>
      <c r="I27" t="s">
        <v>102</v>
      </c>
      <c r="J27">
        <f t="shared" si="4"/>
        <v>0</v>
      </c>
      <c r="K27">
        <f t="shared" si="4"/>
        <v>0</v>
      </c>
      <c r="L27">
        <f t="shared" si="5"/>
        <v>1</v>
      </c>
      <c r="M27">
        <v>1</v>
      </c>
      <c r="N27">
        <f t="shared" si="1"/>
        <v>94.208999999999989</v>
      </c>
      <c r="O27">
        <f t="shared" si="6"/>
        <v>1</v>
      </c>
      <c r="P27">
        <f t="shared" si="7"/>
        <v>1594.303315859534</v>
      </c>
    </row>
    <row r="28" spans="1:20" hidden="1" x14ac:dyDescent="0.3">
      <c r="B28" t="s">
        <v>68</v>
      </c>
      <c r="C28">
        <v>339.3</v>
      </c>
      <c r="D28">
        <v>151.30000000000001</v>
      </c>
      <c r="F28">
        <f t="shared" si="2"/>
        <v>6030.5946948000001</v>
      </c>
      <c r="G28">
        <f t="shared" si="3"/>
        <v>1</v>
      </c>
      <c r="H28" t="s">
        <v>103</v>
      </c>
      <c r="I28" t="s">
        <v>102</v>
      </c>
      <c r="J28">
        <f t="shared" si="4"/>
        <v>0</v>
      </c>
      <c r="K28">
        <f t="shared" si="4"/>
        <v>0</v>
      </c>
      <c r="L28">
        <f t="shared" si="5"/>
        <v>1</v>
      </c>
      <c r="M28">
        <v>1</v>
      </c>
      <c r="N28">
        <f t="shared" si="1"/>
        <v>140.709</v>
      </c>
      <c r="O28">
        <f t="shared" si="6"/>
        <v>1</v>
      </c>
      <c r="P28">
        <f t="shared" si="7"/>
        <v>2378.8351586241861</v>
      </c>
    </row>
    <row r="29" spans="1:20" hidden="1" x14ac:dyDescent="0.3">
      <c r="B29" t="s">
        <v>69</v>
      </c>
      <c r="C29">
        <v>73.599999999999994</v>
      </c>
      <c r="D29">
        <v>57.4</v>
      </c>
      <c r="F29">
        <f t="shared" si="2"/>
        <v>1308.1396095999999</v>
      </c>
      <c r="G29">
        <f t="shared" si="3"/>
        <v>1</v>
      </c>
      <c r="H29" t="s">
        <v>103</v>
      </c>
      <c r="J29">
        <f t="shared" si="4"/>
        <v>0</v>
      </c>
      <c r="K29">
        <f t="shared" si="4"/>
        <v>0</v>
      </c>
      <c r="L29">
        <f t="shared" si="5"/>
        <v>1</v>
      </c>
      <c r="M29">
        <v>1</v>
      </c>
      <c r="N29">
        <f t="shared" si="1"/>
        <v>53.381999999999998</v>
      </c>
      <c r="O29">
        <f t="shared" si="6"/>
        <v>1</v>
      </c>
      <c r="P29">
        <f t="shared" si="7"/>
        <v>516.01022008470409</v>
      </c>
      <c r="T29" s="1"/>
    </row>
    <row r="30" spans="1:20" hidden="1" x14ac:dyDescent="0.3">
      <c r="B30" t="s">
        <v>77</v>
      </c>
      <c r="C30">
        <v>61.2</v>
      </c>
      <c r="D30">
        <v>23.9</v>
      </c>
      <c r="F30">
        <f t="shared" si="2"/>
        <v>1087.7465232</v>
      </c>
      <c r="G30">
        <f t="shared" si="3"/>
        <v>1</v>
      </c>
      <c r="H30" t="s">
        <v>103</v>
      </c>
      <c r="J30">
        <f t="shared" si="4"/>
        <v>0</v>
      </c>
      <c r="K30">
        <f t="shared" si="4"/>
        <v>0</v>
      </c>
      <c r="L30">
        <f t="shared" si="5"/>
        <v>1</v>
      </c>
      <c r="M30">
        <v>1</v>
      </c>
      <c r="N30">
        <f t="shared" si="1"/>
        <v>22.227</v>
      </c>
      <c r="O30">
        <f t="shared" si="6"/>
        <v>1</v>
      </c>
      <c r="P30">
        <f t="shared" si="7"/>
        <v>429.07371561391153</v>
      </c>
      <c r="T30" s="1"/>
    </row>
    <row r="31" spans="1:20" hidden="1" x14ac:dyDescent="0.3">
      <c r="B31" t="s">
        <v>76</v>
      </c>
      <c r="C31">
        <v>299.2</v>
      </c>
      <c r="D31">
        <v>212.6</v>
      </c>
      <c r="F31">
        <f t="shared" si="2"/>
        <v>5317.8718911999995</v>
      </c>
      <c r="G31">
        <f t="shared" si="3"/>
        <v>1</v>
      </c>
      <c r="H31" t="s">
        <v>102</v>
      </c>
      <c r="J31">
        <f t="shared" si="4"/>
        <v>0</v>
      </c>
      <c r="K31">
        <f t="shared" si="4"/>
        <v>0</v>
      </c>
      <c r="L31">
        <f t="shared" si="5"/>
        <v>1</v>
      </c>
      <c r="M31">
        <v>1</v>
      </c>
      <c r="N31">
        <f t="shared" si="1"/>
        <v>197.71799999999999</v>
      </c>
      <c r="O31">
        <f t="shared" si="6"/>
        <v>1</v>
      </c>
      <c r="P31">
        <f t="shared" si="7"/>
        <v>2097.6937207791229</v>
      </c>
      <c r="T31" s="1"/>
    </row>
    <row r="32" spans="1:20" hidden="1" x14ac:dyDescent="0.3">
      <c r="B32" t="s">
        <v>71</v>
      </c>
      <c r="C32">
        <v>83.3</v>
      </c>
      <c r="D32">
        <v>64.400000000000006</v>
      </c>
      <c r="F32">
        <f t="shared" si="2"/>
        <v>1480.5438787999999</v>
      </c>
      <c r="G32">
        <f t="shared" si="3"/>
        <v>1</v>
      </c>
      <c r="H32" t="s">
        <v>102</v>
      </c>
      <c r="J32">
        <f t="shared" si="4"/>
        <v>0</v>
      </c>
      <c r="K32">
        <f t="shared" si="4"/>
        <v>0</v>
      </c>
      <c r="L32">
        <f t="shared" si="5"/>
        <v>1</v>
      </c>
      <c r="M32">
        <v>1</v>
      </c>
      <c r="N32">
        <f t="shared" si="1"/>
        <v>59.892000000000003</v>
      </c>
      <c r="O32">
        <f t="shared" si="6"/>
        <v>1</v>
      </c>
      <c r="P32">
        <f t="shared" si="7"/>
        <v>584.01700180782404</v>
      </c>
      <c r="T32" s="1"/>
    </row>
    <row r="33" spans="2:20" hidden="1" x14ac:dyDescent="0.3">
      <c r="B33" t="s">
        <v>70</v>
      </c>
      <c r="C33">
        <v>653.5</v>
      </c>
      <c r="D33">
        <v>441.5</v>
      </c>
      <c r="F33">
        <f t="shared" si="2"/>
        <v>11615.071125999999</v>
      </c>
      <c r="G33">
        <f t="shared" si="3"/>
        <v>1</v>
      </c>
      <c r="H33" t="s">
        <v>102</v>
      </c>
      <c r="J33">
        <f t="shared" si="4"/>
        <v>0</v>
      </c>
      <c r="K33">
        <f t="shared" si="4"/>
        <v>0</v>
      </c>
      <c r="L33">
        <f t="shared" si="5"/>
        <v>1</v>
      </c>
      <c r="M33">
        <v>1</v>
      </c>
      <c r="N33">
        <f t="shared" si="1"/>
        <v>410.59500000000003</v>
      </c>
      <c r="O33">
        <f t="shared" si="6"/>
        <v>1</v>
      </c>
      <c r="P33">
        <f t="shared" si="7"/>
        <v>4581.6940057792672</v>
      </c>
      <c r="T33" s="1"/>
    </row>
    <row r="34" spans="2:20" hidden="1" x14ac:dyDescent="0.3">
      <c r="B34" t="s">
        <v>72</v>
      </c>
      <c r="C34">
        <v>77.2</v>
      </c>
      <c r="D34">
        <v>60.1</v>
      </c>
      <c r="F34">
        <f t="shared" si="2"/>
        <v>1372.1246991999999</v>
      </c>
      <c r="G34">
        <f t="shared" si="3"/>
        <v>1</v>
      </c>
      <c r="H34" t="s">
        <v>102</v>
      </c>
      <c r="J34">
        <f t="shared" si="4"/>
        <v>0</v>
      </c>
      <c r="K34">
        <f t="shared" si="4"/>
        <v>0</v>
      </c>
      <c r="L34">
        <f t="shared" si="5"/>
        <v>1</v>
      </c>
      <c r="M34">
        <v>1</v>
      </c>
      <c r="N34">
        <f t="shared" si="1"/>
        <v>55.893000000000001</v>
      </c>
      <c r="O34">
        <f t="shared" si="6"/>
        <v>1</v>
      </c>
      <c r="P34">
        <f t="shared" si="7"/>
        <v>541.24985041493414</v>
      </c>
      <c r="T34" s="1"/>
    </row>
    <row r="35" spans="2:20" hidden="1" x14ac:dyDescent="0.3">
      <c r="B35" t="s">
        <v>73</v>
      </c>
      <c r="C35">
        <f>303.7*2</f>
        <v>607.4</v>
      </c>
      <c r="D35">
        <f>189.1*2</f>
        <v>378.2</v>
      </c>
      <c r="E35">
        <v>40</v>
      </c>
      <c r="F35">
        <f t="shared" si="2"/>
        <v>10795.7065064</v>
      </c>
      <c r="G35">
        <f t="shared" si="3"/>
        <v>1</v>
      </c>
      <c r="H35" t="s">
        <v>102</v>
      </c>
      <c r="J35">
        <f t="shared" si="4"/>
        <v>0</v>
      </c>
      <c r="K35">
        <f t="shared" si="4"/>
        <v>0</v>
      </c>
      <c r="L35">
        <f t="shared" si="5"/>
        <v>1</v>
      </c>
      <c r="M35">
        <v>1</v>
      </c>
      <c r="N35">
        <f t="shared" si="1"/>
        <v>351.726</v>
      </c>
      <c r="O35">
        <f t="shared" si="6"/>
        <v>1</v>
      </c>
      <c r="P35">
        <f t="shared" si="7"/>
        <v>4258.4865173838216</v>
      </c>
      <c r="T35" s="1"/>
    </row>
    <row r="36" spans="2:20" hidden="1" x14ac:dyDescent="0.3">
      <c r="B36" t="s">
        <v>74</v>
      </c>
      <c r="C36">
        <v>1039.3</v>
      </c>
      <c r="D36">
        <v>215.3</v>
      </c>
      <c r="F36">
        <f t="shared" si="2"/>
        <v>18472.139894799999</v>
      </c>
      <c r="G36">
        <f t="shared" si="3"/>
        <v>1</v>
      </c>
      <c r="H36" t="s">
        <v>102</v>
      </c>
      <c r="J36">
        <f t="shared" si="4"/>
        <v>0</v>
      </c>
      <c r="K36">
        <f t="shared" si="4"/>
        <v>0</v>
      </c>
      <c r="L36">
        <f t="shared" si="5"/>
        <v>1</v>
      </c>
      <c r="M36">
        <v>1</v>
      </c>
      <c r="N36">
        <f t="shared" si="1"/>
        <v>200.22900000000001</v>
      </c>
      <c r="O36">
        <f t="shared" si="6"/>
        <v>1</v>
      </c>
      <c r="P36">
        <f t="shared" si="7"/>
        <v>7286.541056168925</v>
      </c>
      <c r="T36" s="1"/>
    </row>
    <row r="37" spans="2:20" hidden="1" x14ac:dyDescent="0.3">
      <c r="B37" t="s">
        <v>75</v>
      </c>
      <c r="C37">
        <v>2688.4</v>
      </c>
      <c r="D37">
        <v>188</v>
      </c>
      <c r="F37">
        <f t="shared" si="2"/>
        <v>47782.6430224</v>
      </c>
      <c r="G37">
        <f t="shared" si="3"/>
        <v>1</v>
      </c>
      <c r="H37" t="s">
        <v>102</v>
      </c>
      <c r="J37">
        <f t="shared" si="4"/>
        <v>0</v>
      </c>
      <c r="K37">
        <f t="shared" si="4"/>
        <v>0</v>
      </c>
      <c r="L37">
        <f t="shared" si="5"/>
        <v>1</v>
      </c>
      <c r="M37">
        <v>1</v>
      </c>
      <c r="N37">
        <f t="shared" si="1"/>
        <v>174.84</v>
      </c>
      <c r="O37">
        <f t="shared" si="6"/>
        <v>1</v>
      </c>
      <c r="P37">
        <f t="shared" si="7"/>
        <v>18848.395049941828</v>
      </c>
      <c r="T37" s="1"/>
    </row>
    <row r="38" spans="2:20" hidden="1" x14ac:dyDescent="0.3">
      <c r="T38" s="1"/>
    </row>
    <row r="39" spans="2:20" x14ac:dyDescent="0.3">
      <c r="B39" t="s">
        <v>62</v>
      </c>
      <c r="C39" t="s">
        <v>65</v>
      </c>
      <c r="D39" t="s">
        <v>66</v>
      </c>
      <c r="E39" t="s">
        <v>67</v>
      </c>
      <c r="F39" t="s">
        <v>124</v>
      </c>
      <c r="G39" t="s">
        <v>123</v>
      </c>
      <c r="H39" t="s">
        <v>77</v>
      </c>
      <c r="I39" t="s">
        <v>76</v>
      </c>
      <c r="J39" t="s">
        <v>71</v>
      </c>
      <c r="K39" t="s">
        <v>70</v>
      </c>
      <c r="L39" t="s">
        <v>72</v>
      </c>
      <c r="M39" t="s">
        <v>125</v>
      </c>
      <c r="N39" t="s">
        <v>126</v>
      </c>
      <c r="O39" t="s">
        <v>74</v>
      </c>
      <c r="P39" t="s">
        <v>75</v>
      </c>
    </row>
    <row r="40" spans="2:20" x14ac:dyDescent="0.3">
      <c r="B40" t="s">
        <v>63</v>
      </c>
      <c r="C40">
        <v>181.5</v>
      </c>
      <c r="D40">
        <v>335.2</v>
      </c>
      <c r="E40">
        <v>903</v>
      </c>
      <c r="F40">
        <v>113.6</v>
      </c>
      <c r="G40">
        <v>287.8</v>
      </c>
      <c r="H40">
        <v>232</v>
      </c>
      <c r="I40">
        <v>277.7</v>
      </c>
      <c r="J40">
        <v>221</v>
      </c>
      <c r="K40">
        <v>797</v>
      </c>
      <c r="L40">
        <v>91.9</v>
      </c>
      <c r="M40">
        <v>685.9</v>
      </c>
      <c r="N40">
        <v>1006</v>
      </c>
      <c r="O40">
        <v>1445.3</v>
      </c>
      <c r="P40">
        <v>3437.9</v>
      </c>
    </row>
    <row r="41" spans="2:20" x14ac:dyDescent="0.3">
      <c r="B41" t="s">
        <v>64</v>
      </c>
      <c r="C41">
        <v>69.5</v>
      </c>
      <c r="D41">
        <v>127.1</v>
      </c>
      <c r="E41">
        <v>346.3</v>
      </c>
      <c r="F41">
        <v>88.4</v>
      </c>
      <c r="G41">
        <v>172.1</v>
      </c>
      <c r="H41">
        <v>138.69999999999999</v>
      </c>
      <c r="I41">
        <v>321</v>
      </c>
      <c r="J41">
        <v>170.6</v>
      </c>
      <c r="K41">
        <v>541</v>
      </c>
      <c r="L41">
        <v>68.8</v>
      </c>
      <c r="M41">
        <v>571.6</v>
      </c>
      <c r="N41">
        <v>523.79999999999995</v>
      </c>
      <c r="O41">
        <v>501.5</v>
      </c>
      <c r="P41">
        <v>261.7</v>
      </c>
    </row>
    <row r="42" spans="2:20" x14ac:dyDescent="0.3">
      <c r="B42" t="s">
        <v>78</v>
      </c>
      <c r="M42">
        <v>40</v>
      </c>
    </row>
    <row r="43" spans="2:20" x14ac:dyDescent="0.3">
      <c r="B43" t="s">
        <v>93</v>
      </c>
      <c r="C43">
        <f t="shared" ref="C43:P43" si="8">C40/100*$L$15</f>
        <v>3225.9149339999999</v>
      </c>
      <c r="D43">
        <f t="shared" si="8"/>
        <v>5957.7227871999994</v>
      </c>
      <c r="E43">
        <f t="shared" si="8"/>
        <v>16049.593307999998</v>
      </c>
      <c r="F43">
        <f t="shared" si="8"/>
        <v>2019.0850495999998</v>
      </c>
      <c r="G43">
        <f t="shared" si="8"/>
        <v>5115.2524407999999</v>
      </c>
      <c r="H43">
        <f t="shared" si="8"/>
        <v>4123.4835519999997</v>
      </c>
      <c r="I43">
        <f t="shared" si="8"/>
        <v>4935.738717199999</v>
      </c>
      <c r="J43">
        <f t="shared" si="8"/>
        <v>3927.9735559999999</v>
      </c>
      <c r="K43">
        <f t="shared" si="8"/>
        <v>14165.587892</v>
      </c>
      <c r="L43">
        <f t="shared" si="8"/>
        <v>1633.3971483999999</v>
      </c>
      <c r="M43">
        <f t="shared" si="8"/>
        <v>12190.9369324</v>
      </c>
      <c r="N43">
        <f t="shared" si="8"/>
        <v>17880.277816000002</v>
      </c>
      <c r="O43">
        <f t="shared" si="8"/>
        <v>25688.236110799997</v>
      </c>
      <c r="P43">
        <f t="shared" si="8"/>
        <v>61103.983204399992</v>
      </c>
    </row>
    <row r="44" spans="2:20" x14ac:dyDescent="0.3">
      <c r="B44" t="s">
        <v>94</v>
      </c>
      <c r="C44">
        <f>1+SUM($F$17,$L$20)</f>
        <v>1.25</v>
      </c>
      <c r="D44">
        <f t="shared" ref="D44:P44" si="9">1+SUM($F$17,$L$20)</f>
        <v>1.25</v>
      </c>
      <c r="E44">
        <f t="shared" si="9"/>
        <v>1.25</v>
      </c>
      <c r="F44">
        <f t="shared" si="9"/>
        <v>1.25</v>
      </c>
      <c r="G44">
        <f t="shared" si="9"/>
        <v>1.25</v>
      </c>
      <c r="H44">
        <f t="shared" si="9"/>
        <v>1.25</v>
      </c>
      <c r="I44">
        <f t="shared" si="9"/>
        <v>1.25</v>
      </c>
      <c r="J44">
        <f t="shared" si="9"/>
        <v>1.25</v>
      </c>
      <c r="K44">
        <f t="shared" si="9"/>
        <v>1.25</v>
      </c>
      <c r="L44">
        <f t="shared" si="9"/>
        <v>1.25</v>
      </c>
      <c r="M44">
        <f t="shared" si="9"/>
        <v>1.25</v>
      </c>
      <c r="N44">
        <f t="shared" si="9"/>
        <v>1.25</v>
      </c>
      <c r="O44">
        <f t="shared" si="9"/>
        <v>1.25</v>
      </c>
      <c r="P44">
        <f t="shared" si="9"/>
        <v>1.25</v>
      </c>
    </row>
    <row r="45" spans="2:20" x14ac:dyDescent="0.3">
      <c r="B45" t="s">
        <v>25</v>
      </c>
      <c r="C45">
        <f>1+0-0</f>
        <v>1</v>
      </c>
      <c r="D45">
        <f t="shared" ref="D45:P45" si="10">1+0-0</f>
        <v>1</v>
      </c>
      <c r="E45">
        <f t="shared" si="10"/>
        <v>1</v>
      </c>
      <c r="F45">
        <f t="shared" si="10"/>
        <v>1</v>
      </c>
      <c r="G45">
        <f t="shared" si="10"/>
        <v>1</v>
      </c>
      <c r="H45">
        <f t="shared" si="10"/>
        <v>1</v>
      </c>
      <c r="I45">
        <f t="shared" si="10"/>
        <v>1</v>
      </c>
      <c r="J45">
        <f t="shared" si="10"/>
        <v>1</v>
      </c>
      <c r="K45">
        <f t="shared" si="10"/>
        <v>1</v>
      </c>
      <c r="L45">
        <f t="shared" si="10"/>
        <v>1</v>
      </c>
      <c r="M45">
        <f t="shared" si="10"/>
        <v>1</v>
      </c>
      <c r="N45">
        <f t="shared" si="10"/>
        <v>1</v>
      </c>
      <c r="O45">
        <f t="shared" si="10"/>
        <v>1</v>
      </c>
      <c r="P45">
        <f t="shared" si="10"/>
        <v>1</v>
      </c>
    </row>
    <row r="46" spans="2:20" x14ac:dyDescent="0.3">
      <c r="B46" t="s">
        <v>104</v>
      </c>
      <c r="C46" t="s">
        <v>127</v>
      </c>
      <c r="D46" t="s">
        <v>127</v>
      </c>
      <c r="E46" t="s">
        <v>127</v>
      </c>
      <c r="F46" t="s">
        <v>127</v>
      </c>
      <c r="G46" t="s">
        <v>127</v>
      </c>
      <c r="H46" t="s">
        <v>127</v>
      </c>
      <c r="I46" t="s">
        <v>127</v>
      </c>
      <c r="J46" t="s">
        <v>127</v>
      </c>
      <c r="K46" t="s">
        <v>127</v>
      </c>
      <c r="L46" t="s">
        <v>127</v>
      </c>
      <c r="M46" t="s">
        <v>127</v>
      </c>
      <c r="N46" t="s">
        <v>127</v>
      </c>
      <c r="O46" t="s">
        <v>127</v>
      </c>
      <c r="P46" t="s">
        <v>127</v>
      </c>
    </row>
    <row r="47" spans="2:20" x14ac:dyDescent="0.3">
      <c r="B47" t="s">
        <v>105</v>
      </c>
    </row>
    <row r="48" spans="2:20" x14ac:dyDescent="0.3">
      <c r="B48" t="s">
        <v>106</v>
      </c>
      <c r="C48">
        <f t="shared" ref="C48:P49" si="11">IF(C46="Fire",$O$13,IF(C46="Ice",$O$14,IF(C46="Electric",$O$15,IF(C46="Ether",$O$16,IF(C46="Physical",$O$17,0)))))</f>
        <v>-0.2</v>
      </c>
      <c r="D48">
        <f t="shared" si="11"/>
        <v>-0.2</v>
      </c>
      <c r="E48">
        <f t="shared" si="11"/>
        <v>-0.2</v>
      </c>
      <c r="F48">
        <f t="shared" si="11"/>
        <v>-0.2</v>
      </c>
      <c r="G48">
        <f t="shared" si="11"/>
        <v>-0.2</v>
      </c>
      <c r="H48">
        <f t="shared" si="11"/>
        <v>-0.2</v>
      </c>
      <c r="I48">
        <f t="shared" si="11"/>
        <v>-0.2</v>
      </c>
      <c r="J48">
        <f t="shared" si="11"/>
        <v>-0.2</v>
      </c>
      <c r="K48">
        <f t="shared" si="11"/>
        <v>-0.2</v>
      </c>
      <c r="L48">
        <f t="shared" si="11"/>
        <v>-0.2</v>
      </c>
      <c r="M48">
        <f t="shared" si="11"/>
        <v>-0.2</v>
      </c>
      <c r="N48">
        <f t="shared" si="11"/>
        <v>-0.2</v>
      </c>
      <c r="O48">
        <f t="shared" si="11"/>
        <v>-0.2</v>
      </c>
      <c r="P48">
        <f t="shared" si="11"/>
        <v>-0.2</v>
      </c>
    </row>
    <row r="49" spans="2:16" x14ac:dyDescent="0.3">
      <c r="B49" t="s">
        <v>107</v>
      </c>
      <c r="C49">
        <f t="shared" si="11"/>
        <v>0</v>
      </c>
      <c r="D49">
        <f t="shared" si="11"/>
        <v>0</v>
      </c>
      <c r="E49">
        <f t="shared" si="11"/>
        <v>0</v>
      </c>
      <c r="F49">
        <f t="shared" si="11"/>
        <v>0</v>
      </c>
      <c r="G49">
        <f t="shared" si="11"/>
        <v>0</v>
      </c>
      <c r="H49">
        <f t="shared" si="11"/>
        <v>0</v>
      </c>
      <c r="I49">
        <f t="shared" si="11"/>
        <v>0</v>
      </c>
      <c r="J49">
        <f t="shared" si="11"/>
        <v>0</v>
      </c>
      <c r="K49">
        <f t="shared" si="11"/>
        <v>0</v>
      </c>
      <c r="L49">
        <f t="shared" si="11"/>
        <v>0</v>
      </c>
      <c r="M49">
        <f t="shared" si="11"/>
        <v>0</v>
      </c>
      <c r="N49">
        <f t="shared" si="11"/>
        <v>0</v>
      </c>
      <c r="O49">
        <f t="shared" si="11"/>
        <v>0</v>
      </c>
      <c r="P49">
        <f t="shared" si="11"/>
        <v>0</v>
      </c>
    </row>
    <row r="50" spans="2:16" x14ac:dyDescent="0.3">
      <c r="B50" t="s">
        <v>26</v>
      </c>
      <c r="C50">
        <f t="shared" ref="C50:P50" si="12">1+$L$18</f>
        <v>1</v>
      </c>
      <c r="D50">
        <f t="shared" si="12"/>
        <v>1</v>
      </c>
      <c r="E50">
        <f t="shared" si="12"/>
        <v>1</v>
      </c>
      <c r="F50">
        <f t="shared" si="12"/>
        <v>1</v>
      </c>
      <c r="G50">
        <f t="shared" si="12"/>
        <v>1</v>
      </c>
      <c r="H50">
        <f t="shared" si="12"/>
        <v>1</v>
      </c>
      <c r="I50">
        <f t="shared" si="12"/>
        <v>1</v>
      </c>
      <c r="J50">
        <f t="shared" si="12"/>
        <v>1</v>
      </c>
      <c r="K50">
        <f t="shared" si="12"/>
        <v>1</v>
      </c>
      <c r="L50">
        <f t="shared" si="12"/>
        <v>1</v>
      </c>
      <c r="M50">
        <f t="shared" si="12"/>
        <v>1</v>
      </c>
      <c r="N50">
        <f t="shared" si="12"/>
        <v>1</v>
      </c>
      <c r="O50">
        <f t="shared" si="12"/>
        <v>1</v>
      </c>
      <c r="P50">
        <f t="shared" si="12"/>
        <v>1</v>
      </c>
    </row>
    <row r="51" spans="2:16" x14ac:dyDescent="0.3">
      <c r="B51" t="s">
        <v>95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2:16" x14ac:dyDescent="0.3">
      <c r="B52" t="s">
        <v>108</v>
      </c>
      <c r="C52">
        <f t="shared" ref="C52:P52" si="13">C41/100*$L$9*(1-$O$18)*(1+$F$16)</f>
        <v>64.634999999999991</v>
      </c>
      <c r="D52">
        <f t="shared" si="13"/>
        <v>118.20299999999999</v>
      </c>
      <c r="E52">
        <f t="shared" si="13"/>
        <v>322.05900000000003</v>
      </c>
      <c r="F52">
        <f t="shared" si="13"/>
        <v>82.212000000000003</v>
      </c>
      <c r="G52">
        <f t="shared" si="13"/>
        <v>160.053</v>
      </c>
      <c r="H52">
        <f t="shared" si="13"/>
        <v>128.99099999999999</v>
      </c>
      <c r="I52">
        <f t="shared" si="13"/>
        <v>298.52999999999997</v>
      </c>
      <c r="J52">
        <f t="shared" si="13"/>
        <v>158.65799999999999</v>
      </c>
      <c r="K52">
        <f t="shared" si="13"/>
        <v>503.13</v>
      </c>
      <c r="L52">
        <f t="shared" si="13"/>
        <v>63.983999999999995</v>
      </c>
      <c r="M52">
        <f t="shared" si="13"/>
        <v>531.58799999999997</v>
      </c>
      <c r="N52">
        <f t="shared" si="13"/>
        <v>487.13399999999996</v>
      </c>
      <c r="O52">
        <f t="shared" si="13"/>
        <v>466.39499999999998</v>
      </c>
      <c r="P52">
        <f t="shared" si="13"/>
        <v>243.381</v>
      </c>
    </row>
    <row r="53" spans="2:16" x14ac:dyDescent="0.3">
      <c r="B53" t="s">
        <v>24</v>
      </c>
      <c r="C53">
        <f t="shared" ref="C53:P53" si="14">1+MAX(C48:C49)</f>
        <v>1</v>
      </c>
      <c r="D53">
        <f t="shared" si="14"/>
        <v>1</v>
      </c>
      <c r="E53">
        <f t="shared" si="14"/>
        <v>1</v>
      </c>
      <c r="F53">
        <f t="shared" si="14"/>
        <v>1</v>
      </c>
      <c r="G53">
        <f t="shared" si="14"/>
        <v>1</v>
      </c>
      <c r="H53">
        <f t="shared" si="14"/>
        <v>1</v>
      </c>
      <c r="I53">
        <f t="shared" si="14"/>
        <v>1</v>
      </c>
      <c r="J53">
        <f t="shared" si="14"/>
        <v>1</v>
      </c>
      <c r="K53">
        <f t="shared" si="14"/>
        <v>1</v>
      </c>
      <c r="L53">
        <f t="shared" si="14"/>
        <v>1</v>
      </c>
      <c r="M53">
        <f t="shared" si="14"/>
        <v>1</v>
      </c>
      <c r="N53">
        <f t="shared" si="14"/>
        <v>1</v>
      </c>
      <c r="O53">
        <f t="shared" si="14"/>
        <v>1</v>
      </c>
      <c r="P53">
        <f t="shared" si="14"/>
        <v>1</v>
      </c>
    </row>
    <row r="54" spans="2:16" x14ac:dyDescent="0.3">
      <c r="B54" t="s">
        <v>112</v>
      </c>
      <c r="C54">
        <f>C43*C44*C45*$O$9*C53*C50*(1+$L$6*$L$7)</f>
        <v>1590.6225364363756</v>
      </c>
      <c r="D54">
        <f t="shared" ref="D54:P54" si="15">D43*D44*D45*$O$9*D53*D50*(1+$L$6*$L$7)</f>
        <v>2937.6125301017796</v>
      </c>
      <c r="E54">
        <f t="shared" si="15"/>
        <v>7913.6757597908927</v>
      </c>
      <c r="F54">
        <f t="shared" si="15"/>
        <v>995.56319635907585</v>
      </c>
      <c r="G54">
        <f t="shared" si="15"/>
        <v>2522.2102809167432</v>
      </c>
      <c r="H54">
        <f t="shared" si="15"/>
        <v>2033.1924432685348</v>
      </c>
      <c r="I54">
        <f t="shared" si="15"/>
        <v>2433.6962995503104</v>
      </c>
      <c r="J54">
        <f t="shared" si="15"/>
        <v>1936.7910774239065</v>
      </c>
      <c r="K54">
        <f t="shared" si="15"/>
        <v>6984.7171434699248</v>
      </c>
      <c r="L54">
        <f t="shared" si="15"/>
        <v>805.38959282921701</v>
      </c>
      <c r="M54">
        <f t="shared" si="15"/>
        <v>6011.0633484391728</v>
      </c>
      <c r="N54">
        <f t="shared" si="15"/>
        <v>8816.3430945178734</v>
      </c>
      <c r="O54">
        <f t="shared" si="15"/>
        <v>12666.263095931094</v>
      </c>
      <c r="P54">
        <f t="shared" si="15"/>
        <v>30128.932330659034</v>
      </c>
    </row>
    <row r="55" spans="2:16" x14ac:dyDescent="0.3">
      <c r="B55" t="s">
        <v>113</v>
      </c>
      <c r="C55">
        <f>IF(C46="Fire",0.5*10,IF(C46="Ice",5,IF(C46="Electric",1.25*10,IF(C46="Ether",0.625*20,IF(C46="Physical",7.13,0)))))*$L$15</f>
        <v>8886.8179999999993</v>
      </c>
    </row>
    <row r="56" spans="2:16" x14ac:dyDescent="0.3">
      <c r="B56" t="s">
        <v>114</v>
      </c>
      <c r="C56">
        <f>IF(C47="Fire",0.5*10,IF(C47="Ice",5,IF(C47="Electric",1.25*10,IF(C47="Ether",0.625*20,IF(C47="Physical",7.13,0)))))*$L$15</f>
        <v>0</v>
      </c>
    </row>
    <row r="57" spans="2:16" x14ac:dyDescent="0.3">
      <c r="B57" t="s">
        <v>115</v>
      </c>
      <c r="C57">
        <f>C55*C44*$O$9*C53*C45*C50*$L$11/100*$L$19</f>
        <v>12282.179759381699</v>
      </c>
    </row>
    <row r="58" spans="2:16" x14ac:dyDescent="0.3">
      <c r="B58" t="s">
        <v>116</v>
      </c>
      <c r="C58">
        <f>C56*C44*$O$9*C53*C45*C50*$L$11/100*$L$19</f>
        <v>0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5a8d8b-0cc6-4714-a3ef-b3985985185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5ACE7951E7BF4D8486A181F0323E39" ma:contentTypeVersion="18" ma:contentTypeDescription="Create a new document." ma:contentTypeScope="" ma:versionID="2cff0fb5dad121ce2c7c21019bcab435">
  <xsd:schema xmlns:xsd="http://www.w3.org/2001/XMLSchema" xmlns:xs="http://www.w3.org/2001/XMLSchema" xmlns:p="http://schemas.microsoft.com/office/2006/metadata/properties" xmlns:ns3="325a8d8b-0cc6-4714-a3ef-b39859851854" xmlns:ns4="3801d1c5-f909-417f-8c9a-582c5a6700b6" targetNamespace="http://schemas.microsoft.com/office/2006/metadata/properties" ma:root="true" ma:fieldsID="b6091eb7ddc5a3c395db562c55fcc106" ns3:_="" ns4:_="">
    <xsd:import namespace="325a8d8b-0cc6-4714-a3ef-b39859851854"/>
    <xsd:import namespace="3801d1c5-f909-417f-8c9a-582c5a6700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5a8d8b-0cc6-4714-a3ef-b398598518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1d1c5-f909-417f-8c9a-582c5a6700b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2531A-7769-418A-A1DA-BF1B61F316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B39D91-EDE2-4824-A74D-D43D5A422346}">
  <ds:schemaRefs>
    <ds:schemaRef ds:uri="3801d1c5-f909-417f-8c9a-582c5a6700b6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325a8d8b-0cc6-4714-a3ef-b39859851854"/>
  </ds:schemaRefs>
</ds:datastoreItem>
</file>

<file path=customXml/itemProps3.xml><?xml version="1.0" encoding="utf-8"?>
<ds:datastoreItem xmlns:ds="http://schemas.openxmlformats.org/officeDocument/2006/customXml" ds:itemID="{9CC1B6E8-9229-4535-A70A-9905866EB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5a8d8b-0cc6-4714-a3ef-b39859851854"/>
    <ds:schemaRef ds:uri="3801d1c5-f909-417f-8c9a-582c5a6700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Scaling</vt:lpstr>
      <vt:lpstr>Grace Fusion Compiler</vt:lpstr>
      <vt:lpstr>Lip Gloss R1</vt:lpstr>
      <vt:lpstr>Lip Gloss R5</vt:lpstr>
      <vt:lpstr>Ellen with Signature</vt:lpstr>
      <vt:lpstr>Ellen with Signature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Zhi Russ Chua</dc:creator>
  <cp:lastModifiedBy>Yue Zhi Russ Chua</cp:lastModifiedBy>
  <dcterms:created xsi:type="dcterms:W3CDTF">2024-07-09T20:44:23Z</dcterms:created>
  <dcterms:modified xsi:type="dcterms:W3CDTF">2024-07-11T17:32:09Z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0x0101004C5ACE7951E7BF4D8486A181F0323E39</vt:lpwstr>
  </property>
</Properties>
</file>