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8800" windowHeight="11835"/>
  </bookViews>
  <sheets>
    <sheet name="Лист1" sheetId="1" r:id="rId1"/>
  </sheets>
  <definedNames>
    <definedName name="solver_adj" localSheetId="0" hidden="1">Лист1!$F$36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Лист1!$H$36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0</definedName>
    <definedName name="solver_ver" localSheetId="0" hidden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7" i="1" l="1"/>
  <c r="B9" i="1"/>
  <c r="C47" i="1"/>
  <c r="D47" i="1"/>
  <c r="E47" i="1"/>
  <c r="F47" i="1"/>
  <c r="G47" i="1"/>
  <c r="I47" i="1"/>
  <c r="J47" i="1"/>
  <c r="B47" i="1"/>
  <c r="B59" i="1"/>
  <c r="K62" i="1"/>
  <c r="J62" i="1"/>
  <c r="A65" i="1" s="1"/>
  <c r="H62" i="1"/>
  <c r="E59" i="1"/>
  <c r="D56" i="1"/>
  <c r="G59" i="1" s="1"/>
  <c r="E56" i="1"/>
  <c r="I56" i="1"/>
  <c r="B27" i="1"/>
  <c r="C27" i="1"/>
  <c r="G67" i="1" l="1"/>
  <c r="A62" i="1"/>
  <c r="A59" i="1" s="1"/>
  <c r="F59" i="1" s="1"/>
  <c r="F67" i="1" s="1"/>
  <c r="F56" i="1"/>
  <c r="G56" i="1" s="1"/>
  <c r="H65" i="1" s="1"/>
  <c r="B65" i="1" l="1"/>
  <c r="C67" i="1" s="1"/>
  <c r="D67" i="1"/>
  <c r="L62" i="1"/>
  <c r="I62" i="1"/>
  <c r="K33" i="1"/>
  <c r="I27" i="1"/>
  <c r="D65" i="1" l="1"/>
  <c r="E65" i="1" s="1"/>
  <c r="E67" i="1" s="1"/>
  <c r="J65" i="1"/>
  <c r="B30" i="1"/>
  <c r="F27" i="1"/>
  <c r="J33" i="1"/>
  <c r="A36" i="1" s="1"/>
  <c r="H33" i="1"/>
  <c r="E30" i="1"/>
  <c r="D27" i="1"/>
  <c r="G30" i="1" s="1"/>
  <c r="C6" i="1"/>
  <c r="E6" i="1" s="1"/>
  <c r="J12" i="1"/>
  <c r="A15" i="1" s="1"/>
  <c r="H12" i="1"/>
  <c r="E9" i="1"/>
  <c r="D6" i="1"/>
  <c r="G9" i="1" s="1"/>
  <c r="G17" i="1" s="1"/>
  <c r="E27" i="1" l="1"/>
  <c r="G27" i="1" s="1"/>
  <c r="H36" i="1" s="1"/>
  <c r="G38" i="1"/>
  <c r="A12" i="1"/>
  <c r="D17" i="1" s="1"/>
  <c r="F6" i="1"/>
  <c r="A33" i="1" l="1"/>
  <c r="A30" i="1" s="1"/>
  <c r="F30" i="1" s="1"/>
  <c r="I12" i="1"/>
  <c r="B15" i="1"/>
  <c r="A9" i="1"/>
  <c r="G6" i="1"/>
  <c r="H15" i="1" s="1"/>
  <c r="I6" i="1"/>
  <c r="D38" i="1" l="1"/>
  <c r="F38" i="1"/>
  <c r="B36" i="1"/>
  <c r="L33" i="1"/>
  <c r="I33" i="1"/>
  <c r="J36" i="1" s="1"/>
  <c r="F9" i="1"/>
  <c r="F17" i="1" s="1"/>
  <c r="C38" i="1" l="1"/>
  <c r="A42" i="1"/>
  <c r="D36" i="1"/>
  <c r="J15" i="1"/>
  <c r="C17" i="1"/>
  <c r="E36" i="1" l="1"/>
  <c r="E38" i="1" s="1"/>
  <c r="D43" i="1"/>
  <c r="D42" i="1"/>
  <c r="D15" i="1"/>
  <c r="E15" i="1" l="1"/>
  <c r="E17" i="1" s="1"/>
</calcChain>
</file>

<file path=xl/sharedStrings.xml><?xml version="1.0" encoding="utf-8"?>
<sst xmlns="http://schemas.openxmlformats.org/spreadsheetml/2006/main" count="149" uniqueCount="56">
  <si>
    <t>u1</t>
  </si>
  <si>
    <t>v</t>
  </si>
  <si>
    <t>pk</t>
  </si>
  <si>
    <t>rot</t>
  </si>
  <si>
    <t>u</t>
  </si>
  <si>
    <t>kappa</t>
  </si>
  <si>
    <t>R</t>
  </si>
  <si>
    <t>Tk</t>
  </si>
  <si>
    <t>fi</t>
  </si>
  <si>
    <t>Skr</t>
  </si>
  <si>
    <t>A1</t>
  </si>
  <si>
    <t>Gkr</t>
  </si>
  <si>
    <t>P</t>
  </si>
  <si>
    <t>uv</t>
  </si>
  <si>
    <t>Sv</t>
  </si>
  <si>
    <t>pv</t>
  </si>
  <si>
    <t>pn</t>
  </si>
  <si>
    <t>It</t>
  </si>
  <si>
    <t>lambda</t>
  </si>
  <si>
    <t>k</t>
  </si>
  <si>
    <t>akr</t>
  </si>
  <si>
    <t>deltat</t>
  </si>
  <si>
    <t>d</t>
  </si>
  <si>
    <t>Sg</t>
  </si>
  <si>
    <t>Skr/Sv</t>
  </si>
  <si>
    <t>F(lambda)</t>
  </si>
  <si>
    <t>d_kr</t>
  </si>
  <si>
    <t>m_t</t>
  </si>
  <si>
    <t>pv=1атм</t>
  </si>
  <si>
    <t>dt=3с</t>
  </si>
  <si>
    <t>It, кПа</t>
  </si>
  <si>
    <t>pk=4МПа</t>
  </si>
  <si>
    <t>РДТТ</t>
  </si>
  <si>
    <t>Геометрия</t>
  </si>
  <si>
    <t>dv</t>
  </si>
  <si>
    <t>Горение</t>
  </si>
  <si>
    <t>Параметры в камере</t>
  </si>
  <si>
    <t>Параметры на выходе сопла</t>
  </si>
  <si>
    <t>dk</t>
  </si>
  <si>
    <t>Sk</t>
  </si>
  <si>
    <t>Результаты:</t>
  </si>
  <si>
    <t>delt</t>
  </si>
  <si>
    <t>lsop</t>
  </si>
  <si>
    <t>lkam</t>
  </si>
  <si>
    <t>Газогенератор</t>
  </si>
  <si>
    <t>pk=2МПа</t>
  </si>
  <si>
    <t>dt=40с</t>
  </si>
  <si>
    <t>pv=5атм</t>
  </si>
  <si>
    <t>Внутрення баллистика</t>
  </si>
  <si>
    <t>Tkr</t>
  </si>
  <si>
    <t>Pkr</t>
  </si>
  <si>
    <t>Формулы</t>
  </si>
  <si>
    <t>в пустоте</t>
  </si>
  <si>
    <t>dt</t>
  </si>
  <si>
    <t>Зависимость Sv(dt)</t>
  </si>
  <si>
    <t>Газогенератор низкотемп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</si>
</sst>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2" fontId="2" fillId="0" borderId="0" xfId="0" applyNumberFormat="1" applyFont="1"/>
    <xf numFmtId="11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11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4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Sv(dt)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0.1589501312335958"/>
                  <c:y val="-0.462114319043452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Лист1!$B$45:$J$45</c:f>
              <c:numCache>
                <c:formatCode>General</c:formatCode>
                <c:ptCount val="9"/>
                <c:pt idx="0">
                  <c:v>1.25</c:v>
                </c:pt>
                <c:pt idx="1">
                  <c:v>2.4</c:v>
                </c:pt>
                <c:pt idx="2">
                  <c:v>3.9</c:v>
                </c:pt>
                <c:pt idx="3">
                  <c:v>4.9000000000000004</c:v>
                </c:pt>
                <c:pt idx="4">
                  <c:v>6.5</c:v>
                </c:pt>
                <c:pt idx="5">
                  <c:v>9.8000000000000007</c:v>
                </c:pt>
                <c:pt idx="6">
                  <c:v>15.3</c:v>
                </c:pt>
                <c:pt idx="7">
                  <c:v>27</c:v>
                </c:pt>
                <c:pt idx="8">
                  <c:v>60</c:v>
                </c:pt>
              </c:numCache>
            </c:numRef>
          </c:xVal>
          <c:yVal>
            <c:numRef>
              <c:f>Лист1!$B$46:$J$46</c:f>
              <c:numCache>
                <c:formatCode>General</c:formatCode>
                <c:ptCount val="9"/>
                <c:pt idx="0">
                  <c:v>1.5393804002589988E-2</c:v>
                </c:pt>
                <c:pt idx="1">
                  <c:v>7.8539816339744835E-3</c:v>
                </c:pt>
                <c:pt idx="2">
                  <c:v>5.0265482457436689E-3</c:v>
                </c:pt>
                <c:pt idx="3">
                  <c:v>3.8484510006474969E-3</c:v>
                </c:pt>
                <c:pt idx="4">
                  <c:v>2.8274333882308137E-3</c:v>
                </c:pt>
                <c:pt idx="5">
                  <c:v>1.9634954084936209E-3</c:v>
                </c:pt>
                <c:pt idx="6">
                  <c:v>1.2566370614359172E-3</c:v>
                </c:pt>
                <c:pt idx="7">
                  <c:v>7.0685834705770342E-4</c:v>
                </c:pt>
                <c:pt idx="8">
                  <c:v>3.1415926535897931E-4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559248"/>
        <c:axId val="210559632"/>
      </c:scatterChart>
      <c:valAx>
        <c:axId val="210559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0559632"/>
        <c:crosses val="autoZero"/>
        <c:crossBetween val="midCat"/>
      </c:valAx>
      <c:valAx>
        <c:axId val="21055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0559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35</xdr:row>
      <xdr:rowOff>176212</xdr:rowOff>
    </xdr:from>
    <xdr:to>
      <xdr:col>20</xdr:col>
      <xdr:colOff>304800</xdr:colOff>
      <xdr:row>50</xdr:row>
      <xdr:rowOff>61912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7"/>
  <sheetViews>
    <sheetView tabSelected="1" topLeftCell="A16" workbookViewId="0">
      <selection activeCell="O29" sqref="O29"/>
    </sheetView>
  </sheetViews>
  <sheetFormatPr defaultRowHeight="15" x14ac:dyDescent="0.25"/>
  <cols>
    <col min="2" max="2" width="11" bestFit="1" customWidth="1"/>
    <col min="8" max="8" width="10" bestFit="1" customWidth="1"/>
    <col min="13" max="13" width="12" bestFit="1" customWidth="1"/>
  </cols>
  <sheetData>
    <row r="1" spans="1:14" ht="18.75" x14ac:dyDescent="0.3">
      <c r="A1" s="14" t="s">
        <v>48</v>
      </c>
    </row>
    <row r="2" spans="1:14" ht="18.75" x14ac:dyDescent="0.3">
      <c r="A2" s="14" t="s">
        <v>32</v>
      </c>
    </row>
    <row r="3" spans="1:14" x14ac:dyDescent="0.25">
      <c r="A3" s="5" t="s">
        <v>22</v>
      </c>
      <c r="B3">
        <v>0.152</v>
      </c>
    </row>
    <row r="4" spans="1:14" x14ac:dyDescent="0.25">
      <c r="A4" s="11" t="s">
        <v>33</v>
      </c>
    </row>
    <row r="5" spans="1:14" x14ac:dyDescent="0.25">
      <c r="A5" t="s">
        <v>38</v>
      </c>
      <c r="B5" s="1" t="s">
        <v>34</v>
      </c>
      <c r="C5" s="1" t="s">
        <v>26</v>
      </c>
      <c r="D5" t="s">
        <v>39</v>
      </c>
      <c r="E5" s="1" t="s">
        <v>9</v>
      </c>
      <c r="F5" s="1" t="s">
        <v>14</v>
      </c>
      <c r="G5" s="1" t="s">
        <v>24</v>
      </c>
      <c r="H5" s="1" t="s">
        <v>43</v>
      </c>
      <c r="I5" s="1" t="s">
        <v>42</v>
      </c>
      <c r="J5" s="1"/>
      <c r="K5" s="1"/>
      <c r="L5" s="1"/>
      <c r="M5" s="1"/>
      <c r="N5" s="1"/>
    </row>
    <row r="6" spans="1:14" x14ac:dyDescent="0.25">
      <c r="A6">
        <v>0.14000000000000001</v>
      </c>
      <c r="B6" s="1">
        <v>0.04</v>
      </c>
      <c r="C6" s="1">
        <f>B6/3.3</f>
        <v>1.2121212121212123E-2</v>
      </c>
      <c r="D6">
        <f>A6*A6*PI()/4</f>
        <v>1.5393804002589988E-2</v>
      </c>
      <c r="E6" s="1">
        <f>C6*C6*PI()/4</f>
        <v>1.1539366955334412E-4</v>
      </c>
      <c r="F6" s="1">
        <f>B6*B6*PI()/4</f>
        <v>1.2566370614359172E-3</v>
      </c>
      <c r="G6" s="1">
        <f>E6/F6</f>
        <v>9.1827364554637303E-2</v>
      </c>
      <c r="H6" s="1">
        <v>0.2</v>
      </c>
      <c r="I6" s="1">
        <f>(B6-C6)/2/TAN(12/180*PI())</f>
        <v>6.5579692435154213E-2</v>
      </c>
      <c r="J6" s="1"/>
      <c r="K6" s="1"/>
      <c r="L6" s="1"/>
      <c r="M6" s="1"/>
      <c r="N6" s="1"/>
    </row>
    <row r="7" spans="1:14" x14ac:dyDescent="0.25">
      <c r="A7" s="11" t="s">
        <v>35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</row>
    <row r="8" spans="1:14" x14ac:dyDescent="0.25">
      <c r="A8" s="1" t="s">
        <v>4</v>
      </c>
      <c r="B8" s="1" t="s">
        <v>0</v>
      </c>
      <c r="C8" s="1" t="s">
        <v>1</v>
      </c>
      <c r="D8" s="1" t="s">
        <v>3</v>
      </c>
      <c r="E8" s="1" t="s">
        <v>23</v>
      </c>
      <c r="F8" s="1" t="s">
        <v>21</v>
      </c>
      <c r="G8" s="12" t="s">
        <v>27</v>
      </c>
    </row>
    <row r="9" spans="1:14" x14ac:dyDescent="0.25">
      <c r="A9" s="8">
        <f>B9*A12^C9</f>
        <v>1.3066076324284146E-2</v>
      </c>
      <c r="B9" s="8">
        <f>0.0653*10^(-4)</f>
        <v>6.5300000000000002E-6</v>
      </c>
      <c r="C9" s="1">
        <v>0.5</v>
      </c>
      <c r="D9" s="1">
        <v>1600</v>
      </c>
      <c r="E9" s="1">
        <f>PI()*A6*A6/4</f>
        <v>1.539380400258999E-2</v>
      </c>
      <c r="F9" s="9">
        <f>H6/A9</f>
        <v>15.306813999569796</v>
      </c>
      <c r="G9" s="13">
        <f>D9*D6*H6</f>
        <v>4.9260172808287965</v>
      </c>
    </row>
    <row r="10" spans="1:14" x14ac:dyDescent="0.25">
      <c r="A10" s="10" t="s">
        <v>36</v>
      </c>
      <c r="B10" s="8"/>
      <c r="C10" s="1"/>
      <c r="D10" s="1"/>
      <c r="E10" s="1"/>
      <c r="F10" s="1"/>
      <c r="G10" s="1"/>
      <c r="H10" s="1"/>
      <c r="I10" s="1"/>
      <c r="K10" s="1"/>
      <c r="L10" s="2"/>
      <c r="M10" s="3"/>
      <c r="N10" s="1"/>
    </row>
    <row r="11" spans="1:14" x14ac:dyDescent="0.25">
      <c r="A11" s="1" t="s">
        <v>2</v>
      </c>
      <c r="B11" s="1" t="s">
        <v>7</v>
      </c>
      <c r="C11" s="1"/>
      <c r="D11" s="1" t="s">
        <v>5</v>
      </c>
      <c r="E11" s="1" t="s">
        <v>8</v>
      </c>
      <c r="F11" s="1" t="s">
        <v>6</v>
      </c>
      <c r="G11" s="1" t="s">
        <v>19</v>
      </c>
      <c r="H11" s="1" t="s">
        <v>10</v>
      </c>
      <c r="I11" s="1" t="s">
        <v>11</v>
      </c>
      <c r="J11" s="1" t="s">
        <v>20</v>
      </c>
    </row>
    <row r="12" spans="1:14" x14ac:dyDescent="0.25">
      <c r="A12" s="1">
        <f>(D9*B9*E9*SQRT(D12*F12*B12)/(E12*E6*H12))^(1/(1-C9))</f>
        <v>4003722.9634463321</v>
      </c>
      <c r="B12" s="1">
        <v>2478</v>
      </c>
      <c r="C12" s="1"/>
      <c r="D12" s="1">
        <v>0.98</v>
      </c>
      <c r="E12" s="1">
        <v>0.98</v>
      </c>
      <c r="F12" s="1">
        <v>346.9</v>
      </c>
      <c r="G12" s="1">
        <v>1.22</v>
      </c>
      <c r="H12" s="1">
        <f>SQRT(G12*(2/(G12+1))^((G12+1)/(G12-1)))</f>
        <v>0.65238638059177945</v>
      </c>
      <c r="I12" s="2">
        <f>E6*A12*H12/(SQRT(F12*D12*B12))</f>
        <v>0.32838631513291694</v>
      </c>
      <c r="J12" s="1">
        <f>SQRT(2*G12/(G12+1)*F12*B12)</f>
        <v>972.01110548655208</v>
      </c>
    </row>
    <row r="13" spans="1:14" x14ac:dyDescent="0.25">
      <c r="A13" s="11" t="s">
        <v>37</v>
      </c>
      <c r="C13" s="1"/>
      <c r="D13" s="1"/>
      <c r="E13" s="1"/>
      <c r="F13" s="6"/>
      <c r="G13" s="1"/>
      <c r="H13" s="1"/>
      <c r="I13" s="1"/>
      <c r="J13" s="1"/>
    </row>
    <row r="14" spans="1:14" x14ac:dyDescent="0.25">
      <c r="A14" s="1" t="s">
        <v>13</v>
      </c>
      <c r="B14" s="1" t="s">
        <v>15</v>
      </c>
      <c r="C14" s="1" t="s">
        <v>16</v>
      </c>
      <c r="D14" s="1" t="s">
        <v>12</v>
      </c>
      <c r="E14" s="1" t="s">
        <v>17</v>
      </c>
      <c r="F14" s="6" t="s">
        <v>18</v>
      </c>
      <c r="H14" t="s">
        <v>25</v>
      </c>
      <c r="J14" t="s">
        <v>41</v>
      </c>
    </row>
    <row r="15" spans="1:14" x14ac:dyDescent="0.25">
      <c r="A15" s="1">
        <f>J12*F15</f>
        <v>2309.8395867871004</v>
      </c>
      <c r="B15" s="1">
        <f>A12*(1-(G12-1)/(G12+1)*F15*F15)^(1/(G12-1))</f>
        <v>96274.658950685945</v>
      </c>
      <c r="C15" s="1">
        <v>101325</v>
      </c>
      <c r="D15" s="3">
        <f>I12*A15+F6*(B15-C15)</f>
        <v>752.17326471769627</v>
      </c>
      <c r="E15" s="1">
        <f>D15*F9</f>
        <v>11513.376258482951</v>
      </c>
      <c r="F15" s="6">
        <v>2.3763510249513886</v>
      </c>
      <c r="H15">
        <f>F15*(1-(G12-1)/(G12+1)*F15*F15)^(1/(G12-1))*((G12+1)/2)^(1/(G12-1))-G6</f>
        <v>-3.6291123439724515E-9</v>
      </c>
      <c r="J15">
        <f>G9/I12</f>
        <v>15.000677719578395</v>
      </c>
    </row>
    <row r="16" spans="1:14" x14ac:dyDescent="0.25">
      <c r="A16" s="11" t="s">
        <v>40</v>
      </c>
      <c r="B16" s="1"/>
      <c r="C16" s="4" t="s">
        <v>28</v>
      </c>
      <c r="D16" s="4" t="s">
        <v>31</v>
      </c>
      <c r="E16" s="4" t="s">
        <v>30</v>
      </c>
      <c r="F16" s="5" t="s">
        <v>29</v>
      </c>
      <c r="G16" s="5" t="s">
        <v>27</v>
      </c>
      <c r="H16" s="1"/>
      <c r="I16" s="1"/>
      <c r="J16" s="1"/>
      <c r="K16" s="1"/>
      <c r="L16" s="1"/>
      <c r="M16" s="1"/>
    </row>
    <row r="17" spans="1:12" x14ac:dyDescent="0.25">
      <c r="C17" s="7">
        <f>B15/100000</f>
        <v>0.96274658950685943</v>
      </c>
      <c r="D17" s="7">
        <f>A12/1000000</f>
        <v>4.0037229634463323</v>
      </c>
      <c r="E17" s="7">
        <f>E15/1000</f>
        <v>11.513376258482952</v>
      </c>
      <c r="F17" s="7">
        <f>F9</f>
        <v>15.306813999569796</v>
      </c>
      <c r="G17" s="7">
        <f>G9</f>
        <v>4.9260172808287965</v>
      </c>
    </row>
    <row r="23" spans="1:12" ht="18.75" x14ac:dyDescent="0.3">
      <c r="A23" s="14" t="s">
        <v>44</v>
      </c>
    </row>
    <row r="24" spans="1:12" x14ac:dyDescent="0.25">
      <c r="A24" s="5" t="s">
        <v>22</v>
      </c>
      <c r="B24">
        <v>0.152</v>
      </c>
    </row>
    <row r="25" spans="1:12" x14ac:dyDescent="0.25">
      <c r="A25" s="11" t="s">
        <v>33</v>
      </c>
    </row>
    <row r="26" spans="1:12" x14ac:dyDescent="0.25">
      <c r="A26" t="s">
        <v>38</v>
      </c>
      <c r="B26" s="1" t="s">
        <v>34</v>
      </c>
      <c r="C26" s="1" t="s">
        <v>26</v>
      </c>
      <c r="D26" t="s">
        <v>39</v>
      </c>
      <c r="E26" s="1" t="s">
        <v>9</v>
      </c>
      <c r="F26" s="1" t="s">
        <v>14</v>
      </c>
      <c r="G26" s="1" t="s">
        <v>24</v>
      </c>
      <c r="H26" s="1" t="s">
        <v>43</v>
      </c>
      <c r="I26" s="1" t="s">
        <v>42</v>
      </c>
      <c r="J26" s="1"/>
    </row>
    <row r="27" spans="1:12" x14ac:dyDescent="0.25">
      <c r="A27">
        <v>0.14000000000000001</v>
      </c>
      <c r="B27" s="1">
        <f>0.03</f>
        <v>0.03</v>
      </c>
      <c r="C27" s="1">
        <f>0.02</f>
        <v>0.02</v>
      </c>
      <c r="D27">
        <f>A27*A27*PI()/4</f>
        <v>1.5393804002589988E-2</v>
      </c>
      <c r="E27" s="1">
        <f>C27*C27*PI()/4</f>
        <v>3.1415926535897931E-4</v>
      </c>
      <c r="F27" s="1">
        <f>B27*B27*PI()/4</f>
        <v>7.0685834705770342E-4</v>
      </c>
      <c r="G27" s="1">
        <f>E27/F27</f>
        <v>0.44444444444444448</v>
      </c>
      <c r="H27" s="1">
        <v>0.2</v>
      </c>
      <c r="I27" s="1">
        <f>(B27-C27)/2/TAN(12/180*PI())</f>
        <v>2.352315054739227E-2</v>
      </c>
      <c r="J27" s="1"/>
    </row>
    <row r="28" spans="1:12" x14ac:dyDescent="0.25">
      <c r="A28" s="11" t="s">
        <v>35</v>
      </c>
      <c r="B28" s="1"/>
      <c r="C28" s="1"/>
      <c r="D28" s="1"/>
      <c r="E28" s="1"/>
      <c r="F28" s="1"/>
      <c r="G28" s="1"/>
      <c r="H28" s="1"/>
      <c r="I28" s="1"/>
      <c r="J28" s="1"/>
    </row>
    <row r="29" spans="1:12" x14ac:dyDescent="0.25">
      <c r="A29" s="1" t="s">
        <v>4</v>
      </c>
      <c r="B29" s="1" t="s">
        <v>0</v>
      </c>
      <c r="C29" s="1" t="s">
        <v>1</v>
      </c>
      <c r="D29" s="1" t="s">
        <v>3</v>
      </c>
      <c r="E29" s="1" t="s">
        <v>23</v>
      </c>
      <c r="F29" s="1" t="s">
        <v>21</v>
      </c>
      <c r="G29" s="12" t="s">
        <v>27</v>
      </c>
    </row>
    <row r="30" spans="1:12" x14ac:dyDescent="0.25">
      <c r="A30" s="8">
        <f>B30*A33^C30</f>
        <v>1.7586157801675672E-2</v>
      </c>
      <c r="B30" s="8">
        <f>0.125*10^(-4)</f>
        <v>1.2500000000000001E-5</v>
      </c>
      <c r="C30" s="1">
        <v>0.5</v>
      </c>
      <c r="D30" s="1">
        <v>1600</v>
      </c>
      <c r="E30" s="1">
        <f>PI()*A27*A27/4</f>
        <v>1.539380400258999E-2</v>
      </c>
      <c r="F30" s="9">
        <f>H27/A30</f>
        <v>11.37258076809383</v>
      </c>
      <c r="G30" s="13">
        <f>D30*D27*H27</f>
        <v>4.9260172808287965</v>
      </c>
    </row>
    <row r="31" spans="1:12" x14ac:dyDescent="0.25">
      <c r="A31" s="10" t="s">
        <v>36</v>
      </c>
      <c r="B31" s="8"/>
      <c r="C31" s="1"/>
      <c r="D31" s="1"/>
      <c r="E31" s="1"/>
      <c r="F31" s="1"/>
      <c r="G31" s="1"/>
      <c r="H31" s="1"/>
      <c r="I31" s="1"/>
    </row>
    <row r="32" spans="1:12" x14ac:dyDescent="0.25">
      <c r="A32" s="1" t="s">
        <v>2</v>
      </c>
      <c r="B32" s="1" t="s">
        <v>7</v>
      </c>
      <c r="C32" s="1"/>
      <c r="D32" s="1" t="s">
        <v>5</v>
      </c>
      <c r="E32" s="1" t="s">
        <v>8</v>
      </c>
      <c r="F32" s="1" t="s">
        <v>6</v>
      </c>
      <c r="G32" s="1" t="s">
        <v>19</v>
      </c>
      <c r="H32" s="1" t="s">
        <v>10</v>
      </c>
      <c r="I32" s="1" t="s">
        <v>11</v>
      </c>
      <c r="J32" s="1" t="s">
        <v>20</v>
      </c>
      <c r="K32" s="1" t="s">
        <v>49</v>
      </c>
      <c r="L32" s="1" t="s">
        <v>50</v>
      </c>
    </row>
    <row r="33" spans="1:12" x14ac:dyDescent="0.25">
      <c r="A33" s="1">
        <f>(D30*B30*E30*SQRT(D33*F33*B33)/(E33*E27*H33))^(1/(1-C30))</f>
        <v>1979346.8558428036</v>
      </c>
      <c r="B33" s="1">
        <v>2478</v>
      </c>
      <c r="C33" s="1"/>
      <c r="D33" s="1">
        <v>0.98</v>
      </c>
      <c r="E33" s="1">
        <v>0.98</v>
      </c>
      <c r="F33" s="1">
        <v>346.9</v>
      </c>
      <c r="G33" s="1">
        <v>1.22</v>
      </c>
      <c r="H33" s="1">
        <f>SQRT(G33*(2/(G33+1))^((G33+1)/(G33-1)))</f>
        <v>0.65238638059177945</v>
      </c>
      <c r="I33" s="2">
        <f>E27*A33*H33/(SQRT(F33*D33*B33))</f>
        <v>0.44198835323692098</v>
      </c>
      <c r="J33" s="1">
        <f>SQRT(2*G33/(G33+1)*F33*B33)</f>
        <v>972.01110548655208</v>
      </c>
      <c r="K33">
        <f>B33*(1-(G33-1)/(G33+1))</f>
        <v>2232.4324324324325</v>
      </c>
      <c r="L33">
        <f>A33*(1-(G33-1)/(G33+1))^(1/(G33-1))</f>
        <v>1231709.711396714</v>
      </c>
    </row>
    <row r="34" spans="1:12" x14ac:dyDescent="0.25">
      <c r="A34" s="11" t="s">
        <v>37</v>
      </c>
      <c r="C34" s="1"/>
      <c r="D34" s="1"/>
      <c r="E34" s="1"/>
      <c r="F34" s="6"/>
      <c r="G34" s="1"/>
      <c r="H34" s="1"/>
      <c r="I34" s="1"/>
      <c r="J34" s="1"/>
    </row>
    <row r="35" spans="1:12" x14ac:dyDescent="0.25">
      <c r="A35" s="1" t="s">
        <v>13</v>
      </c>
      <c r="B35" s="1" t="s">
        <v>15</v>
      </c>
      <c r="C35" s="1" t="s">
        <v>16</v>
      </c>
      <c r="D35" s="1" t="s">
        <v>12</v>
      </c>
      <c r="E35" s="1" t="s">
        <v>17</v>
      </c>
      <c r="F35" s="6" t="s">
        <v>18</v>
      </c>
      <c r="H35" t="s">
        <v>25</v>
      </c>
      <c r="J35" t="s">
        <v>41</v>
      </c>
    </row>
    <row r="36" spans="1:12" x14ac:dyDescent="0.25">
      <c r="A36" s="1">
        <f>J33*F36</f>
        <v>1806.7510999083663</v>
      </c>
      <c r="B36" s="1">
        <f>A33*(1-(G33-1)/(G33+1)*F36*F36)^(1/(G33-1))</f>
        <v>294509.20226857165</v>
      </c>
      <c r="C36" s="1">
        <v>101325</v>
      </c>
      <c r="D36" s="3">
        <f>I33*A36+F27*(B36-C36)</f>
        <v>935.11680925071812</v>
      </c>
      <c r="E36" s="8">
        <f>D36*F30</f>
        <v>10634.691440805984</v>
      </c>
      <c r="F36" s="6">
        <v>1.8587761906320761</v>
      </c>
      <c r="H36">
        <f>F36*(1-(G33-1)/(G33+1)*F36*F36)^(1/(G33-1))*((G33+1)/2)^(1/(G33-1))-G27</f>
        <v>1.2559804141165642E-7</v>
      </c>
      <c r="J36">
        <f>G30/I33</f>
        <v>11.145129152731954</v>
      </c>
    </row>
    <row r="37" spans="1:12" x14ac:dyDescent="0.25">
      <c r="A37" s="11" t="s">
        <v>40</v>
      </c>
      <c r="B37" s="1"/>
      <c r="C37" s="4" t="s">
        <v>47</v>
      </c>
      <c r="D37" s="4" t="s">
        <v>45</v>
      </c>
      <c r="E37" s="4" t="s">
        <v>30</v>
      </c>
      <c r="F37" s="5" t="s">
        <v>46</v>
      </c>
      <c r="G37" s="5" t="s">
        <v>27</v>
      </c>
      <c r="H37" s="1"/>
      <c r="I37" s="1"/>
      <c r="J37" s="1"/>
    </row>
    <row r="38" spans="1:12" x14ac:dyDescent="0.25">
      <c r="C38" s="7">
        <f>B36/100000</f>
        <v>2.9450920226857167</v>
      </c>
      <c r="D38" s="7">
        <f>A33/1000000</f>
        <v>1.9793468558428036</v>
      </c>
      <c r="E38" s="7">
        <f>E36/1000</f>
        <v>10.634691440805984</v>
      </c>
      <c r="F38" s="7">
        <f>F30</f>
        <v>11.37258076809383</v>
      </c>
      <c r="G38" s="7">
        <f>G30</f>
        <v>4.9260172808287965</v>
      </c>
    </row>
    <row r="40" spans="1:12" x14ac:dyDescent="0.25">
      <c r="A40" t="s">
        <v>51</v>
      </c>
    </row>
    <row r="41" spans="1:12" x14ac:dyDescent="0.25">
      <c r="A41" t="s">
        <v>13</v>
      </c>
      <c r="D41" t="s">
        <v>12</v>
      </c>
      <c r="E41" t="s">
        <v>17</v>
      </c>
    </row>
    <row r="42" spans="1:12" x14ac:dyDescent="0.25">
      <c r="A42">
        <f>SQRT(2*G33/(G33-1)*F33*B33*(1-POWER(B36/A33,(G33-1)/G33)))</f>
        <v>1664.9626724136592</v>
      </c>
      <c r="D42">
        <f>G30/F30*A42+F27*(B36-C36)</f>
        <v>857.73009347865889</v>
      </c>
    </row>
    <row r="43" spans="1:12" x14ac:dyDescent="0.25">
      <c r="C43" t="s">
        <v>52</v>
      </c>
      <c r="D43">
        <f>G30/F30*A42+F27*(B36-0)</f>
        <v>929.35251549428062</v>
      </c>
    </row>
    <row r="44" spans="1:12" x14ac:dyDescent="0.25">
      <c r="A44" t="s">
        <v>54</v>
      </c>
    </row>
    <row r="45" spans="1:12" x14ac:dyDescent="0.25">
      <c r="A45" t="s">
        <v>53</v>
      </c>
      <c r="B45">
        <v>1.25</v>
      </c>
      <c r="C45">
        <v>2.4</v>
      </c>
      <c r="D45">
        <v>3.9</v>
      </c>
      <c r="E45">
        <v>4.9000000000000004</v>
      </c>
      <c r="F45">
        <v>6.5</v>
      </c>
      <c r="G45">
        <v>9.8000000000000007</v>
      </c>
      <c r="H45">
        <v>15.3</v>
      </c>
      <c r="I45">
        <v>27</v>
      </c>
      <c r="J45">
        <v>60</v>
      </c>
    </row>
    <row r="46" spans="1:12" x14ac:dyDescent="0.25">
      <c r="A46" t="s">
        <v>14</v>
      </c>
      <c r="B46">
        <v>1.5393804002589988E-2</v>
      </c>
      <c r="C46">
        <v>7.8539816339744835E-3</v>
      </c>
      <c r="D46">
        <v>5.0265482457436689E-3</v>
      </c>
      <c r="E46">
        <v>3.8484510006474969E-3</v>
      </c>
      <c r="F46">
        <v>2.8274333882308137E-3</v>
      </c>
      <c r="G46">
        <v>1.9634954084936209E-3</v>
      </c>
      <c r="H46">
        <v>1.2566370614359172E-3</v>
      </c>
      <c r="I46">
        <v>7.0685834705770342E-4</v>
      </c>
      <c r="J46">
        <v>3.1415926535897931E-4</v>
      </c>
    </row>
    <row r="47" spans="1:12" x14ac:dyDescent="0.25">
      <c r="A47" t="s">
        <v>22</v>
      </c>
      <c r="B47">
        <f>SQRT(B46*4/PI())</f>
        <v>0.14000000000000001</v>
      </c>
      <c r="C47">
        <f t="shared" ref="C47:H47" si="0">SQRT(C46*4/PI())</f>
        <v>0.1</v>
      </c>
      <c r="D47">
        <f t="shared" si="0"/>
        <v>0.08</v>
      </c>
      <c r="E47">
        <f t="shared" si="0"/>
        <v>7.0000000000000007E-2</v>
      </c>
      <c r="F47">
        <f t="shared" si="0"/>
        <v>0.06</v>
      </c>
      <c r="G47">
        <f t="shared" si="0"/>
        <v>0.05</v>
      </c>
      <c r="H47">
        <f t="shared" si="0"/>
        <v>0.04</v>
      </c>
      <c r="I47">
        <f>SQRT(I46*4/PI())</f>
        <v>0.03</v>
      </c>
      <c r="J47">
        <f>SQRT(J46*4/PI())</f>
        <v>0.02</v>
      </c>
    </row>
    <row r="52" spans="1:12" ht="18.75" x14ac:dyDescent="0.3">
      <c r="A52" s="14" t="s">
        <v>55</v>
      </c>
    </row>
    <row r="53" spans="1:12" x14ac:dyDescent="0.25">
      <c r="A53" s="5" t="s">
        <v>22</v>
      </c>
      <c r="B53">
        <v>0.152</v>
      </c>
    </row>
    <row r="54" spans="1:12" x14ac:dyDescent="0.25">
      <c r="A54" s="11" t="s">
        <v>33</v>
      </c>
    </row>
    <row r="55" spans="1:12" x14ac:dyDescent="0.25">
      <c r="A55" t="s">
        <v>38</v>
      </c>
      <c r="B55" s="1" t="s">
        <v>34</v>
      </c>
      <c r="C55" s="1" t="s">
        <v>26</v>
      </c>
      <c r="D55" t="s">
        <v>39</v>
      </c>
      <c r="E55" s="1" t="s">
        <v>9</v>
      </c>
      <c r="F55" s="1" t="s">
        <v>14</v>
      </c>
      <c r="G55" s="1" t="s">
        <v>24</v>
      </c>
      <c r="H55" s="1" t="s">
        <v>43</v>
      </c>
      <c r="I55" s="1" t="s">
        <v>42</v>
      </c>
      <c r="J55" s="1"/>
    </row>
    <row r="56" spans="1:12" x14ac:dyDescent="0.25">
      <c r="A56">
        <v>0.14000000000000001</v>
      </c>
      <c r="B56" s="1">
        <v>0.06</v>
      </c>
      <c r="C56" s="1">
        <v>0.06</v>
      </c>
      <c r="D56">
        <f>A56*A56*PI()/4</f>
        <v>1.5393804002589988E-2</v>
      </c>
      <c r="E56" s="1">
        <f>C56*C56*PI()/4</f>
        <v>2.8274333882308137E-3</v>
      </c>
      <c r="F56" s="1">
        <f>B56*B56*PI()/4</f>
        <v>2.8274333882308137E-3</v>
      </c>
      <c r="G56" s="1">
        <f>E56/F56</f>
        <v>1</v>
      </c>
      <c r="H56" s="1">
        <v>0.2</v>
      </c>
      <c r="I56" s="1">
        <f>(B56-C56)/2/TAN(12/180*PI())</f>
        <v>0</v>
      </c>
      <c r="J56" s="1"/>
    </row>
    <row r="57" spans="1:12" x14ac:dyDescent="0.25">
      <c r="A57" s="11" t="s">
        <v>35</v>
      </c>
      <c r="B57" s="1"/>
      <c r="C57" s="1"/>
      <c r="D57" s="1"/>
      <c r="E57" s="1"/>
      <c r="F57" s="1"/>
      <c r="G57" s="1"/>
      <c r="H57" s="1"/>
      <c r="I57" s="1"/>
      <c r="J57" s="1"/>
    </row>
    <row r="58" spans="1:12" x14ac:dyDescent="0.25">
      <c r="A58" s="1" t="s">
        <v>4</v>
      </c>
      <c r="B58" s="1" t="s">
        <v>0</v>
      </c>
      <c r="C58" s="1" t="s">
        <v>1</v>
      </c>
      <c r="D58" s="1" t="s">
        <v>3</v>
      </c>
      <c r="E58" s="1" t="s">
        <v>23</v>
      </c>
      <c r="F58" s="1" t="s">
        <v>21</v>
      </c>
      <c r="G58" s="12" t="s">
        <v>27</v>
      </c>
    </row>
    <row r="59" spans="1:12" x14ac:dyDescent="0.25">
      <c r="A59" s="8">
        <f>B59*A62^C59</f>
        <v>1.9860848015113394E-2</v>
      </c>
      <c r="B59" s="8">
        <f>0.5*10^(-4)</f>
        <v>5.0000000000000002E-5</v>
      </c>
      <c r="C59" s="1">
        <v>0.5</v>
      </c>
      <c r="D59" s="1">
        <v>1600</v>
      </c>
      <c r="E59" s="1">
        <f>PI()*A56*A56/4</f>
        <v>1.539380400258999E-2</v>
      </c>
      <c r="F59" s="9">
        <f>H56/A59</f>
        <v>10.07006346596113</v>
      </c>
      <c r="G59" s="13">
        <f>D59*D56*H56</f>
        <v>4.9260172808287965</v>
      </c>
    </row>
    <row r="60" spans="1:12" x14ac:dyDescent="0.25">
      <c r="A60" s="10" t="s">
        <v>36</v>
      </c>
      <c r="B60" s="8"/>
      <c r="C60" s="1"/>
      <c r="D60" s="1"/>
      <c r="E60" s="1"/>
      <c r="F60" s="1"/>
      <c r="G60" s="1"/>
      <c r="H60" s="1"/>
      <c r="I60" s="1"/>
    </row>
    <row r="61" spans="1:12" x14ac:dyDescent="0.25">
      <c r="A61" s="1" t="s">
        <v>2</v>
      </c>
      <c r="B61" s="1" t="s">
        <v>7</v>
      </c>
      <c r="C61" s="1"/>
      <c r="D61" s="1" t="s">
        <v>5</v>
      </c>
      <c r="E61" s="1" t="s">
        <v>8</v>
      </c>
      <c r="F61" s="1" t="s">
        <v>6</v>
      </c>
      <c r="G61" s="1" t="s">
        <v>19</v>
      </c>
      <c r="H61" s="1" t="s">
        <v>10</v>
      </c>
      <c r="I61" s="1" t="s">
        <v>11</v>
      </c>
      <c r="J61" s="1" t="s">
        <v>20</v>
      </c>
      <c r="K61" s="1" t="s">
        <v>49</v>
      </c>
      <c r="L61" s="1" t="s">
        <v>50</v>
      </c>
    </row>
    <row r="62" spans="1:12" x14ac:dyDescent="0.25">
      <c r="A62" s="1">
        <f>(D59*B59*E59*SQRT(D62*F62*B62)/(E62*E56*H62))^(1/(1-C59))</f>
        <v>157781.31355177343</v>
      </c>
      <c r="B62" s="1">
        <v>1000</v>
      </c>
      <c r="C62" s="1"/>
      <c r="D62" s="1">
        <v>0.98</v>
      </c>
      <c r="E62" s="1">
        <v>0.98</v>
      </c>
      <c r="F62" s="1">
        <v>346.9</v>
      </c>
      <c r="G62" s="1">
        <v>1.22</v>
      </c>
      <c r="H62" s="1">
        <f>SQRT(G62*(2/(G62+1))^((G62+1)/(G62-1)))</f>
        <v>0.65238638059177945</v>
      </c>
      <c r="I62" s="2">
        <f>E56*A62*H62/(SQRT(F62*D62*B62))</f>
        <v>0.49915755374674931</v>
      </c>
      <c r="J62" s="1">
        <f>SQRT(2*G62/(G62+1)*F62*B62)</f>
        <v>617.4767019714003</v>
      </c>
      <c r="K62">
        <f>B62*(1-(G62-1)/(G62+1))</f>
        <v>900.90090090090087</v>
      </c>
      <c r="L62">
        <f>A62*(1-(G62-1)/(G62+1))^(1/(G62-1))</f>
        <v>98184.295291640141</v>
      </c>
    </row>
    <row r="63" spans="1:12" x14ac:dyDescent="0.25">
      <c r="A63" s="11" t="s">
        <v>37</v>
      </c>
      <c r="C63" s="1"/>
      <c r="D63" s="1"/>
      <c r="E63" s="1"/>
      <c r="F63" s="6"/>
      <c r="G63" s="1"/>
      <c r="H63" s="1"/>
      <c r="I63" s="1"/>
      <c r="J63" s="1"/>
    </row>
    <row r="64" spans="1:12" x14ac:dyDescent="0.25">
      <c r="A64" s="1" t="s">
        <v>13</v>
      </c>
      <c r="B64" s="1" t="s">
        <v>15</v>
      </c>
      <c r="C64" s="1" t="s">
        <v>16</v>
      </c>
      <c r="D64" s="1" t="s">
        <v>12</v>
      </c>
      <c r="E64" s="1" t="s">
        <v>17</v>
      </c>
      <c r="F64" s="6" t="s">
        <v>18</v>
      </c>
      <c r="H64" t="s">
        <v>25</v>
      </c>
      <c r="J64" t="s">
        <v>41</v>
      </c>
    </row>
    <row r="65" spans="1:10" x14ac:dyDescent="0.25">
      <c r="A65" s="1">
        <f>J62*F65</f>
        <v>617.4767019714003</v>
      </c>
      <c r="B65" s="1">
        <f>A62*(1-(G62-1)/(G62+1)*F65*F65)^(1/(G62-1))</f>
        <v>98184.295291640141</v>
      </c>
      <c r="C65" s="1">
        <v>101325</v>
      </c>
      <c r="D65" s="3">
        <f>I62*A65+F56*(B65-C65)</f>
        <v>299.33802669666437</v>
      </c>
      <c r="E65" s="8">
        <f>D65*F59</f>
        <v>3014.3529266109772</v>
      </c>
      <c r="F65" s="6">
        <v>1</v>
      </c>
      <c r="H65">
        <f>F65*(1-(G62-1)/(G62+1)*F65*F65)^(1/(G62-1))*((G62+1)/2)^(1/(G62-1))-G56</f>
        <v>0</v>
      </c>
      <c r="J65">
        <f>G59/I62</f>
        <v>9.8686621966419086</v>
      </c>
    </row>
    <row r="66" spans="1:10" x14ac:dyDescent="0.25">
      <c r="A66" s="11" t="s">
        <v>40</v>
      </c>
      <c r="B66" s="1"/>
      <c r="C66" s="4" t="s">
        <v>47</v>
      </c>
      <c r="D66" s="4" t="s">
        <v>45</v>
      </c>
      <c r="E66" s="4" t="s">
        <v>30</v>
      </c>
      <c r="F66" s="5" t="s">
        <v>46</v>
      </c>
      <c r="G66" s="5" t="s">
        <v>27</v>
      </c>
      <c r="H66" s="1"/>
      <c r="I66" s="1"/>
      <c r="J66" s="1"/>
    </row>
    <row r="67" spans="1:10" x14ac:dyDescent="0.25">
      <c r="C67" s="7">
        <f>B65/100000</f>
        <v>0.98184295291640145</v>
      </c>
      <c r="D67" s="7">
        <f>A62/1000000</f>
        <v>0.15778131355177344</v>
      </c>
      <c r="E67" s="7">
        <f>E65/1000</f>
        <v>3.014352926610977</v>
      </c>
      <c r="F67" s="7">
        <f>F59</f>
        <v>10.07006346596113</v>
      </c>
      <c r="G67" s="7">
        <f>G59</f>
        <v>4.9260172808287965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2023-04-12T05:53:35Z</dcterms:modified>
</cp:coreProperties>
</file>