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52арс" sheetId="1" r:id="rId1"/>
    <sheet name="152" sheetId="2" r:id="rId2"/>
  </sheets>
  <calcPr calcId="152511"/>
</workbook>
</file>

<file path=xl/calcChain.xml><?xml version="1.0" encoding="utf-8"?>
<calcChain xmlns="http://schemas.openxmlformats.org/spreadsheetml/2006/main">
  <c r="F18" i="1" l="1"/>
  <c r="G6" i="1" l="1"/>
  <c r="J19" i="1" l="1"/>
  <c r="J20" i="1"/>
  <c r="J18" i="1"/>
  <c r="D18" i="1" l="1"/>
  <c r="D19" i="1" l="1"/>
  <c r="B29" i="1"/>
  <c r="B32" i="1"/>
  <c r="B32" i="2"/>
  <c r="D13" i="2"/>
  <c r="D16" i="2"/>
  <c r="C14" i="2"/>
  <c r="B29" i="2"/>
  <c r="B26" i="2"/>
  <c r="B35" i="2"/>
  <c r="D15" i="2"/>
  <c r="F14" i="2"/>
  <c r="L13" i="2"/>
  <c r="L16" i="2" s="1"/>
  <c r="E13" i="2"/>
  <c r="B13" i="2" s="1"/>
  <c r="C13" i="2"/>
  <c r="L12" i="2"/>
  <c r="D12" i="2"/>
  <c r="C12" i="2"/>
  <c r="B12" i="2" s="1"/>
  <c r="C15" i="2" s="1"/>
  <c r="F15" i="2" s="1"/>
  <c r="M11" i="2"/>
  <c r="L11" i="2"/>
  <c r="J11" i="2"/>
  <c r="D11" i="2"/>
  <c r="K11" i="2" s="1"/>
  <c r="C11" i="2"/>
  <c r="G6" i="2"/>
  <c r="E5" i="2"/>
  <c r="E8" i="2" s="1"/>
  <c r="B3" i="2"/>
  <c r="B3" i="1"/>
  <c r="L14" i="2" l="1"/>
  <c r="J15" i="2"/>
  <c r="K15" i="2"/>
  <c r="B27" i="2"/>
  <c r="F13" i="2"/>
  <c r="C16" i="2"/>
  <c r="F16" i="2" s="1"/>
  <c r="K14" i="2"/>
  <c r="J14" i="2"/>
  <c r="B33" i="2"/>
  <c r="B28" i="2"/>
  <c r="L15" i="2"/>
  <c r="M15" i="2" s="1"/>
  <c r="F12" i="2"/>
  <c r="K12" i="1"/>
  <c r="B26" i="1"/>
  <c r="K13" i="1"/>
  <c r="K15" i="1"/>
  <c r="K11" i="1"/>
  <c r="L11" i="1" s="1"/>
  <c r="B20" i="1"/>
  <c r="C21" i="1"/>
  <c r="F21" i="1" s="1"/>
  <c r="B35" i="1" s="1"/>
  <c r="C20" i="1"/>
  <c r="F20" i="1" s="1"/>
  <c r="C13" i="1"/>
  <c r="C18" i="1"/>
  <c r="B18" i="1" s="1"/>
  <c r="C19" i="1" s="1"/>
  <c r="C14" i="1"/>
  <c r="F14" i="1" s="1"/>
  <c r="I14" i="1" s="1"/>
  <c r="C11" i="1"/>
  <c r="I11" i="1" s="1"/>
  <c r="D16" i="1"/>
  <c r="D15" i="1"/>
  <c r="D13" i="1"/>
  <c r="E13" i="1"/>
  <c r="B13" i="1" s="1"/>
  <c r="D11" i="1"/>
  <c r="D12" i="1"/>
  <c r="E5" i="1"/>
  <c r="E8" i="1" s="1"/>
  <c r="K20" i="1" s="1"/>
  <c r="C12" i="1"/>
  <c r="B12" i="1" s="1"/>
  <c r="K13" i="2" l="1"/>
  <c r="J13" i="2"/>
  <c r="M13" i="2"/>
  <c r="J12" i="2"/>
  <c r="K12" i="2"/>
  <c r="F17" i="2"/>
  <c r="M12" i="2"/>
  <c r="B34" i="2"/>
  <c r="M14" i="2"/>
  <c r="M16" i="2"/>
  <c r="K16" i="2"/>
  <c r="J16" i="2"/>
  <c r="F13" i="1"/>
  <c r="J13" i="1" s="1"/>
  <c r="B28" i="1"/>
  <c r="J11" i="1"/>
  <c r="C15" i="1"/>
  <c r="F15" i="1" s="1"/>
  <c r="L15" i="1" s="1"/>
  <c r="F12" i="1"/>
  <c r="I20" i="1"/>
  <c r="K14" i="1"/>
  <c r="L14" i="1" s="1"/>
  <c r="B27" i="1"/>
  <c r="F19" i="1"/>
  <c r="B33" i="1" s="1"/>
  <c r="L20" i="1"/>
  <c r="K18" i="1"/>
  <c r="K19" i="1" s="1"/>
  <c r="B34" i="1"/>
  <c r="J14" i="1"/>
  <c r="K16" i="1"/>
  <c r="B31" i="2" l="1"/>
  <c r="B30" i="2"/>
  <c r="J17" i="2"/>
  <c r="M17" i="2"/>
  <c r="L13" i="1"/>
  <c r="I13" i="1"/>
  <c r="L19" i="1"/>
  <c r="I19" i="1"/>
  <c r="J12" i="1"/>
  <c r="I12" i="1"/>
  <c r="L12" i="1"/>
  <c r="I15" i="1"/>
  <c r="J15" i="1"/>
  <c r="L18" i="1"/>
  <c r="I18" i="1"/>
  <c r="C16" i="1"/>
  <c r="F16" i="1" s="1"/>
  <c r="F17" i="1" s="1"/>
  <c r="B31" i="1" s="1"/>
  <c r="B41" i="2" l="1"/>
  <c r="L17" i="2"/>
  <c r="L16" i="1"/>
  <c r="L17" i="1" s="1"/>
  <c r="L21" i="1" s="1"/>
  <c r="L22" i="1" s="1"/>
  <c r="J16" i="1"/>
  <c r="I16" i="1"/>
  <c r="I17" i="1" s="1"/>
  <c r="Q17" i="2" l="1"/>
  <c r="B37" i="2"/>
  <c r="N11" i="2"/>
  <c r="O11" i="2" s="1"/>
  <c r="N17" i="2"/>
  <c r="N12" i="2"/>
  <c r="O12" i="2" s="1"/>
  <c r="N16" i="2"/>
  <c r="O16" i="2" s="1"/>
  <c r="N13" i="2"/>
  <c r="O13" i="2" s="1"/>
  <c r="N14" i="2"/>
  <c r="O14" i="2" s="1"/>
  <c r="N15" i="2"/>
  <c r="O15" i="2" s="1"/>
  <c r="B43" i="2"/>
  <c r="B42" i="2"/>
  <c r="K17" i="1"/>
  <c r="B37" i="1" s="1"/>
  <c r="I21" i="1"/>
  <c r="B41" i="1"/>
  <c r="F22" i="1"/>
  <c r="B30" i="1" s="1"/>
  <c r="M12" i="1" l="1"/>
  <c r="N12" i="1" s="1"/>
  <c r="M13" i="1"/>
  <c r="N13" i="1" s="1"/>
  <c r="M11" i="1"/>
  <c r="N11" i="1" s="1"/>
  <c r="P17" i="2"/>
  <c r="O17" i="2" s="1"/>
  <c r="B39" i="2"/>
  <c r="B38" i="2"/>
  <c r="M15" i="1"/>
  <c r="N15" i="1" s="1"/>
  <c r="M14" i="1"/>
  <c r="N14" i="1" s="1"/>
  <c r="M16" i="1"/>
  <c r="N16" i="1" s="1"/>
  <c r="I22" i="1"/>
  <c r="B43" i="1" s="1"/>
  <c r="B42" i="1"/>
  <c r="K21" i="1"/>
  <c r="M19" i="1" s="1"/>
  <c r="N19" i="1" s="1"/>
  <c r="K22" i="1"/>
  <c r="B39" i="1" s="1"/>
  <c r="C41" i="2" l="1"/>
  <c r="R17" i="2"/>
  <c r="C43" i="2" s="1"/>
  <c r="C42" i="2"/>
  <c r="O17" i="1"/>
  <c r="B45" i="1" s="1"/>
  <c r="M17" i="1"/>
  <c r="M20" i="1"/>
  <c r="N20" i="1" s="1"/>
  <c r="B38" i="1"/>
  <c r="M18" i="1"/>
  <c r="N18" i="1" s="1"/>
  <c r="P18" i="1"/>
  <c r="Q18" i="1" s="1"/>
  <c r="P17" i="1"/>
  <c r="P20" i="1"/>
  <c r="Q20" i="1" s="1"/>
  <c r="Q17" i="1" l="1"/>
  <c r="Q21" i="1" s="1"/>
  <c r="B47" i="1" s="1"/>
  <c r="N17" i="1"/>
  <c r="N21" i="1" s="1"/>
  <c r="B46" i="1" s="1"/>
</calcChain>
</file>

<file path=xl/sharedStrings.xml><?xml version="1.0" encoding="utf-8"?>
<sst xmlns="http://schemas.openxmlformats.org/spreadsheetml/2006/main" count="189" uniqueCount="66">
  <si>
    <t>l_сн</t>
  </si>
  <si>
    <t>l_кам</t>
  </si>
  <si>
    <t>l_соп</t>
  </si>
  <si>
    <t>d_дон</t>
  </si>
  <si>
    <t>d_соп</t>
  </si>
  <si>
    <t>d_кр</t>
  </si>
  <si>
    <t>Масса, кг</t>
  </si>
  <si>
    <t>снаряд</t>
  </si>
  <si>
    <t>камера</t>
  </si>
  <si>
    <t>топливо</t>
  </si>
  <si>
    <t>сопло</t>
  </si>
  <si>
    <t>заглушка</t>
  </si>
  <si>
    <t>Плотность, кг/м3</t>
  </si>
  <si>
    <t>сталь</t>
  </si>
  <si>
    <t>вв</t>
  </si>
  <si>
    <t>взрыватель</t>
  </si>
  <si>
    <t>l</t>
  </si>
  <si>
    <t>h</t>
  </si>
  <si>
    <t>m</t>
  </si>
  <si>
    <t>Сумма</t>
  </si>
  <si>
    <t>Центр масс</t>
  </si>
  <si>
    <t>x_cm</t>
  </si>
  <si>
    <t>Длина, мм</t>
  </si>
  <si>
    <t>Моменты инерции</t>
  </si>
  <si>
    <t>Ix</t>
  </si>
  <si>
    <t>Iy</t>
  </si>
  <si>
    <t>форма</t>
  </si>
  <si>
    <t>конус</t>
  </si>
  <si>
    <t>цилиндр полый</t>
  </si>
  <si>
    <t>цилиндр сплошной</t>
  </si>
  <si>
    <t>корпус_гол.часть</t>
  </si>
  <si>
    <t>корпус_цил.часть</t>
  </si>
  <si>
    <t>ВВ_гол_ч</t>
  </si>
  <si>
    <t>ВВ_цил_ч</t>
  </si>
  <si>
    <t>d_гол, мм</t>
  </si>
  <si>
    <t>d_цил</t>
  </si>
  <si>
    <t>l_гол</t>
  </si>
  <si>
    <t>l_цил</t>
  </si>
  <si>
    <t>d_взрыв</t>
  </si>
  <si>
    <t>l_взр</t>
  </si>
  <si>
    <t>корпус_дно</t>
  </si>
  <si>
    <t>r1</t>
  </si>
  <si>
    <t>r2</t>
  </si>
  <si>
    <t>d_cm</t>
  </si>
  <si>
    <t>m*x</t>
  </si>
  <si>
    <t>локальные</t>
  </si>
  <si>
    <t>глобальные</t>
  </si>
  <si>
    <t>без топл.</t>
  </si>
  <si>
    <t>с топл.</t>
  </si>
  <si>
    <t>Параметры снаряда</t>
  </si>
  <si>
    <t>калибр, мм</t>
  </si>
  <si>
    <t>длина, мм</t>
  </si>
  <si>
    <t>масса, кг</t>
  </si>
  <si>
    <t>_снаряда</t>
  </si>
  <si>
    <t>_топлива</t>
  </si>
  <si>
    <t>_камеры+сопла</t>
  </si>
  <si>
    <t>_заглушка</t>
  </si>
  <si>
    <t>Центр масс от носа, мм</t>
  </si>
  <si>
    <t>_снаряда с топливом</t>
  </si>
  <si>
    <t>_снаряда без топливом</t>
  </si>
  <si>
    <t>угол расшир (&lt;12)</t>
  </si>
  <si>
    <t>_ВВ</t>
  </si>
  <si>
    <t>сталь с60</t>
  </si>
  <si>
    <t>тротил</t>
  </si>
  <si>
    <t>порох.заряд</t>
  </si>
  <si>
    <t>Таблица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</si>
</sst>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0" fontId="1" fillId="0" borderId="0" xfId="0" applyFont="1"/>
    <xf numFmtId="165" fontId="0" fillId="0" borderId="0" xfId="0" applyNumberFormat="1"/>
    <xf numFmtId="165" fontId="3" fillId="0" borderId="0" xfId="0" applyNumberFormat="1" applyFont="1"/>
    <xf numFmtId="0" fontId="0" fillId="2" borderId="0" xfId="0" applyFill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tabSelected="1" topLeftCell="C19" workbookViewId="0">
      <selection activeCell="J24" sqref="J24"/>
    </sheetView>
  </sheetViews>
  <sheetFormatPr defaultRowHeight="15" x14ac:dyDescent="0.25"/>
  <cols>
    <col min="1" max="1" width="21.28515625" customWidth="1"/>
    <col min="7" max="7" width="23.7109375" customWidth="1"/>
    <col min="8" max="8" width="28.5703125" customWidth="1"/>
    <col min="10" max="10" width="27.42578125" customWidth="1"/>
  </cols>
  <sheetData>
    <row r="2" spans="1:15" x14ac:dyDescent="0.25">
      <c r="A2" t="s">
        <v>38</v>
      </c>
      <c r="B2">
        <v>40</v>
      </c>
      <c r="D2" t="s">
        <v>39</v>
      </c>
      <c r="E2">
        <v>60</v>
      </c>
      <c r="H2" t="s">
        <v>12</v>
      </c>
    </row>
    <row r="3" spans="1:15" x14ac:dyDescent="0.25">
      <c r="A3" t="s">
        <v>34</v>
      </c>
      <c r="B3">
        <f>(40+152+10)/2</f>
        <v>101</v>
      </c>
      <c r="D3" t="s">
        <v>36</v>
      </c>
      <c r="E3">
        <v>260</v>
      </c>
      <c r="H3" t="s">
        <v>62</v>
      </c>
      <c r="I3">
        <v>7800</v>
      </c>
    </row>
    <row r="4" spans="1:15" x14ac:dyDescent="0.25">
      <c r="A4" t="s">
        <v>35</v>
      </c>
      <c r="B4">
        <v>152</v>
      </c>
      <c r="D4" t="s">
        <v>37</v>
      </c>
      <c r="E4">
        <v>300</v>
      </c>
    </row>
    <row r="5" spans="1:15" x14ac:dyDescent="0.25">
      <c r="A5" t="s">
        <v>3</v>
      </c>
      <c r="B5">
        <v>145</v>
      </c>
      <c r="D5" t="s">
        <v>0</v>
      </c>
      <c r="E5">
        <f>SUM(E2:E4)</f>
        <v>620</v>
      </c>
      <c r="H5" t="s">
        <v>63</v>
      </c>
      <c r="I5">
        <v>1600</v>
      </c>
    </row>
    <row r="6" spans="1:15" x14ac:dyDescent="0.25">
      <c r="A6" t="s">
        <v>4</v>
      </c>
      <c r="B6">
        <v>50</v>
      </c>
      <c r="D6" t="s">
        <v>1</v>
      </c>
      <c r="E6">
        <v>200</v>
      </c>
      <c r="F6" t="s">
        <v>60</v>
      </c>
      <c r="G6" s="3">
        <f>ATAN((B6-B7)/(2*E7))*180/PI()</f>
        <v>11.309932474020213</v>
      </c>
      <c r="H6" t="s">
        <v>64</v>
      </c>
      <c r="I6">
        <v>1600</v>
      </c>
    </row>
    <row r="7" spans="1:15" x14ac:dyDescent="0.25">
      <c r="A7" t="s">
        <v>5</v>
      </c>
      <c r="B7">
        <v>30</v>
      </c>
      <c r="D7" t="s">
        <v>2</v>
      </c>
      <c r="E7">
        <v>50</v>
      </c>
    </row>
    <row r="8" spans="1:15" x14ac:dyDescent="0.25">
      <c r="D8" t="s">
        <v>22</v>
      </c>
      <c r="E8" s="1">
        <f>SUM(E5:E7)</f>
        <v>870</v>
      </c>
    </row>
    <row r="9" spans="1:15" x14ac:dyDescent="0.25">
      <c r="J9" t="s">
        <v>45</v>
      </c>
      <c r="K9" s="1" t="s">
        <v>20</v>
      </c>
      <c r="N9" t="s">
        <v>46</v>
      </c>
    </row>
    <row r="10" spans="1:15" x14ac:dyDescent="0.25">
      <c r="A10" s="1" t="s">
        <v>6</v>
      </c>
      <c r="B10" t="s">
        <v>41</v>
      </c>
      <c r="C10" t="s">
        <v>42</v>
      </c>
      <c r="D10" t="s">
        <v>16</v>
      </c>
      <c r="E10" t="s">
        <v>17</v>
      </c>
      <c r="F10" t="s">
        <v>18</v>
      </c>
      <c r="G10" s="1" t="s">
        <v>23</v>
      </c>
      <c r="I10" t="s">
        <v>24</v>
      </c>
      <c r="J10" t="s">
        <v>25</v>
      </c>
      <c r="K10" t="s">
        <v>21</v>
      </c>
      <c r="L10" t="s">
        <v>44</v>
      </c>
      <c r="M10" t="s">
        <v>43</v>
      </c>
      <c r="N10" t="s">
        <v>25</v>
      </c>
    </row>
    <row r="11" spans="1:15" x14ac:dyDescent="0.25">
      <c r="A11" t="s">
        <v>15</v>
      </c>
      <c r="C11">
        <f>B2/2</f>
        <v>20</v>
      </c>
      <c r="D11">
        <f>E2</f>
        <v>60</v>
      </c>
      <c r="F11">
        <v>2</v>
      </c>
      <c r="H11" t="s">
        <v>27</v>
      </c>
      <c r="I11">
        <f>3/10*F11*C11*C11/1000000</f>
        <v>2.4000000000000001E-4</v>
      </c>
      <c r="J11">
        <f>(1/4*F11*C11*C11+1/12*F11*D11*D11)/1000000</f>
        <v>8.0000000000000004E-4</v>
      </c>
      <c r="K11">
        <f>E2/2</f>
        <v>30</v>
      </c>
      <c r="L11">
        <f t="shared" ref="L11:L16" si="0">F11*K11</f>
        <v>60</v>
      </c>
      <c r="M11" s="3">
        <f t="shared" ref="M11:M16" si="1">K11-K$17</f>
        <v>-316.22680624904672</v>
      </c>
      <c r="N11">
        <f t="shared" ref="N11:N16" si="2">J11+F11*M11*M11/1000000</f>
        <v>0.20079878598094425</v>
      </c>
    </row>
    <row r="12" spans="1:15" x14ac:dyDescent="0.25">
      <c r="A12" t="s">
        <v>30</v>
      </c>
      <c r="B12">
        <f>C12-E12</f>
        <v>29.35</v>
      </c>
      <c r="C12">
        <f>B3/2</f>
        <v>50.5</v>
      </c>
      <c r="D12">
        <f>E3</f>
        <v>260</v>
      </c>
      <c r="E12">
        <v>21.15</v>
      </c>
      <c r="F12">
        <f>PI()*(C12*C12-B12*B12)*D12*$I$3/1000000000</f>
        <v>10.759773160241885</v>
      </c>
      <c r="H12" t="s">
        <v>28</v>
      </c>
      <c r="I12">
        <f>1/2*F12*(B12*B12+C12*C12)/1000000</f>
        <v>1.8354411098517667E-2</v>
      </c>
      <c r="J12">
        <f>(1/2*F12*(B12+C12)*(B12+C12)/4+1/12*F12*D12*D12)/1000000</f>
        <v>6.9188958273270748E-2</v>
      </c>
      <c r="K12" s="7">
        <f>E2+2*E3/3</f>
        <v>233.33333333333334</v>
      </c>
      <c r="L12">
        <f t="shared" si="0"/>
        <v>2510.6137373897732</v>
      </c>
      <c r="M12" s="3">
        <f t="shared" si="1"/>
        <v>-112.89347291571337</v>
      </c>
      <c r="N12">
        <f t="shared" si="2"/>
        <v>0.20632158101722681</v>
      </c>
    </row>
    <row r="13" spans="1:15" x14ac:dyDescent="0.25">
      <c r="A13" t="s">
        <v>31</v>
      </c>
      <c r="B13">
        <f>C13-E13</f>
        <v>54.85</v>
      </c>
      <c r="C13">
        <f>B4/2</f>
        <v>76</v>
      </c>
      <c r="D13">
        <f>E4</f>
        <v>300</v>
      </c>
      <c r="E13">
        <f>E12</f>
        <v>21.15</v>
      </c>
      <c r="F13">
        <f>PI()*(C13*C13-B13*B13)*D13*$I$3/1000000000</f>
        <v>20.344631540161611</v>
      </c>
      <c r="H13" t="s">
        <v>28</v>
      </c>
      <c r="I13">
        <f>1/2*F13*(B13*B13+C13*C13)/1000000</f>
        <v>8.9358936759379642E-2</v>
      </c>
      <c r="J13">
        <f>(1/2*F13*(B13+C13)*(B13+C13)/4+1/12*F13*D13*D13)/1000000</f>
        <v>0.19612662850063636</v>
      </c>
      <c r="K13">
        <f>E3+E4/2</f>
        <v>410</v>
      </c>
      <c r="L13">
        <f t="shared" si="0"/>
        <v>8341.2989314662609</v>
      </c>
      <c r="M13" s="3">
        <f t="shared" si="1"/>
        <v>63.773193750953283</v>
      </c>
      <c r="N13">
        <f t="shared" si="2"/>
        <v>0.27886865677416095</v>
      </c>
    </row>
    <row r="14" spans="1:15" x14ac:dyDescent="0.25">
      <c r="A14" t="s">
        <v>40</v>
      </c>
      <c r="B14">
        <v>0</v>
      </c>
      <c r="C14">
        <f>B4/2</f>
        <v>76</v>
      </c>
      <c r="D14">
        <v>10</v>
      </c>
      <c r="F14">
        <f>PI()*C14*C14*D14*$I$3/1000000000</f>
        <v>1.4153754550365023</v>
      </c>
      <c r="H14" t="s">
        <v>29</v>
      </c>
      <c r="I14">
        <f>1/2*F14*C14*C14/1000000</f>
        <v>4.0876043141454188E-3</v>
      </c>
      <c r="J14">
        <f>(1/4*F14*C14*C14+1/12*F14*D14*D14)/1000000</f>
        <v>2.055596952531347E-3</v>
      </c>
      <c r="K14">
        <f>E5</f>
        <v>620</v>
      </c>
      <c r="L14">
        <f t="shared" si="0"/>
        <v>877.53278212263137</v>
      </c>
      <c r="M14" s="3">
        <f t="shared" si="1"/>
        <v>273.77319375095328</v>
      </c>
      <c r="N14">
        <f t="shared" si="2"/>
        <v>0.10814048065640978</v>
      </c>
    </row>
    <row r="15" spans="1:15" x14ac:dyDescent="0.25">
      <c r="A15" t="s">
        <v>32</v>
      </c>
      <c r="B15">
        <v>0</v>
      </c>
      <c r="C15">
        <f>B12</f>
        <v>29.35</v>
      </c>
      <c r="D15">
        <f>E3</f>
        <v>260</v>
      </c>
      <c r="F15">
        <f>PI()*C15*C15*D15*$I$5/1000000000</f>
        <v>1.1257952566169727</v>
      </c>
      <c r="H15" t="s">
        <v>29</v>
      </c>
      <c r="I15">
        <f>1/2*F15*C15*C15/1000000</f>
        <v>4.8489268222156711E-4</v>
      </c>
      <c r="J15">
        <f>(1/4*F15*C15*C15+1/12*F15*D15*D15)/1000000</f>
        <v>6.5844262867197295E-3</v>
      </c>
      <c r="K15" s="6">
        <f>K12</f>
        <v>233.33333333333334</v>
      </c>
      <c r="L15">
        <f t="shared" si="0"/>
        <v>262.68555987729366</v>
      </c>
      <c r="M15" s="3">
        <f t="shared" si="1"/>
        <v>-112.89347291571337</v>
      </c>
      <c r="N15">
        <f t="shared" si="2"/>
        <v>2.0932615036929395E-2</v>
      </c>
    </row>
    <row r="16" spans="1:15" x14ac:dyDescent="0.25">
      <c r="A16" t="s">
        <v>33</v>
      </c>
      <c r="B16">
        <v>0</v>
      </c>
      <c r="C16">
        <f>B13</f>
        <v>54.85</v>
      </c>
      <c r="D16">
        <f>E4</f>
        <v>300</v>
      </c>
      <c r="F16">
        <f>PI()*C16*C16*D16*$I$5/1000000000</f>
        <v>4.5367450483966074</v>
      </c>
      <c r="H16" t="s">
        <v>29</v>
      </c>
      <c r="I16">
        <f>1/2*F16*C16*C16/1000000</f>
        <v>6.8244497774323917E-3</v>
      </c>
      <c r="J16">
        <f>(1/4*F16*C16*C16+1/12*F16*D16*D16)/1000000</f>
        <v>3.7437812751690745E-2</v>
      </c>
      <c r="K16">
        <f>K13</f>
        <v>410</v>
      </c>
      <c r="L16">
        <f t="shared" si="0"/>
        <v>1860.065469842609</v>
      </c>
      <c r="M16" s="3">
        <f t="shared" si="1"/>
        <v>63.773193750953283</v>
      </c>
      <c r="N16">
        <f t="shared" si="2"/>
        <v>5.5888846692668318E-2</v>
      </c>
      <c r="O16" s="1" t="s">
        <v>7</v>
      </c>
    </row>
    <row r="17" spans="1:18" x14ac:dyDescent="0.25">
      <c r="A17" s="1" t="s">
        <v>7</v>
      </c>
      <c r="F17" s="1">
        <f>SUM(F11:F16)</f>
        <v>40.182320460453582</v>
      </c>
      <c r="I17" s="1">
        <f>SUM(I11:I16)</f>
        <v>0.11935029463169669</v>
      </c>
      <c r="K17" s="4">
        <f>L17/F17</f>
        <v>346.22680624904672</v>
      </c>
      <c r="L17">
        <f>SUM(L11:L16)</f>
        <v>13912.196480698569</v>
      </c>
      <c r="M17" s="3">
        <f>K17-K$21</f>
        <v>-105.75510503787427</v>
      </c>
      <c r="N17">
        <f>O17+F17*M17*M17/1000000</f>
        <v>1.3203557537844741</v>
      </c>
      <c r="O17" s="1">
        <f>SUM(N11:N16)</f>
        <v>0.87095096615833967</v>
      </c>
      <c r="P17" s="3">
        <f>K17-K$22</f>
        <v>-44.71466419050472</v>
      </c>
      <c r="Q17">
        <f>O17+F17*P17*P17/1000000</f>
        <v>0.95129154565138518</v>
      </c>
    </row>
    <row r="18" spans="1:18" x14ac:dyDescent="0.25">
      <c r="A18" t="s">
        <v>8</v>
      </c>
      <c r="B18">
        <f>C18-E18</f>
        <v>68</v>
      </c>
      <c r="C18">
        <f>B4/2</f>
        <v>76</v>
      </c>
      <c r="D18">
        <f>E6+E7-30</f>
        <v>220</v>
      </c>
      <c r="E18">
        <v>8</v>
      </c>
      <c r="F18">
        <f>PI()*(C18*C18-B18*B18)*D18*$I$3/1000000000</f>
        <v>6.2104008885812174</v>
      </c>
      <c r="H18" t="s">
        <v>28</v>
      </c>
      <c r="I18">
        <f>1/2*F18*(B18*B18+C18*C18)/1000000</f>
        <v>3.2294084620622332E-2</v>
      </c>
      <c r="J18">
        <f>(1/4*F18*(B18*B18+C18*C18)+1/12*F18*D18*D18)/1000000</f>
        <v>4.1195659227588742E-2</v>
      </c>
      <c r="K18">
        <f>E5+E6/2</f>
        <v>720</v>
      </c>
      <c r="L18">
        <f>F18*K18</f>
        <v>4471.4886397784767</v>
      </c>
      <c r="M18" s="3">
        <f>K18-K$21</f>
        <v>268.01808871307901</v>
      </c>
      <c r="N18">
        <f>J18+F18*M18*M18/1000000</f>
        <v>0.48731170793474043</v>
      </c>
      <c r="P18" s="3">
        <f>K18-K$22</f>
        <v>329.05852956044856</v>
      </c>
      <c r="Q18">
        <f>J18+F18*P18*P18/1000000</f>
        <v>0.71365486084205265</v>
      </c>
    </row>
    <row r="19" spans="1:18" x14ac:dyDescent="0.25">
      <c r="A19" t="s">
        <v>9</v>
      </c>
      <c r="B19">
        <v>0</v>
      </c>
      <c r="C19">
        <f>B18</f>
        <v>68</v>
      </c>
      <c r="D19">
        <f>E6</f>
        <v>200</v>
      </c>
      <c r="F19">
        <f>PI()*C19*C19*D19*$I$6/1000000000</f>
        <v>4.6485518176637459</v>
      </c>
      <c r="H19" t="s">
        <v>29</v>
      </c>
      <c r="I19">
        <f>1/2*F19*C19*C19/1000000</f>
        <v>1.0747451802438579E-2</v>
      </c>
      <c r="J19">
        <f>(1/4*F19*C19*C19+1/12*F19*D19*D19)/1000000</f>
        <v>2.0868898626765109E-2</v>
      </c>
      <c r="K19">
        <f>K18</f>
        <v>720</v>
      </c>
      <c r="L19">
        <f>F19*K19</f>
        <v>3346.9573087178969</v>
      </c>
      <c r="M19" s="3">
        <f>K19-K$21</f>
        <v>268.01808871307901</v>
      </c>
      <c r="N19">
        <f>J19+F19*M19*M19/1000000</f>
        <v>0.35479155616721286</v>
      </c>
      <c r="P19" s="3"/>
    </row>
    <row r="20" spans="1:18" x14ac:dyDescent="0.25">
      <c r="A20" t="s">
        <v>10</v>
      </c>
      <c r="B20">
        <f>(B6+B7)/4</f>
        <v>20</v>
      </c>
      <c r="C20">
        <f>B5/2</f>
        <v>72.5</v>
      </c>
      <c r="D20">
        <v>30</v>
      </c>
      <c r="F20">
        <f>PI()*(C20*C20-B20*B20)*D20*$I$3/1000000000</f>
        <v>3.5699880818149312</v>
      </c>
      <c r="H20" t="s">
        <v>28</v>
      </c>
      <c r="I20">
        <f>1/2*F20*(B20*B20+C20*C20)/1000000</f>
        <v>1.0096372543882851E-2</v>
      </c>
      <c r="J20">
        <f>(1/4*F20*(B20*B20+C20*C20)+1/12*F20*D20*D20)/1000000</f>
        <v>5.3159353780775458E-3</v>
      </c>
      <c r="K20">
        <f>E8-30/2</f>
        <v>855</v>
      </c>
      <c r="L20">
        <f>F20*K20</f>
        <v>3052.3398099517663</v>
      </c>
      <c r="M20" s="3">
        <f>K20-K$21</f>
        <v>403.01808871307901</v>
      </c>
      <c r="N20">
        <f>J20+F20*M20*M20/1000000</f>
        <v>0.58516617957669081</v>
      </c>
      <c r="P20" s="3">
        <f>K20-K$22</f>
        <v>464.05852956044856</v>
      </c>
      <c r="Q20">
        <f>J20+F20*P20*P20/1000000</f>
        <v>0.77411400711548917</v>
      </c>
    </row>
    <row r="21" spans="1:18" x14ac:dyDescent="0.25">
      <c r="A21" t="s">
        <v>11</v>
      </c>
      <c r="B21">
        <v>0</v>
      </c>
      <c r="C21">
        <f>B6/2+5</f>
        <v>30</v>
      </c>
      <c r="D21">
        <v>10</v>
      </c>
      <c r="F21">
        <f>PI()*C21*C21*D21*$I$3/1000000000</f>
        <v>0.22053980428200345</v>
      </c>
      <c r="I21" s="1">
        <f>SUM(I17:I20)</f>
        <v>0.17248820359864045</v>
      </c>
      <c r="J21" s="1" t="s">
        <v>48</v>
      </c>
      <c r="K21" s="1">
        <f>L21/F22</f>
        <v>451.98191128692099</v>
      </c>
      <c r="L21">
        <f>SUM(L17:L20)</f>
        <v>24782.98223914671</v>
      </c>
      <c r="N21" s="1">
        <f>SUM(N17:N20)</f>
        <v>2.7476251974631185</v>
      </c>
      <c r="O21" s="1" t="s">
        <v>48</v>
      </c>
      <c r="Q21" s="1">
        <f>SUM(Q17:Q20)</f>
        <v>2.4390604136089271</v>
      </c>
      <c r="R21" s="1" t="s">
        <v>47</v>
      </c>
    </row>
    <row r="22" spans="1:18" x14ac:dyDescent="0.25">
      <c r="A22" s="1" t="s">
        <v>19</v>
      </c>
      <c r="F22" s="1">
        <f>SUM(F17:F21)</f>
        <v>54.831801052795484</v>
      </c>
      <c r="I22" s="1">
        <f>I21-I19</f>
        <v>0.16174075179620187</v>
      </c>
      <c r="J22" s="1" t="s">
        <v>47</v>
      </c>
      <c r="K22" s="1">
        <f>L22/F22</f>
        <v>390.94147043955144</v>
      </c>
      <c r="L22">
        <f>L21-L19</f>
        <v>21436.024930428812</v>
      </c>
    </row>
    <row r="25" spans="1:18" x14ac:dyDescent="0.25">
      <c r="A25" s="1" t="s">
        <v>49</v>
      </c>
      <c r="H25" s="1" t="s">
        <v>65</v>
      </c>
    </row>
    <row r="26" spans="1:18" x14ac:dyDescent="0.25">
      <c r="A26" s="5" t="s">
        <v>50</v>
      </c>
      <c r="B26">
        <f>B4</f>
        <v>152</v>
      </c>
      <c r="C26" s="1"/>
      <c r="H26" t="s">
        <v>50</v>
      </c>
      <c r="I26">
        <v>152</v>
      </c>
      <c r="J26">
        <v>152</v>
      </c>
      <c r="K26">
        <v>152</v>
      </c>
      <c r="L26">
        <v>152</v>
      </c>
      <c r="M26">
        <v>152</v>
      </c>
      <c r="N26" s="8">
        <v>152</v>
      </c>
      <c r="O26">
        <v>152</v>
      </c>
      <c r="P26">
        <v>152</v>
      </c>
    </row>
    <row r="27" spans="1:18" x14ac:dyDescent="0.25">
      <c r="A27" t="s">
        <v>51</v>
      </c>
      <c r="B27">
        <f>E8</f>
        <v>870</v>
      </c>
      <c r="H27" t="s">
        <v>51</v>
      </c>
      <c r="I27">
        <v>670</v>
      </c>
      <c r="J27">
        <v>713</v>
      </c>
      <c r="K27">
        <v>756</v>
      </c>
      <c r="L27">
        <v>799</v>
      </c>
      <c r="M27">
        <v>842</v>
      </c>
      <c r="N27" s="8">
        <v>885</v>
      </c>
      <c r="O27">
        <v>971</v>
      </c>
      <c r="P27">
        <v>1100</v>
      </c>
    </row>
    <row r="28" spans="1:18" x14ac:dyDescent="0.25">
      <c r="A28" t="s">
        <v>53</v>
      </c>
      <c r="B28">
        <f>E5</f>
        <v>620</v>
      </c>
      <c r="H28" t="s">
        <v>53</v>
      </c>
      <c r="I28">
        <v>620</v>
      </c>
      <c r="J28">
        <v>620</v>
      </c>
      <c r="K28">
        <v>620</v>
      </c>
      <c r="L28">
        <v>620</v>
      </c>
      <c r="M28">
        <v>620</v>
      </c>
      <c r="N28" s="8">
        <v>620</v>
      </c>
      <c r="O28">
        <v>620</v>
      </c>
      <c r="P28">
        <v>620</v>
      </c>
    </row>
    <row r="29" spans="1:18" x14ac:dyDescent="0.25">
      <c r="A29" t="s">
        <v>55</v>
      </c>
      <c r="B29">
        <f>E6+E7</f>
        <v>250</v>
      </c>
      <c r="H29" t="s">
        <v>55</v>
      </c>
      <c r="I29">
        <v>50</v>
      </c>
      <c r="J29">
        <v>93</v>
      </c>
      <c r="K29">
        <v>136</v>
      </c>
      <c r="L29">
        <v>179</v>
      </c>
      <c r="M29">
        <v>222</v>
      </c>
      <c r="N29" s="8">
        <v>265</v>
      </c>
      <c r="O29">
        <v>351</v>
      </c>
      <c r="P29">
        <v>480</v>
      </c>
    </row>
    <row r="30" spans="1:18" x14ac:dyDescent="0.25">
      <c r="A30" t="s">
        <v>52</v>
      </c>
      <c r="B30" s="2">
        <f>F22</f>
        <v>54.831801052795484</v>
      </c>
      <c r="H30" t="s">
        <v>52</v>
      </c>
      <c r="I30">
        <v>44.537430245512446</v>
      </c>
      <c r="J30">
        <v>46.750719969078304</v>
      </c>
      <c r="K30">
        <v>48.964009692644154</v>
      </c>
      <c r="L30">
        <v>51.177299416210012</v>
      </c>
      <c r="M30">
        <v>53.390589139775862</v>
      </c>
      <c r="N30" s="8">
        <v>55.603878863341706</v>
      </c>
      <c r="O30">
        <v>60.030458310473414</v>
      </c>
      <c r="P30">
        <v>66.670327481170958</v>
      </c>
    </row>
    <row r="31" spans="1:18" x14ac:dyDescent="0.25">
      <c r="A31" t="s">
        <v>53</v>
      </c>
      <c r="B31" s="2">
        <f>F17</f>
        <v>40.182320460453582</v>
      </c>
      <c r="H31" t="s">
        <v>53</v>
      </c>
      <c r="I31">
        <v>40.182320460453582</v>
      </c>
      <c r="J31">
        <v>40.182320460453582</v>
      </c>
      <c r="K31">
        <v>40.182320460453582</v>
      </c>
      <c r="L31">
        <v>40.182320460453582</v>
      </c>
      <c r="M31">
        <v>40.182320460453582</v>
      </c>
      <c r="N31" s="8">
        <v>40.182320460453582</v>
      </c>
      <c r="O31">
        <v>40.182320460453582</v>
      </c>
      <c r="P31">
        <v>40.182320460453582</v>
      </c>
    </row>
    <row r="32" spans="1:18" x14ac:dyDescent="0.25">
      <c r="A32" t="s">
        <v>61</v>
      </c>
      <c r="B32" s="2">
        <f>F15+F16</f>
        <v>5.6625403050135805</v>
      </c>
      <c r="H32" t="s">
        <v>61</v>
      </c>
      <c r="I32">
        <v>5.6625403050135805</v>
      </c>
      <c r="J32">
        <v>5.6625403050135805</v>
      </c>
      <c r="K32">
        <v>5.6625403050135805</v>
      </c>
      <c r="L32">
        <v>5.6625403050135805</v>
      </c>
      <c r="M32">
        <v>5.6625403050135805</v>
      </c>
      <c r="N32" s="8">
        <v>5.6625403050135805</v>
      </c>
      <c r="O32">
        <v>5.6625403050135805</v>
      </c>
      <c r="P32">
        <v>5.6625403050135805</v>
      </c>
    </row>
    <row r="33" spans="1:16" x14ac:dyDescent="0.25">
      <c r="A33" t="s">
        <v>54</v>
      </c>
      <c r="B33" s="2">
        <f>F19</f>
        <v>4.6485518176637459</v>
      </c>
      <c r="H33" t="s">
        <v>54</v>
      </c>
      <c r="I33" s="1">
        <v>0</v>
      </c>
      <c r="J33" s="1">
        <v>0.99943864079770539</v>
      </c>
      <c r="K33" s="1">
        <v>1.9988772815954108</v>
      </c>
      <c r="L33" s="1">
        <v>2.998315922393116</v>
      </c>
      <c r="M33" s="1">
        <v>3.9977545631908216</v>
      </c>
      <c r="N33" s="9">
        <v>4.9971932039885267</v>
      </c>
      <c r="O33" s="1">
        <v>6.9960704855839371</v>
      </c>
      <c r="P33" s="1">
        <v>9.9943864079770535</v>
      </c>
    </row>
    <row r="34" spans="1:16" x14ac:dyDescent="0.25">
      <c r="A34" t="s">
        <v>55</v>
      </c>
      <c r="B34" s="2">
        <f>F18+F20</f>
        <v>9.7803889703961495</v>
      </c>
      <c r="H34" t="s">
        <v>55</v>
      </c>
      <c r="I34">
        <v>4.1345699807768606</v>
      </c>
      <c r="J34">
        <v>5.3484210635450076</v>
      </c>
      <c r="K34">
        <v>6.5622721463131546</v>
      </c>
      <c r="L34">
        <v>7.7761232290813016</v>
      </c>
      <c r="M34">
        <v>8.9899743118494477</v>
      </c>
      <c r="N34" s="8">
        <v>10.203825394617596</v>
      </c>
      <c r="O34">
        <v>12.631527560153891</v>
      </c>
      <c r="P34">
        <v>16.273080808458332</v>
      </c>
    </row>
    <row r="35" spans="1:16" x14ac:dyDescent="0.25">
      <c r="A35" t="s">
        <v>56</v>
      </c>
      <c r="B35" s="2">
        <f>F21</f>
        <v>0.22053980428200345</v>
      </c>
      <c r="H35" t="s">
        <v>56</v>
      </c>
      <c r="I35">
        <v>0.22053980428200345</v>
      </c>
      <c r="J35">
        <v>0.22053980428200345</v>
      </c>
      <c r="K35">
        <v>0.22053980428200345</v>
      </c>
      <c r="L35">
        <v>0.22053980428200345</v>
      </c>
      <c r="M35">
        <v>0.22053980428200345</v>
      </c>
      <c r="N35" s="8">
        <v>0.22053980428200345</v>
      </c>
      <c r="O35">
        <v>0.22053980428200345</v>
      </c>
      <c r="P35">
        <v>0.22053980428200345</v>
      </c>
    </row>
    <row r="36" spans="1:16" x14ac:dyDescent="0.25">
      <c r="A36" t="s">
        <v>57</v>
      </c>
      <c r="H36" t="s">
        <v>57</v>
      </c>
      <c r="N36" s="8"/>
    </row>
    <row r="37" spans="1:16" x14ac:dyDescent="0.25">
      <c r="A37" t="s">
        <v>53</v>
      </c>
      <c r="B37" s="6">
        <f>K17</f>
        <v>346.22680624904672</v>
      </c>
      <c r="H37" t="s">
        <v>53</v>
      </c>
      <c r="I37">
        <v>346.22680624904672</v>
      </c>
      <c r="J37">
        <v>346.22680624904672</v>
      </c>
      <c r="K37">
        <v>346.22680624904672</v>
      </c>
      <c r="L37">
        <v>346.22680624904672</v>
      </c>
      <c r="M37">
        <v>346.22680624904672</v>
      </c>
      <c r="N37" s="8">
        <v>346.22680624904672</v>
      </c>
      <c r="O37">
        <v>346.22680624904672</v>
      </c>
      <c r="P37">
        <v>346.22680624904672</v>
      </c>
    </row>
    <row r="38" spans="1:16" x14ac:dyDescent="0.25">
      <c r="A38" t="s">
        <v>58</v>
      </c>
      <c r="B38" s="6">
        <f>K21</f>
        <v>451.98191128692099</v>
      </c>
      <c r="H38" s="8" t="s">
        <v>58</v>
      </c>
      <c r="I38" s="8">
        <v>372.73321249414488</v>
      </c>
      <c r="J38" s="8">
        <v>389.00048640289424</v>
      </c>
      <c r="K38" s="8">
        <v>405.74082364762046</v>
      </c>
      <c r="L38" s="8">
        <v>422.89284782323426</v>
      </c>
      <c r="M38" s="8">
        <v>440.40535988128113</v>
      </c>
      <c r="N38" s="8">
        <v>458.23531260228816</v>
      </c>
      <c r="O38" s="8">
        <v>494.70709369771652</v>
      </c>
      <c r="P38" s="8">
        <v>551.04017056540488</v>
      </c>
    </row>
    <row r="39" spans="1:16" x14ac:dyDescent="0.25">
      <c r="A39" t="s">
        <v>59</v>
      </c>
      <c r="B39" s="6">
        <f>K22</f>
        <v>390.94147043955144</v>
      </c>
      <c r="H39" t="s">
        <v>59</v>
      </c>
      <c r="I39">
        <v>372.73321249414488</v>
      </c>
      <c r="J39">
        <v>375.28647539951743</v>
      </c>
      <c r="K39">
        <v>378.6749104183603</v>
      </c>
      <c r="L39">
        <v>382.79016025883288</v>
      </c>
      <c r="M39">
        <v>387.54183529600868</v>
      </c>
      <c r="N39" s="8">
        <v>392.85393759360289</v>
      </c>
      <c r="O39">
        <v>404.91147226062418</v>
      </c>
      <c r="P39">
        <v>425.86735432241096</v>
      </c>
    </row>
    <row r="40" spans="1:16" x14ac:dyDescent="0.25">
      <c r="A40" t="s">
        <v>23</v>
      </c>
      <c r="B40" t="s">
        <v>24</v>
      </c>
      <c r="H40" t="s">
        <v>23</v>
      </c>
      <c r="I40" t="s">
        <v>24</v>
      </c>
      <c r="J40" t="s">
        <v>24</v>
      </c>
      <c r="K40" t="s">
        <v>24</v>
      </c>
      <c r="L40" t="s">
        <v>24</v>
      </c>
      <c r="M40" t="s">
        <v>24</v>
      </c>
      <c r="N40" s="8" t="s">
        <v>24</v>
      </c>
      <c r="O40" t="s">
        <v>24</v>
      </c>
      <c r="P40" t="s">
        <v>24</v>
      </c>
    </row>
    <row r="41" spans="1:16" x14ac:dyDescent="0.25">
      <c r="A41" t="s">
        <v>53</v>
      </c>
      <c r="B41" s="2">
        <f>I17</f>
        <v>0.11935029463169669</v>
      </c>
      <c r="H41" t="s">
        <v>53</v>
      </c>
      <c r="I41">
        <v>0.11935029463169669</v>
      </c>
      <c r="J41">
        <v>0.11935029463169669</v>
      </c>
      <c r="K41">
        <v>0.11935029463169669</v>
      </c>
      <c r="L41">
        <v>0.11935029463169669</v>
      </c>
      <c r="M41">
        <v>0.11935029463169669</v>
      </c>
      <c r="N41" s="8">
        <v>0.11935029463169669</v>
      </c>
      <c r="O41">
        <v>0.11935029463169669</v>
      </c>
      <c r="P41">
        <v>0.11935029463169669</v>
      </c>
    </row>
    <row r="42" spans="1:16" x14ac:dyDescent="0.25">
      <c r="A42" t="s">
        <v>58</v>
      </c>
      <c r="B42" s="2">
        <f>I21</f>
        <v>0.17248820359864045</v>
      </c>
      <c r="H42" s="8" t="s">
        <v>58</v>
      </c>
      <c r="I42" s="8">
        <v>0.13238249305018157</v>
      </c>
      <c r="J42" s="8">
        <v>0.14100522081810024</v>
      </c>
      <c r="K42" s="8">
        <v>0.14962794858601888</v>
      </c>
      <c r="L42" s="8">
        <v>0.15825067635393755</v>
      </c>
      <c r="M42" s="8">
        <v>0.16687340412185619</v>
      </c>
      <c r="N42" s="8">
        <v>0.17549613188977486</v>
      </c>
      <c r="O42" s="8">
        <v>0.1927415874256122</v>
      </c>
      <c r="P42" s="8">
        <v>0.21860977072936816</v>
      </c>
    </row>
    <row r="43" spans="1:16" x14ac:dyDescent="0.25">
      <c r="A43" t="s">
        <v>59</v>
      </c>
      <c r="B43" s="2">
        <f>I22</f>
        <v>0.16174075179620187</v>
      </c>
      <c r="H43" t="s">
        <v>59</v>
      </c>
      <c r="I43">
        <v>0.13238249305018157</v>
      </c>
      <c r="J43">
        <v>0.13869451868057595</v>
      </c>
      <c r="K43">
        <v>0.14500654431097029</v>
      </c>
      <c r="L43">
        <v>0.15131856994136467</v>
      </c>
      <c r="M43">
        <v>0.15763059557175901</v>
      </c>
      <c r="N43" s="8">
        <v>0.16394262120215339</v>
      </c>
      <c r="O43">
        <v>0.17656667246294214</v>
      </c>
      <c r="P43">
        <v>0.1955027493541252</v>
      </c>
    </row>
    <row r="44" spans="1:16" x14ac:dyDescent="0.25">
      <c r="B44" t="s">
        <v>25</v>
      </c>
      <c r="I44" t="s">
        <v>25</v>
      </c>
      <c r="J44" t="s">
        <v>25</v>
      </c>
      <c r="K44" t="s">
        <v>25</v>
      </c>
      <c r="L44" t="s">
        <v>25</v>
      </c>
      <c r="M44" t="s">
        <v>25</v>
      </c>
      <c r="N44" s="8" t="s">
        <v>25</v>
      </c>
      <c r="O44" t="s">
        <v>25</v>
      </c>
      <c r="P44" t="s">
        <v>25</v>
      </c>
    </row>
    <row r="45" spans="1:16" x14ac:dyDescent="0.25">
      <c r="A45" t="s">
        <v>53</v>
      </c>
      <c r="B45" s="2">
        <f>O17</f>
        <v>0.87095096615833967</v>
      </c>
      <c r="I45">
        <v>0.87095096615833967</v>
      </c>
      <c r="J45">
        <v>0.87095096615833967</v>
      </c>
      <c r="K45">
        <v>0.87095096615833967</v>
      </c>
      <c r="L45">
        <v>0.87095096615833967</v>
      </c>
      <c r="M45">
        <v>0.87095096615833967</v>
      </c>
      <c r="N45" s="8">
        <v>0.87095096615833967</v>
      </c>
      <c r="O45">
        <v>0.87095096615833967</v>
      </c>
      <c r="P45">
        <v>0.87095096615833967</v>
      </c>
    </row>
    <row r="46" spans="1:16" x14ac:dyDescent="0.25">
      <c r="A46" t="s">
        <v>58</v>
      </c>
      <c r="B46" s="2">
        <f>N21</f>
        <v>2.7476251974631185</v>
      </c>
      <c r="I46">
        <v>1.2237070051386822</v>
      </c>
      <c r="J46">
        <v>1.4730322260232103</v>
      </c>
      <c r="K46">
        <v>1.7630484072892088</v>
      </c>
      <c r="L46">
        <v>2.0961048430825517</v>
      </c>
      <c r="M46">
        <v>2.4745003596561128</v>
      </c>
      <c r="N46" s="8">
        <v>2.9004933991871571</v>
      </c>
      <c r="O46">
        <v>3.9041487266724522</v>
      </c>
      <c r="P46">
        <v>5.8214874186713566</v>
      </c>
    </row>
    <row r="47" spans="1:16" x14ac:dyDescent="0.25">
      <c r="A47" t="s">
        <v>59</v>
      </c>
      <c r="B47" s="2">
        <f>Q21</f>
        <v>2.4390604136089271</v>
      </c>
      <c r="I47">
        <v>1.2237070051386822</v>
      </c>
      <c r="J47">
        <v>1.4119971949246235</v>
      </c>
      <c r="K47">
        <v>1.6384664975729395</v>
      </c>
      <c r="L47">
        <v>1.9049779861604479</v>
      </c>
      <c r="M47">
        <v>2.2134438912696366</v>
      </c>
      <c r="N47" s="8">
        <v>2.5658047000975897</v>
      </c>
      <c r="O47">
        <v>3.4100371668602087</v>
      </c>
      <c r="P47">
        <v>5.0545559035842977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workbookViewId="0">
      <selection activeCell="H25" sqref="H25"/>
    </sheetView>
  </sheetViews>
  <sheetFormatPr defaultRowHeight="15" x14ac:dyDescent="0.25"/>
  <cols>
    <col min="1" max="1" width="21.28515625" customWidth="1"/>
  </cols>
  <sheetData>
    <row r="2" spans="1:16" x14ac:dyDescent="0.25">
      <c r="A2" t="s">
        <v>38</v>
      </c>
      <c r="B2">
        <v>40</v>
      </c>
      <c r="D2" t="s">
        <v>39</v>
      </c>
      <c r="E2">
        <v>60</v>
      </c>
      <c r="H2" t="s">
        <v>12</v>
      </c>
    </row>
    <row r="3" spans="1:16" x14ac:dyDescent="0.25">
      <c r="A3" t="s">
        <v>34</v>
      </c>
      <c r="B3">
        <f>(40+152+10)/2</f>
        <v>101</v>
      </c>
      <c r="D3" t="s">
        <v>36</v>
      </c>
      <c r="E3">
        <v>260</v>
      </c>
      <c r="H3" t="s">
        <v>13</v>
      </c>
      <c r="I3">
        <v>7800</v>
      </c>
    </row>
    <row r="4" spans="1:16" x14ac:dyDescent="0.25">
      <c r="A4" t="s">
        <v>35</v>
      </c>
      <c r="B4">
        <v>152</v>
      </c>
      <c r="D4" t="s">
        <v>37</v>
      </c>
      <c r="E4">
        <v>390</v>
      </c>
    </row>
    <row r="5" spans="1:16" x14ac:dyDescent="0.25">
      <c r="A5" t="s">
        <v>3</v>
      </c>
      <c r="B5">
        <v>145</v>
      </c>
      <c r="D5" t="s">
        <v>0</v>
      </c>
      <c r="E5">
        <f>SUM(E2:E4)</f>
        <v>710</v>
      </c>
      <c r="H5" t="s">
        <v>14</v>
      </c>
      <c r="I5">
        <v>1600</v>
      </c>
    </row>
    <row r="6" spans="1:16" x14ac:dyDescent="0.25">
      <c r="A6" t="s">
        <v>4</v>
      </c>
      <c r="B6">
        <v>50</v>
      </c>
      <c r="D6" t="s">
        <v>1</v>
      </c>
      <c r="E6">
        <v>0</v>
      </c>
      <c r="F6" t="s">
        <v>60</v>
      </c>
      <c r="G6" s="3" t="e">
        <f>ATAN((B6-B7)/(2*E7))*180/PI()</f>
        <v>#DIV/0!</v>
      </c>
      <c r="H6" t="s">
        <v>9</v>
      </c>
      <c r="I6">
        <v>1600</v>
      </c>
    </row>
    <row r="7" spans="1:16" x14ac:dyDescent="0.25">
      <c r="A7" t="s">
        <v>5</v>
      </c>
      <c r="B7">
        <v>30</v>
      </c>
      <c r="D7" t="s">
        <v>2</v>
      </c>
      <c r="E7">
        <v>0</v>
      </c>
    </row>
    <row r="8" spans="1:16" x14ac:dyDescent="0.25">
      <c r="D8" t="s">
        <v>22</v>
      </c>
      <c r="E8" s="1">
        <f>SUM(E5:E7)</f>
        <v>710</v>
      </c>
    </row>
    <row r="9" spans="1:16" x14ac:dyDescent="0.25">
      <c r="K9" t="s">
        <v>45</v>
      </c>
      <c r="L9" s="1" t="s">
        <v>20</v>
      </c>
      <c r="O9" t="s">
        <v>46</v>
      </c>
    </row>
    <row r="10" spans="1:16" x14ac:dyDescent="0.25">
      <c r="A10" s="1" t="s">
        <v>6</v>
      </c>
      <c r="B10" t="s">
        <v>41</v>
      </c>
      <c r="C10" t="s">
        <v>42</v>
      </c>
      <c r="D10" t="s">
        <v>16</v>
      </c>
      <c r="E10" t="s">
        <v>17</v>
      </c>
      <c r="F10" t="s">
        <v>18</v>
      </c>
      <c r="G10" s="1" t="s">
        <v>23</v>
      </c>
      <c r="I10" t="s">
        <v>26</v>
      </c>
      <c r="J10" t="s">
        <v>24</v>
      </c>
      <c r="K10" t="s">
        <v>25</v>
      </c>
      <c r="L10" t="s">
        <v>21</v>
      </c>
      <c r="M10" t="s">
        <v>44</v>
      </c>
      <c r="N10" t="s">
        <v>43</v>
      </c>
      <c r="O10" t="s">
        <v>25</v>
      </c>
    </row>
    <row r="11" spans="1:16" x14ac:dyDescent="0.25">
      <c r="A11" t="s">
        <v>15</v>
      </c>
      <c r="C11">
        <f>B2/2</f>
        <v>20</v>
      </c>
      <c r="D11">
        <f>E2</f>
        <v>60</v>
      </c>
      <c r="F11">
        <v>0.4</v>
      </c>
      <c r="H11" t="s">
        <v>27</v>
      </c>
      <c r="J11">
        <f>3/10*F11*C11*C11/1000000</f>
        <v>4.8000000000000001E-5</v>
      </c>
      <c r="K11">
        <f>(1/4*F11*C11*C11+1/12*F11*D11*D11)/1000000</f>
        <v>1.6000000000000001E-4</v>
      </c>
      <c r="L11">
        <f>E2/2</f>
        <v>30</v>
      </c>
      <c r="M11">
        <f>F11*L11</f>
        <v>12</v>
      </c>
      <c r="N11" s="3">
        <f t="shared" ref="N11:N16" si="0">L11-L$17</f>
        <v>-384.19634433526693</v>
      </c>
      <c r="O11">
        <f>K11+F11*N11*N11/1000000</f>
        <v>5.9202732400233202E-2</v>
      </c>
    </row>
    <row r="12" spans="1:16" x14ac:dyDescent="0.25">
      <c r="A12" t="s">
        <v>30</v>
      </c>
      <c r="B12">
        <f>C12-E12</f>
        <v>29.35</v>
      </c>
      <c r="C12">
        <f>B3/2</f>
        <v>50.5</v>
      </c>
      <c r="D12">
        <f>E3</f>
        <v>260</v>
      </c>
      <c r="E12">
        <v>21.15</v>
      </c>
      <c r="F12">
        <f>PI()*(C12*C12-B12*B12)*D12*$I$3/1000000000</f>
        <v>10.759773160241885</v>
      </c>
      <c r="H12" t="s">
        <v>28</v>
      </c>
      <c r="J12">
        <f>1/2*F12*(B12*B12+C12*C12)/1000000</f>
        <v>1.8354411098517667E-2</v>
      </c>
      <c r="K12">
        <f>(1/2*F12*(B12+C12)*(B12+C12)/4+1/12*F12*D12*D12)/1000000</f>
        <v>6.9188958273270748E-2</v>
      </c>
      <c r="L12" s="7">
        <f>E2+2*E3/3</f>
        <v>233.33333333333334</v>
      </c>
      <c r="M12">
        <f t="shared" ref="M12:M16" si="1">F12*L12</f>
        <v>2510.6137373897732</v>
      </c>
      <c r="N12" s="3">
        <f t="shared" si="0"/>
        <v>-180.86301100193359</v>
      </c>
      <c r="O12">
        <f t="shared" ref="O12:O16" si="2">K12+F12*N12*N12/1000000</f>
        <v>0.42115651135654231</v>
      </c>
    </row>
    <row r="13" spans="1:16" x14ac:dyDescent="0.25">
      <c r="A13" t="s">
        <v>31</v>
      </c>
      <c r="B13">
        <f>C13-E13</f>
        <v>54.85</v>
      </c>
      <c r="C13">
        <f>B4/2</f>
        <v>76</v>
      </c>
      <c r="D13">
        <f>E4-D14</f>
        <v>360</v>
      </c>
      <c r="E13">
        <f>E12</f>
        <v>21.15</v>
      </c>
      <c r="F13">
        <f>PI()*(C13*C13-B13*B13)*D13*$I$3/1000000000</f>
        <v>24.413557848193932</v>
      </c>
      <c r="H13" t="s">
        <v>28</v>
      </c>
      <c r="J13">
        <f>1/2*F13*(B13*B13+C13*C13)/1000000</f>
        <v>0.10723072411125557</v>
      </c>
      <c r="K13">
        <f>(1/2*F13*(B13+C13)*(B13+C13)/4+1/12*F13*D13*D13)/1000000</f>
        <v>0.31591669509980363</v>
      </c>
      <c r="L13">
        <f>E3+E4/2</f>
        <v>455</v>
      </c>
      <c r="M13">
        <f t="shared" si="1"/>
        <v>11108.168820928238</v>
      </c>
      <c r="N13" s="3">
        <f t="shared" si="0"/>
        <v>40.803655664733071</v>
      </c>
      <c r="O13">
        <f t="shared" si="2"/>
        <v>0.35656376298152781</v>
      </c>
    </row>
    <row r="14" spans="1:16" x14ac:dyDescent="0.25">
      <c r="A14" t="s">
        <v>40</v>
      </c>
      <c r="B14">
        <v>0</v>
      </c>
      <c r="C14">
        <f>B5/2</f>
        <v>72.5</v>
      </c>
      <c r="D14">
        <v>30</v>
      </c>
      <c r="F14">
        <f>PI()*C14*C14*D14*$I$3/1000000000</f>
        <v>3.8640411541909363</v>
      </c>
      <c r="H14" t="s">
        <v>29</v>
      </c>
      <c r="J14">
        <f>1/2*F14*C14*C14/1000000</f>
        <v>1.0155183158358056E-2</v>
      </c>
      <c r="K14">
        <f>(1/4*F14*C14*C14+1/12*F14*D14*D14)/1000000</f>
        <v>5.3673946657433478E-3</v>
      </c>
      <c r="L14">
        <f>E5-D14/2</f>
        <v>695</v>
      </c>
      <c r="M14">
        <f t="shared" si="1"/>
        <v>2685.5086021627008</v>
      </c>
      <c r="N14" s="3">
        <f t="shared" si="0"/>
        <v>280.80365566473307</v>
      </c>
      <c r="O14">
        <f t="shared" si="2"/>
        <v>0.3100497175882157</v>
      </c>
    </row>
    <row r="15" spans="1:16" x14ac:dyDescent="0.25">
      <c r="A15" t="s">
        <v>32</v>
      </c>
      <c r="B15">
        <v>0</v>
      </c>
      <c r="C15">
        <f>B12</f>
        <v>29.35</v>
      </c>
      <c r="D15">
        <f>E3</f>
        <v>260</v>
      </c>
      <c r="F15">
        <f>PI()*C15*C15*D15*$I$5/1000000000</f>
        <v>1.1257952566169727</v>
      </c>
      <c r="H15" t="s">
        <v>29</v>
      </c>
      <c r="J15">
        <f>1/2*F15*C15*C15/1000000</f>
        <v>4.8489268222156711E-4</v>
      </c>
      <c r="K15">
        <f t="shared" ref="K15:K16" si="3">(1/4*F15*C15*C15+1/12*F15*D15*D15)/1000000</f>
        <v>6.5844262867197295E-3</v>
      </c>
      <c r="L15" s="6">
        <f>L12</f>
        <v>233.33333333333334</v>
      </c>
      <c r="M15">
        <f t="shared" si="1"/>
        <v>262.68555987729366</v>
      </c>
      <c r="N15" s="3">
        <f t="shared" si="0"/>
        <v>-180.86301100193359</v>
      </c>
      <c r="O15">
        <f t="shared" si="2"/>
        <v>4.3410797609153992E-2</v>
      </c>
    </row>
    <row r="16" spans="1:16" x14ac:dyDescent="0.25">
      <c r="A16" t="s">
        <v>33</v>
      </c>
      <c r="B16">
        <v>0</v>
      </c>
      <c r="C16">
        <f>B13</f>
        <v>54.85</v>
      </c>
      <c r="D16">
        <f>E4-D14</f>
        <v>360</v>
      </c>
      <c r="F16">
        <f>PI()*C16*C16*D16*$I$5/1000000000</f>
        <v>5.4440940580759287</v>
      </c>
      <c r="H16" t="s">
        <v>29</v>
      </c>
      <c r="J16">
        <f>1/2*F16*C16*C16/1000000</f>
        <v>8.18933973291887E-3</v>
      </c>
      <c r="K16">
        <f t="shared" si="3"/>
        <v>6.2890885693679469E-2</v>
      </c>
      <c r="L16">
        <f>L13</f>
        <v>455</v>
      </c>
      <c r="M16">
        <f t="shared" si="1"/>
        <v>2477.0627964245477</v>
      </c>
      <c r="N16" s="3">
        <f t="shared" si="0"/>
        <v>40.803655664733071</v>
      </c>
      <c r="O16">
        <f t="shared" si="2"/>
        <v>7.1954966484733596E-2</v>
      </c>
      <c r="P16" s="1" t="s">
        <v>7</v>
      </c>
    </row>
    <row r="17" spans="1:19" x14ac:dyDescent="0.25">
      <c r="A17" s="1" t="s">
        <v>7</v>
      </c>
      <c r="F17" s="1">
        <f>SUM(F11:F16)</f>
        <v>46.007261477319652</v>
      </c>
      <c r="J17" s="1">
        <f>SUM(J11:J16)</f>
        <v>0.14446255078327175</v>
      </c>
      <c r="L17" s="4">
        <f>M17/F17</f>
        <v>414.19634433526693</v>
      </c>
      <c r="M17">
        <f>SUM(M11:M16)</f>
        <v>19056.039516782552</v>
      </c>
      <c r="N17" s="3">
        <f>L17-L$21</f>
        <v>414.19634433526693</v>
      </c>
      <c r="O17">
        <f>P17+F17*N17*N17/1000000</f>
        <v>9.1552803937801261</v>
      </c>
      <c r="P17" s="1">
        <f>SUM(O11:O16)</f>
        <v>1.2623384884204067</v>
      </c>
      <c r="Q17" s="3">
        <f>L17-L$22</f>
        <v>414.19634433526693</v>
      </c>
      <c r="R17">
        <f>P17+F17*Q17*Q17/1000000</f>
        <v>9.1552803937801261</v>
      </c>
    </row>
    <row r="18" spans="1:19" x14ac:dyDescent="0.25">
      <c r="N18" s="3"/>
      <c r="Q18" s="3"/>
    </row>
    <row r="19" spans="1:19" x14ac:dyDescent="0.25">
      <c r="N19" s="3"/>
      <c r="Q19" s="3"/>
    </row>
    <row r="20" spans="1:19" x14ac:dyDescent="0.25">
      <c r="N20" s="3"/>
      <c r="Q20" s="3"/>
    </row>
    <row r="21" spans="1:19" x14ac:dyDescent="0.25">
      <c r="J21" s="1"/>
      <c r="K21" s="1"/>
      <c r="L21" s="1"/>
      <c r="O21" s="1"/>
      <c r="P21" s="1"/>
      <c r="R21" s="1"/>
      <c r="S21" s="1"/>
    </row>
    <row r="22" spans="1:19" x14ac:dyDescent="0.25">
      <c r="A22" s="1"/>
      <c r="F22" s="1"/>
      <c r="J22" s="1"/>
      <c r="K22" s="1"/>
      <c r="L22" s="1"/>
    </row>
    <row r="25" spans="1:19" x14ac:dyDescent="0.25">
      <c r="A25" s="1" t="s">
        <v>49</v>
      </c>
    </row>
    <row r="26" spans="1:19" x14ac:dyDescent="0.25">
      <c r="A26" s="5" t="s">
        <v>50</v>
      </c>
      <c r="B26">
        <f>B4</f>
        <v>152</v>
      </c>
      <c r="C26" s="1"/>
    </row>
    <row r="27" spans="1:19" x14ac:dyDescent="0.25">
      <c r="A27" t="s">
        <v>51</v>
      </c>
      <c r="B27">
        <f>E8</f>
        <v>710</v>
      </c>
    </row>
    <row r="28" spans="1:19" x14ac:dyDescent="0.25">
      <c r="A28" t="s">
        <v>53</v>
      </c>
      <c r="B28">
        <f>E5</f>
        <v>710</v>
      </c>
    </row>
    <row r="29" spans="1:19" x14ac:dyDescent="0.25">
      <c r="A29" t="s">
        <v>55</v>
      </c>
      <c r="B29">
        <f>E6+E7</f>
        <v>0</v>
      </c>
    </row>
    <row r="30" spans="1:19" x14ac:dyDescent="0.25">
      <c r="A30" t="s">
        <v>52</v>
      </c>
      <c r="B30" s="2">
        <f>F22</f>
        <v>0</v>
      </c>
    </row>
    <row r="31" spans="1:19" x14ac:dyDescent="0.25">
      <c r="A31" t="s">
        <v>53</v>
      </c>
      <c r="B31" s="2">
        <f>F17</f>
        <v>46.007261477319652</v>
      </c>
    </row>
    <row r="32" spans="1:19" x14ac:dyDescent="0.25">
      <c r="A32" t="s">
        <v>61</v>
      </c>
      <c r="B32" s="2">
        <f>F15+F16</f>
        <v>6.5698893146929009</v>
      </c>
    </row>
    <row r="33" spans="1:3" x14ac:dyDescent="0.25">
      <c r="A33" t="s">
        <v>54</v>
      </c>
      <c r="B33" s="2">
        <f>F19</f>
        <v>0</v>
      </c>
    </row>
    <row r="34" spans="1:3" x14ac:dyDescent="0.25">
      <c r="A34" t="s">
        <v>55</v>
      </c>
      <c r="B34" s="2">
        <f>F18+F20</f>
        <v>0</v>
      </c>
    </row>
    <row r="35" spans="1:3" x14ac:dyDescent="0.25">
      <c r="A35" t="s">
        <v>56</v>
      </c>
      <c r="B35" s="2">
        <f>F21</f>
        <v>0</v>
      </c>
    </row>
    <row r="36" spans="1:3" x14ac:dyDescent="0.25">
      <c r="A36" t="s">
        <v>57</v>
      </c>
    </row>
    <row r="37" spans="1:3" x14ac:dyDescent="0.25">
      <c r="A37" t="s">
        <v>53</v>
      </c>
      <c r="B37" s="6">
        <f>L17</f>
        <v>414.19634433526693</v>
      </c>
    </row>
    <row r="38" spans="1:3" x14ac:dyDescent="0.25">
      <c r="A38" t="s">
        <v>58</v>
      </c>
      <c r="B38" s="6">
        <f>L21</f>
        <v>0</v>
      </c>
    </row>
    <row r="39" spans="1:3" x14ac:dyDescent="0.25">
      <c r="A39" t="s">
        <v>59</v>
      </c>
      <c r="B39" s="6">
        <f>L22</f>
        <v>0</v>
      </c>
    </row>
    <row r="40" spans="1:3" x14ac:dyDescent="0.25">
      <c r="A40" t="s">
        <v>23</v>
      </c>
      <c r="B40" t="s">
        <v>24</v>
      </c>
      <c r="C40" t="s">
        <v>25</v>
      </c>
    </row>
    <row r="41" spans="1:3" x14ac:dyDescent="0.25">
      <c r="A41" t="s">
        <v>53</v>
      </c>
      <c r="B41" s="2">
        <f>J17</f>
        <v>0.14446255078327175</v>
      </c>
      <c r="C41" s="2">
        <f>P17</f>
        <v>1.2623384884204067</v>
      </c>
    </row>
    <row r="42" spans="1:3" x14ac:dyDescent="0.25">
      <c r="A42" t="s">
        <v>58</v>
      </c>
      <c r="B42" s="2">
        <f>J21</f>
        <v>0</v>
      </c>
      <c r="C42" s="2">
        <f>O21</f>
        <v>0</v>
      </c>
    </row>
    <row r="43" spans="1:3" x14ac:dyDescent="0.25">
      <c r="A43" t="s">
        <v>59</v>
      </c>
      <c r="B43" s="2">
        <f>J22</f>
        <v>0</v>
      </c>
      <c r="C43" s="2">
        <f>R21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152арс</vt:lpstr>
      <vt:lpstr>152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2022-11-08T13:12:54Z</dcterms:modified>
</cp:coreProperties>
</file>