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ate1904="1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D:\BUSA TB's\Fall1\Business Analytics for Managers BUSA511\Induvidual assignment\"/>
    </mc:Choice>
  </mc:AlternateContent>
  <xr:revisionPtr revIDLastSave="0" documentId="13_ncr:1_{579F7439-61BA-4279-AB52-B33ABDA91F2F}" xr6:coauthVersionLast="47" xr6:coauthVersionMax="47" xr10:uidLastSave="{00000000-0000-0000-0000-000000000000}"/>
  <bookViews>
    <workbookView xWindow="-108" yWindow="-108" windowWidth="23256" windowHeight="12456" tabRatio="773" activeTab="2" xr2:uid="{00000000-000D-0000-FFFF-FFFF00000000}"/>
  </bookViews>
  <sheets>
    <sheet name="Data &amp; Correlation" sheetId="9" r:id="rId1"/>
    <sheet name="Exponential Smoothing" sheetId="7" r:id="rId2"/>
    <sheet name="Linear Regression" sheetId="8" r:id="rId3"/>
  </sheets>
  <definedNames>
    <definedName name="a">'Linear Regression'!$L$4</definedName>
    <definedName name="Alpha" localSheetId="1">'Exponential Smoothing'!$J$6</definedName>
    <definedName name="Alpha">#REF!</definedName>
    <definedName name="b">'Linear Regression'!$L$5</definedName>
    <definedName name="DependentVariable">'Linear Regression'!$D$5:$D$34</definedName>
    <definedName name="Estimate">'Linear Regression'!$E$5:$E$36</definedName>
    <definedName name="EstimationError">'Linear Regression'!$F$5:$F$36</definedName>
    <definedName name="Forecast" localSheetId="1">'Exponential Smoothing'!$D$6:$D$35</definedName>
    <definedName name="Forecast">#REF!</definedName>
    <definedName name="ForecastingError" localSheetId="1">'Exponential Smoothing'!$E$6:$E$35</definedName>
    <definedName name="ForecastingError">#REF!</definedName>
    <definedName name="IndependentVariable">'Linear Regression'!$C$5:$C$34</definedName>
    <definedName name="InitialEstimate" localSheetId="1">'Exponential Smoothing'!$J$10</definedName>
    <definedName name="InitialEstimate">#REF!</definedName>
    <definedName name="MAD" localSheetId="1">'Exponential Smoothing'!$J$12</definedName>
    <definedName name="MAD">#REF!</definedName>
    <definedName name="MSE" localSheetId="1">'Exponential Smoothing'!$J$18</definedName>
    <definedName name="MSE">#REF!</definedName>
    <definedName name="_xlnm.Print_Area" localSheetId="0">'Data &amp; Correlation'!$A$1:$L$22</definedName>
    <definedName name="sencount" hidden="1">4</definedName>
    <definedName name="sencount2" hidden="1">3</definedName>
    <definedName name="SquareOfError">'Linear Regression'!$G$5:$G$34</definedName>
    <definedName name="TrueValue" localSheetId="1">'Exponential Smoothing'!$C$6:$C$35</definedName>
    <definedName name="TrueValue">#REF!</definedName>
    <definedName name="x">'Linear Regression'!$L$8</definedName>
    <definedName name="y">'Linear Regression'!$L$10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9" l="1"/>
  <c r="M10" i="9"/>
  <c r="M7" i="9"/>
  <c r="N7" i="9" s="1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G32" i="8"/>
  <c r="E33" i="8"/>
  <c r="F33" i="8"/>
  <c r="G33" i="8"/>
  <c r="G34" i="8"/>
  <c r="D6" i="7"/>
  <c r="E6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F6" i="7" l="1"/>
  <c r="M4" i="9"/>
  <c r="N4" i="9" s="1"/>
  <c r="N10" i="9"/>
  <c r="N13" i="9"/>
  <c r="D7" i="7"/>
  <c r="G6" i="7" l="1"/>
  <c r="E7" i="7"/>
  <c r="F7" i="7"/>
  <c r="G7" i="7" s="1"/>
  <c r="D8" i="7"/>
  <c r="E8" i="7" l="1"/>
  <c r="F8" i="7"/>
  <c r="G8" i="7" s="1"/>
  <c r="D9" i="7"/>
  <c r="E9" i="7" l="1"/>
  <c r="F9" i="7"/>
  <c r="G9" i="7" s="1"/>
  <c r="D10" i="7"/>
  <c r="E10" i="7" s="1"/>
  <c r="D11" i="7" l="1"/>
  <c r="F11" i="7" s="1"/>
  <c r="G11" i="7" s="1"/>
  <c r="F10" i="7"/>
  <c r="G10" i="7" s="1"/>
  <c r="D12" i="7" l="1"/>
  <c r="F12" i="7" s="1"/>
  <c r="G12" i="7" s="1"/>
  <c r="E11" i="7"/>
  <c r="D13" i="7" l="1"/>
  <c r="F13" i="7" s="1"/>
  <c r="G13" i="7" s="1"/>
  <c r="E12" i="7"/>
  <c r="E13" i="7" l="1"/>
  <c r="D14" i="7"/>
  <c r="F14" i="7" s="1"/>
  <c r="G14" i="7" s="1"/>
  <c r="D15" i="7" l="1"/>
  <c r="F15" i="7" s="1"/>
  <c r="G15" i="7" s="1"/>
  <c r="E14" i="7"/>
  <c r="D16" i="7" l="1"/>
  <c r="F16" i="7" s="1"/>
  <c r="G16" i="7" s="1"/>
  <c r="E15" i="7"/>
  <c r="E16" i="7" l="1"/>
  <c r="D17" i="7"/>
  <c r="F17" i="7" s="1"/>
  <c r="G17" i="7" s="1"/>
  <c r="E17" i="7" l="1"/>
  <c r="D18" i="7"/>
  <c r="F18" i="7" s="1"/>
  <c r="G18" i="7" s="1"/>
  <c r="D19" i="7" l="1"/>
  <c r="F19" i="7" s="1"/>
  <c r="G19" i="7" s="1"/>
  <c r="E18" i="7"/>
  <c r="D20" i="7" l="1"/>
  <c r="F20" i="7" s="1"/>
  <c r="G20" i="7" s="1"/>
  <c r="E19" i="7"/>
  <c r="D21" i="7" l="1"/>
  <c r="F21" i="7" s="1"/>
  <c r="G21" i="7" s="1"/>
  <c r="E20" i="7"/>
  <c r="E21" i="7" l="1"/>
  <c r="D22" i="7"/>
  <c r="F22" i="7" s="1"/>
  <c r="G22" i="7" s="1"/>
  <c r="D23" i="7" l="1"/>
  <c r="F23" i="7" s="1"/>
  <c r="G23" i="7" s="1"/>
  <c r="J15" i="7" s="1"/>
  <c r="E22" i="7"/>
  <c r="D24" i="7" l="1"/>
  <c r="E24" i="7" s="1"/>
  <c r="E23" i="7"/>
  <c r="J21" i="7"/>
  <c r="J12" i="7" l="1"/>
  <c r="J18" i="7"/>
  <c r="L4" i="8" l="1"/>
  <c r="E16" i="8" s="1"/>
  <c r="L27" i="8"/>
  <c r="L30" i="8" s="1"/>
  <c r="L5" i="8"/>
  <c r="H16" i="8" l="1"/>
  <c r="I16" i="8" s="1"/>
  <c r="F16" i="8"/>
  <c r="G16" i="8" s="1"/>
  <c r="E7" i="8"/>
  <c r="E15" i="8"/>
  <c r="E22" i="8"/>
  <c r="L10" i="8"/>
  <c r="E21" i="8"/>
  <c r="E13" i="8"/>
  <c r="E20" i="8"/>
  <c r="E5" i="8"/>
  <c r="E14" i="8"/>
  <c r="E10" i="8"/>
  <c r="E17" i="8"/>
  <c r="E12" i="8"/>
  <c r="E18" i="8"/>
  <c r="E8" i="8"/>
  <c r="E11" i="8"/>
  <c r="E6" i="8"/>
  <c r="E9" i="8"/>
  <c r="E19" i="8"/>
  <c r="H21" i="8" l="1"/>
  <c r="I21" i="8" s="1"/>
  <c r="F21" i="8"/>
  <c r="G21" i="8" s="1"/>
  <c r="F12" i="8"/>
  <c r="G12" i="8" s="1"/>
  <c r="H12" i="8"/>
  <c r="I12" i="8" s="1"/>
  <c r="H22" i="8"/>
  <c r="I22" i="8" s="1"/>
  <c r="F22" i="8"/>
  <c r="G22" i="8" s="1"/>
  <c r="H13" i="8"/>
  <c r="I13" i="8" s="1"/>
  <c r="F13" i="8"/>
  <c r="G13" i="8" s="1"/>
  <c r="F19" i="8"/>
  <c r="G19" i="8" s="1"/>
  <c r="H19" i="8"/>
  <c r="I19" i="8" s="1"/>
  <c r="H10" i="8"/>
  <c r="I10" i="8" s="1"/>
  <c r="F10" i="8"/>
  <c r="G10" i="8" s="1"/>
  <c r="F15" i="8"/>
  <c r="G15" i="8" s="1"/>
  <c r="H15" i="8"/>
  <c r="I15" i="8" s="1"/>
  <c r="F8" i="8"/>
  <c r="G8" i="8" s="1"/>
  <c r="H8" i="8"/>
  <c r="I8" i="8" s="1"/>
  <c r="F18" i="8"/>
  <c r="G18" i="8" s="1"/>
  <c r="H18" i="8"/>
  <c r="I18" i="8" s="1"/>
  <c r="F14" i="8"/>
  <c r="G14" i="8" s="1"/>
  <c r="H14" i="8"/>
  <c r="I14" i="8" s="1"/>
  <c r="F7" i="8"/>
  <c r="G7" i="8" s="1"/>
  <c r="H7" i="8"/>
  <c r="I7" i="8" s="1"/>
  <c r="H17" i="8"/>
  <c r="I17" i="8" s="1"/>
  <c r="F17" i="8"/>
  <c r="G17" i="8" s="1"/>
  <c r="F9" i="8"/>
  <c r="G9" i="8" s="1"/>
  <c r="H9" i="8"/>
  <c r="I9" i="8" s="1"/>
  <c r="H6" i="8"/>
  <c r="I6" i="8" s="1"/>
  <c r="F6" i="8"/>
  <c r="G6" i="8" s="1"/>
  <c r="H5" i="8"/>
  <c r="F5" i="8"/>
  <c r="F11" i="8"/>
  <c r="G11" i="8" s="1"/>
  <c r="H11" i="8"/>
  <c r="I11" i="8" s="1"/>
  <c r="H20" i="8"/>
  <c r="I20" i="8" s="1"/>
  <c r="F20" i="8"/>
  <c r="G20" i="8" s="1"/>
  <c r="G5" i="8" l="1"/>
  <c r="L19" i="8" s="1"/>
  <c r="L13" i="8"/>
  <c r="I5" i="8"/>
  <c r="L16" i="8" s="1"/>
  <c r="L22" i="8"/>
</calcChain>
</file>

<file path=xl/sharedStrings.xml><?xml version="1.0" encoding="utf-8"?>
<sst xmlns="http://schemas.openxmlformats.org/spreadsheetml/2006/main" count="149" uniqueCount="103">
  <si>
    <t>Forecast</t>
  </si>
  <si>
    <t>Error</t>
  </si>
  <si>
    <t>Forecasting</t>
  </si>
  <si>
    <t>MAD =</t>
  </si>
  <si>
    <t>Mean Absolute Deviation</t>
  </si>
  <si>
    <t>Period</t>
  </si>
  <si>
    <t>Time</t>
  </si>
  <si>
    <t>Value</t>
  </si>
  <si>
    <t>True</t>
  </si>
  <si>
    <t>Mean Square Error</t>
  </si>
  <si>
    <t>MSE =</t>
  </si>
  <si>
    <t>Exponential</t>
  </si>
  <si>
    <t>Smoothing</t>
  </si>
  <si>
    <t>Smoothing Constant</t>
  </si>
  <si>
    <t>Initial Estimate</t>
  </si>
  <si>
    <t>a =</t>
  </si>
  <si>
    <t>If x =</t>
  </si>
  <si>
    <t>Estimator</t>
  </si>
  <si>
    <t>Estimate</t>
  </si>
  <si>
    <t>b =</t>
  </si>
  <si>
    <t>y = a + bx</t>
  </si>
  <si>
    <t>of Error</t>
  </si>
  <si>
    <t>Variable</t>
  </si>
  <si>
    <t>Linear Regression Line</t>
  </si>
  <si>
    <t>Square</t>
  </si>
  <si>
    <t>Estimation</t>
  </si>
  <si>
    <t>Dependent</t>
  </si>
  <si>
    <t>Independent</t>
  </si>
  <si>
    <t>Year</t>
  </si>
  <si>
    <t>Month</t>
  </si>
  <si>
    <t>Jan</t>
  </si>
  <si>
    <t xml:space="preserve">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</si>
  <si>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</si>
  <si>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</si>
  <si>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</si>
  <si>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</si>
  <si>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</si>
  <si>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</si>
  <si>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</si>
  <si>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</si>
  <si>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</si>
  <si>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 Major tax law changes signed into law by U.S. President</t>
  </si>
  <si>
    <t>Nov</t>
  </si>
  <si>
    <t>Dec</t>
  </si>
  <si>
    <t>Call Volume</t>
  </si>
  <si>
    <t>Data for Cutting Edge Individual Case Assignment</t>
  </si>
  <si>
    <t>Centex corporation acquired 4/1/2020</t>
  </si>
  <si>
    <t>Dental insurance plan changed effective 7/1/2020</t>
  </si>
  <si>
    <t xml:space="preserve"> Printer division sold to Arconet Corporation 8/1/2020</t>
  </si>
  <si>
    <t xml:space="preserve"> Year-end bonuses announced on 12/10/2020</t>
  </si>
  <si>
    <t xml:space="preserve"> Paxton Enterprises acquired 3/15/2021</t>
  </si>
  <si>
    <t>New employee insurance deductions in effect starting 7/1/2021</t>
  </si>
  <si>
    <t>Model for Exponential Smoothing Forecasting Method</t>
  </si>
  <si>
    <t>Pearson's Correlation Coefficient r</t>
  </si>
  <si>
    <t>Actual Call Volume</t>
  </si>
  <si>
    <t>Administrative (G&amp;A) Head Count</t>
  </si>
  <si>
    <t>Manufacturing Head Count</t>
  </si>
  <si>
    <t>Time Period</t>
  </si>
  <si>
    <t>Engineering Head Count</t>
  </si>
  <si>
    <t>MAPE</t>
  </si>
  <si>
    <t>Mean Absolute Percentage Error</t>
  </si>
  <si>
    <t>MAD:</t>
  </si>
  <si>
    <t>MAPE:</t>
  </si>
  <si>
    <t>MSE:</t>
  </si>
  <si>
    <t xml:space="preserve">ME = </t>
  </si>
  <si>
    <t>Absolute</t>
  </si>
  <si>
    <t>Selective Average =</t>
  </si>
  <si>
    <t>Model for Linear Regression Method</t>
  </si>
  <si>
    <t>Errors</t>
  </si>
  <si>
    <t>Prediction</t>
  </si>
  <si>
    <t>Percent</t>
  </si>
  <si>
    <t>ME:</t>
  </si>
  <si>
    <t>Bias = Mean Error</t>
  </si>
  <si>
    <t>Mean Absolute Deviation (Estimation Error)</t>
  </si>
  <si>
    <t>then y =</t>
  </si>
  <si>
    <t>MAD measures the average magnitude of error - The primary measure of method accuracy</t>
  </si>
  <si>
    <t>MAPE Shows the average error as a percent of the actual value - Provides a sense of the magnitude of error</t>
  </si>
  <si>
    <t>MSE increases the weight of large errors relative to small errors - Penalizes large errors</t>
  </si>
  <si>
    <t>Selected Weight between 0 and 1</t>
  </si>
  <si>
    <t>The Forecast is the last value at the end of column D</t>
  </si>
  <si>
    <t>Correlation Coeficient</t>
  </si>
  <si>
    <t xml:space="preserve">r = </t>
  </si>
  <si>
    <t>Coefficient of Determination</t>
  </si>
  <si>
    <t xml:space="preserve">R^2 = </t>
  </si>
  <si>
    <t>Strenght and relationship of the Dependent and Independent variables</t>
  </si>
  <si>
    <t>Best fit of the regression line - Proportion of the Dependent variable that can be explained by the change in the Independent variable</t>
  </si>
  <si>
    <t>Total Co. Employee Head Count</t>
  </si>
  <si>
    <t>Seed Value - judged to be close to the first forecast period</t>
  </si>
  <si>
    <t>Coefficient of Determination R^2 (Quality)</t>
  </si>
  <si>
    <t>Desired Independent variable value for the next period</t>
  </si>
  <si>
    <t>Predicted Answer of Dependent variable</t>
  </si>
  <si>
    <t>Qualitative Analysis - Facts</t>
  </si>
  <si>
    <t>Independent Variable</t>
  </si>
  <si>
    <t>High Correlation, Substantial Positive Relationship</t>
  </si>
  <si>
    <t>Very High Correlation, Very Strong Positive Relationship</t>
  </si>
  <si>
    <t>Mean Error shows the average of the prediction errors with negative and positive values offsetting each other</t>
  </si>
  <si>
    <t>Negative - Underforecast, more oftern than not, th eforedast is less than the actual</t>
  </si>
  <si>
    <t>Positive - Overforecast, more oftern than not, the forecast is more than the actual</t>
  </si>
  <si>
    <t>Zero indicates no Bias</t>
  </si>
  <si>
    <r>
      <t xml:space="preserve">MAD measures the average magnitude of error - </t>
    </r>
    <r>
      <rPr>
        <b/>
        <sz val="10"/>
        <rFont val="Arial"/>
        <family val="2"/>
      </rPr>
      <t>The primary measure of method accuracy</t>
    </r>
  </si>
  <si>
    <t>Relationship to Dependent Variable</t>
  </si>
  <si>
    <t>Anticipated next period headcounts as a result of acquiring Cutter Corp 7/1/2021</t>
  </si>
  <si>
    <t xml:space="preserve"> Yearly Benefits Enrollment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</si>
</sst>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1"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9"/>
      <name val="Geneva"/>
      <family val="2"/>
    </font>
    <font>
      <sz val="9"/>
      <name val="Geneva"/>
      <family val="2"/>
    </font>
    <font>
      <b/>
      <sz val="9"/>
      <name val="Geneva"/>
      <family val="2"/>
    </font>
    <font>
      <sz val="9"/>
      <name val="Genev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43" fontId="6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3" fontId="2" fillId="2" borderId="0" xfId="0" applyNumberFormat="1" applyFont="1" applyFill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2" fillId="3" borderId="4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/>
    <xf numFmtId="164" fontId="0" fillId="0" borderId="0" xfId="2" applyNumberFormat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3" fontId="2" fillId="4" borderId="0" xfId="1" applyNumberFormat="1" applyFont="1" applyFill="1" applyAlignment="1">
      <alignment horizontal="center"/>
    </xf>
    <xf numFmtId="3" fontId="0" fillId="0" borderId="0" xfId="0" applyNumberFormat="1"/>
    <xf numFmtId="0" fontId="3" fillId="0" borderId="0" xfId="0" applyFont="1"/>
    <xf numFmtId="0" fontId="2" fillId="0" borderId="0" xfId="0" applyFont="1"/>
    <xf numFmtId="3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1" applyAlignment="1">
      <alignment vertical="center"/>
    </xf>
    <xf numFmtId="0" fontId="3" fillId="0" borderId="0" xfId="1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10" fontId="3" fillId="3" borderId="1" xfId="3" applyNumberFormat="1" applyFont="1" applyFill="1" applyBorder="1" applyAlignment="1" applyProtection="1">
      <alignment horizontal="center"/>
      <protection locked="0"/>
    </xf>
    <xf numFmtId="3" fontId="3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 applyProtection="1">
      <alignment horizontal="center"/>
      <protection locked="0"/>
    </xf>
    <xf numFmtId="10" fontId="3" fillId="3" borderId="1" xfId="3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0" fontId="3" fillId="0" borderId="0" xfId="3" applyNumberFormat="1" applyFont="1" applyFill="1" applyBorder="1" applyAlignment="1" applyProtection="1">
      <alignment horizontal="center"/>
      <protection locked="0"/>
    </xf>
    <xf numFmtId="2" fontId="3" fillId="3" borderId="1" xfId="3" applyNumberFormat="1" applyFont="1" applyFill="1" applyBorder="1" applyAlignment="1" applyProtection="1">
      <alignment horizontal="center"/>
      <protection locked="0"/>
    </xf>
    <xf numFmtId="2" fontId="3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3" fontId="3" fillId="0" borderId="6" xfId="0" applyNumberFormat="1" applyFont="1" applyFill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10" fontId="3" fillId="0" borderId="6" xfId="3" applyNumberFormat="1" applyFont="1" applyFill="1" applyBorder="1" applyAlignment="1">
      <alignment horizontal="center"/>
    </xf>
    <xf numFmtId="10" fontId="3" fillId="0" borderId="5" xfId="3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center"/>
      <protection locked="0"/>
    </xf>
    <xf numFmtId="9" fontId="3" fillId="3" borderId="0" xfId="3" applyFont="1" applyFill="1" applyAlignment="1">
      <alignment horizontal="center"/>
    </xf>
    <xf numFmtId="9" fontId="3" fillId="3" borderId="1" xfId="3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3" fillId="0" borderId="0" xfId="1" applyFont="1" applyFill="1" applyAlignment="1">
      <alignment horizontal="center"/>
    </xf>
    <xf numFmtId="3" fontId="7" fillId="3" borderId="7" xfId="0" applyNumberFormat="1" applyFont="1" applyFill="1" applyBorder="1" applyAlignment="1">
      <alignment horizontal="center"/>
    </xf>
    <xf numFmtId="165" fontId="3" fillId="3" borderId="0" xfId="0" applyNumberFormat="1" applyFont="1" applyFill="1"/>
    <xf numFmtId="9" fontId="2" fillId="0" borderId="0" xfId="3" applyFont="1" applyFill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left"/>
    </xf>
    <xf numFmtId="164" fontId="3" fillId="0" borderId="0" xfId="2" applyNumberFormat="1" applyFont="1" applyAlignment="1">
      <alignment horizontal="left"/>
    </xf>
    <xf numFmtId="9" fontId="2" fillId="0" borderId="0" xfId="3" applyFont="1" applyFill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10" fillId="5" borderId="0" xfId="0" applyFont="1" applyFill="1"/>
    <xf numFmtId="1" fontId="2" fillId="2" borderId="0" xfId="0" applyNumberFormat="1" applyFont="1" applyFill="1"/>
    <xf numFmtId="1" fontId="5" fillId="2" borderId="0" xfId="0" applyNumberFormat="1" applyFont="1" applyFill="1"/>
    <xf numFmtId="1" fontId="5" fillId="2" borderId="0" xfId="0" applyNumberFormat="1" applyFont="1" applyFill="1" applyAlignment="1">
      <alignment wrapText="1"/>
    </xf>
    <xf numFmtId="0" fontId="9" fillId="5" borderId="0" xfId="1" applyFont="1" applyFill="1" applyAlignment="1">
      <alignment horizontal="left" vertical="center"/>
    </xf>
  </cellXfs>
  <cellStyles count="4">
    <cellStyle name="Comma" xfId="2" builtinId="3"/>
    <cellStyle name="Normal" xfId="0" builtinId="0"/>
    <cellStyle name="Normal 2" xfId="1" xr:uid="{FC77EE8D-79C7-4F2E-AE25-B8F91F016FD1}"/>
    <cellStyle name="Percent" xfId="3" builtinId="5"/>
  </cellStyles>
  <dxfs count="2">
    <dxf>
      <font>
        <color rgb="FFFFC000"/>
        <name val="Cambria"/>
        <scheme val="none"/>
      </font>
    </dxf>
    <dxf>
      <font>
        <condense val="0"/>
        <extend val="0"/>
        <color indexed="22"/>
      </font>
    </dxf>
  </dxfs>
  <tableStyles count="0" defaultTableStyle="TableStyleMedium9" defaultPivotStyle="PivotStyleLight16"/>
  <colors>
    <mruColors>
      <color rgb="FF215967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0392506472634"/>
          <c:y val="0.15817523410148215"/>
          <c:w val="0.77550693319347719"/>
          <c:h val="0.6320122149831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&amp; Correlation'!$B$25</c:f>
              <c:strCache>
                <c:ptCount val="1"/>
                <c:pt idx="0">
                  <c:v>Actual Call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&amp; Correlation'!$A$26:$A$43</c:f>
              <c:numCache>
                <c:formatCode>General</c:formatCode>
                <c:ptCount val="18"/>
                <c:pt idx="0">
                  <c:v>63579</c:v>
                </c:pt>
                <c:pt idx="1">
                  <c:v>63725</c:v>
                </c:pt>
                <c:pt idx="2">
                  <c:v>63070</c:v>
                </c:pt>
                <c:pt idx="3">
                  <c:v>66023</c:v>
                </c:pt>
                <c:pt idx="4">
                  <c:v>65966</c:v>
                </c:pt>
                <c:pt idx="5">
                  <c:v>62972</c:v>
                </c:pt>
                <c:pt idx="6">
                  <c:v>65423</c:v>
                </c:pt>
                <c:pt idx="7">
                  <c:v>63205</c:v>
                </c:pt>
                <c:pt idx="8">
                  <c:v>58879</c:v>
                </c:pt>
                <c:pt idx="9">
                  <c:v>57812</c:v>
                </c:pt>
                <c:pt idx="10">
                  <c:v>57932</c:v>
                </c:pt>
                <c:pt idx="11">
                  <c:v>60426</c:v>
                </c:pt>
                <c:pt idx="12">
                  <c:v>59353</c:v>
                </c:pt>
                <c:pt idx="13">
                  <c:v>60982</c:v>
                </c:pt>
                <c:pt idx="14">
                  <c:v>81093</c:v>
                </c:pt>
                <c:pt idx="15">
                  <c:v>76329</c:v>
                </c:pt>
                <c:pt idx="16">
                  <c:v>77056</c:v>
                </c:pt>
                <c:pt idx="17">
                  <c:v>77089</c:v>
                </c:pt>
              </c:numCache>
            </c:numRef>
          </c:xVal>
          <c:yVal>
            <c:numRef>
              <c:f>'Data &amp; Correlation'!$B$26:$B$43</c:f>
              <c:numCache>
                <c:formatCode>General</c:formatCode>
                <c:ptCount val="18"/>
                <c:pt idx="0">
                  <c:v>24015</c:v>
                </c:pt>
                <c:pt idx="1">
                  <c:v>25203</c:v>
                </c:pt>
                <c:pt idx="2">
                  <c:v>23589</c:v>
                </c:pt>
                <c:pt idx="3">
                  <c:v>27704</c:v>
                </c:pt>
                <c:pt idx="4">
                  <c:v>27880</c:v>
                </c:pt>
                <c:pt idx="5">
                  <c:v>26321</c:v>
                </c:pt>
                <c:pt idx="6">
                  <c:v>27021</c:v>
                </c:pt>
                <c:pt idx="7">
                  <c:v>27015</c:v>
                </c:pt>
                <c:pt idx="8">
                  <c:v>23456</c:v>
                </c:pt>
                <c:pt idx="9">
                  <c:v>24813</c:v>
                </c:pt>
                <c:pt idx="10">
                  <c:v>25954</c:v>
                </c:pt>
                <c:pt idx="11">
                  <c:v>26321</c:v>
                </c:pt>
                <c:pt idx="12">
                  <c:v>26456</c:v>
                </c:pt>
                <c:pt idx="13">
                  <c:v>27450</c:v>
                </c:pt>
                <c:pt idx="14">
                  <c:v>31580</c:v>
                </c:pt>
                <c:pt idx="15">
                  <c:v>31100</c:v>
                </c:pt>
                <c:pt idx="16">
                  <c:v>31432</c:v>
                </c:pt>
                <c:pt idx="17">
                  <c:v>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A-8C43-819F-FE8B15D6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56847"/>
        <c:axId val="1817658495"/>
      </c:scatterChart>
      <c:valAx>
        <c:axId val="1817656847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58495"/>
        <c:crosses val="autoZero"/>
        <c:crossBetween val="midCat"/>
      </c:valAx>
      <c:valAx>
        <c:axId val="18176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5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Correlation'!$J$25</c:f>
              <c:strCache>
                <c:ptCount val="1"/>
                <c:pt idx="0">
                  <c:v>Actual Call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&amp; Correlation'!$I$26:$I$43</c:f>
              <c:numCache>
                <c:formatCode>General</c:formatCode>
                <c:ptCount val="18"/>
                <c:pt idx="0">
                  <c:v>43848</c:v>
                </c:pt>
                <c:pt idx="1">
                  <c:v>43948</c:v>
                </c:pt>
                <c:pt idx="2">
                  <c:v>43497</c:v>
                </c:pt>
                <c:pt idx="3">
                  <c:v>46240</c:v>
                </c:pt>
                <c:pt idx="4">
                  <c:v>46130</c:v>
                </c:pt>
                <c:pt idx="5">
                  <c:v>44980</c:v>
                </c:pt>
                <c:pt idx="6">
                  <c:v>45750</c:v>
                </c:pt>
                <c:pt idx="7">
                  <c:v>45039</c:v>
                </c:pt>
                <c:pt idx="8">
                  <c:v>42666</c:v>
                </c:pt>
                <c:pt idx="9">
                  <c:v>41002</c:v>
                </c:pt>
                <c:pt idx="10">
                  <c:v>41980</c:v>
                </c:pt>
                <c:pt idx="11">
                  <c:v>42855</c:v>
                </c:pt>
                <c:pt idx="12">
                  <c:v>43009</c:v>
                </c:pt>
                <c:pt idx="13">
                  <c:v>43101</c:v>
                </c:pt>
                <c:pt idx="14">
                  <c:v>54062</c:v>
                </c:pt>
                <c:pt idx="15">
                  <c:v>52641</c:v>
                </c:pt>
                <c:pt idx="16">
                  <c:v>53885</c:v>
                </c:pt>
                <c:pt idx="17">
                  <c:v>53908</c:v>
                </c:pt>
              </c:numCache>
            </c:numRef>
          </c:xVal>
          <c:yVal>
            <c:numRef>
              <c:f>'Data &amp; Correlation'!$J$26:$J$43</c:f>
              <c:numCache>
                <c:formatCode>General</c:formatCode>
                <c:ptCount val="18"/>
                <c:pt idx="0">
                  <c:v>24015</c:v>
                </c:pt>
                <c:pt idx="1">
                  <c:v>25203</c:v>
                </c:pt>
                <c:pt idx="2">
                  <c:v>23589</c:v>
                </c:pt>
                <c:pt idx="3">
                  <c:v>27704</c:v>
                </c:pt>
                <c:pt idx="4">
                  <c:v>27880</c:v>
                </c:pt>
                <c:pt idx="5">
                  <c:v>26321</c:v>
                </c:pt>
                <c:pt idx="6">
                  <c:v>27021</c:v>
                </c:pt>
                <c:pt idx="7">
                  <c:v>27015</c:v>
                </c:pt>
                <c:pt idx="8">
                  <c:v>23456</c:v>
                </c:pt>
                <c:pt idx="9">
                  <c:v>24813</c:v>
                </c:pt>
                <c:pt idx="10">
                  <c:v>25954</c:v>
                </c:pt>
                <c:pt idx="11">
                  <c:v>26321</c:v>
                </c:pt>
                <c:pt idx="12">
                  <c:v>26456</c:v>
                </c:pt>
                <c:pt idx="13">
                  <c:v>27450</c:v>
                </c:pt>
                <c:pt idx="14">
                  <c:v>31580</c:v>
                </c:pt>
                <c:pt idx="15">
                  <c:v>31100</c:v>
                </c:pt>
                <c:pt idx="16">
                  <c:v>31432</c:v>
                </c:pt>
                <c:pt idx="17">
                  <c:v>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6-49D8-8D98-856C4428A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28367"/>
        <c:axId val="793535775"/>
      </c:scatterChart>
      <c:valAx>
        <c:axId val="8904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35775"/>
        <c:crosses val="autoZero"/>
        <c:crossBetween val="midCat"/>
      </c:valAx>
      <c:valAx>
        <c:axId val="7935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Correlation'!$B$48</c:f>
              <c:strCache>
                <c:ptCount val="1"/>
                <c:pt idx="0">
                  <c:v>Actual Call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&amp; Correlation'!$A$49:$A$66</c:f>
              <c:numCache>
                <c:formatCode>General</c:formatCode>
                <c:ptCount val="18"/>
                <c:pt idx="0">
                  <c:v>10962</c:v>
                </c:pt>
                <c:pt idx="1">
                  <c:v>10987</c:v>
                </c:pt>
                <c:pt idx="2">
                  <c:v>10874</c:v>
                </c:pt>
                <c:pt idx="3">
                  <c:v>11560</c:v>
                </c:pt>
                <c:pt idx="4">
                  <c:v>11533</c:v>
                </c:pt>
                <c:pt idx="5">
                  <c:v>9896</c:v>
                </c:pt>
                <c:pt idx="6">
                  <c:v>11438</c:v>
                </c:pt>
                <c:pt idx="7">
                  <c:v>10359</c:v>
                </c:pt>
                <c:pt idx="8">
                  <c:v>8533</c:v>
                </c:pt>
                <c:pt idx="9">
                  <c:v>9430</c:v>
                </c:pt>
                <c:pt idx="10">
                  <c:v>8396</c:v>
                </c:pt>
                <c:pt idx="11">
                  <c:v>9857</c:v>
                </c:pt>
                <c:pt idx="12">
                  <c:v>8602</c:v>
                </c:pt>
                <c:pt idx="13">
                  <c:v>10143</c:v>
                </c:pt>
                <c:pt idx="14">
                  <c:v>16219</c:v>
                </c:pt>
                <c:pt idx="15">
                  <c:v>13160</c:v>
                </c:pt>
                <c:pt idx="16">
                  <c:v>12394</c:v>
                </c:pt>
                <c:pt idx="17">
                  <c:v>12399</c:v>
                </c:pt>
              </c:numCache>
            </c:numRef>
          </c:xVal>
          <c:yVal>
            <c:numRef>
              <c:f>'Data &amp; Correlation'!$B$49:$B$66</c:f>
              <c:numCache>
                <c:formatCode>General</c:formatCode>
                <c:ptCount val="18"/>
                <c:pt idx="0">
                  <c:v>24015</c:v>
                </c:pt>
                <c:pt idx="1">
                  <c:v>25203</c:v>
                </c:pt>
                <c:pt idx="2">
                  <c:v>23589</c:v>
                </c:pt>
                <c:pt idx="3">
                  <c:v>27704</c:v>
                </c:pt>
                <c:pt idx="4">
                  <c:v>27880</c:v>
                </c:pt>
                <c:pt idx="5">
                  <c:v>26321</c:v>
                </c:pt>
                <c:pt idx="6">
                  <c:v>27021</c:v>
                </c:pt>
                <c:pt idx="7">
                  <c:v>27015</c:v>
                </c:pt>
                <c:pt idx="8">
                  <c:v>23456</c:v>
                </c:pt>
                <c:pt idx="9">
                  <c:v>24813</c:v>
                </c:pt>
                <c:pt idx="10">
                  <c:v>25954</c:v>
                </c:pt>
                <c:pt idx="11">
                  <c:v>26321</c:v>
                </c:pt>
                <c:pt idx="12">
                  <c:v>26456</c:v>
                </c:pt>
                <c:pt idx="13">
                  <c:v>27450</c:v>
                </c:pt>
                <c:pt idx="14">
                  <c:v>31580</c:v>
                </c:pt>
                <c:pt idx="15">
                  <c:v>31100</c:v>
                </c:pt>
                <c:pt idx="16">
                  <c:v>31432</c:v>
                </c:pt>
                <c:pt idx="17">
                  <c:v>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6-44FE-811A-1D18F824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88127"/>
        <c:axId val="793490207"/>
      </c:scatterChart>
      <c:valAx>
        <c:axId val="7934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0207"/>
        <c:crosses val="autoZero"/>
        <c:crossBetween val="midCat"/>
      </c:valAx>
      <c:valAx>
        <c:axId val="7934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Correlation'!$J$48</c:f>
              <c:strCache>
                <c:ptCount val="1"/>
                <c:pt idx="0">
                  <c:v>Actual Call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&amp; Correlation'!$I$49:$I$66</c:f>
              <c:numCache>
                <c:formatCode>General</c:formatCode>
                <c:ptCount val="18"/>
                <c:pt idx="0">
                  <c:v>8769</c:v>
                </c:pt>
                <c:pt idx="1">
                  <c:v>8790</c:v>
                </c:pt>
                <c:pt idx="2">
                  <c:v>8699</c:v>
                </c:pt>
                <c:pt idx="3">
                  <c:v>8223</c:v>
                </c:pt>
                <c:pt idx="4">
                  <c:v>8303</c:v>
                </c:pt>
                <c:pt idx="5">
                  <c:v>8096</c:v>
                </c:pt>
                <c:pt idx="6">
                  <c:v>8235</c:v>
                </c:pt>
                <c:pt idx="7">
                  <c:v>7807</c:v>
                </c:pt>
                <c:pt idx="8">
                  <c:v>7680</c:v>
                </c:pt>
                <c:pt idx="9">
                  <c:v>7380</c:v>
                </c:pt>
                <c:pt idx="10">
                  <c:v>7556</c:v>
                </c:pt>
                <c:pt idx="11">
                  <c:v>7714</c:v>
                </c:pt>
                <c:pt idx="12">
                  <c:v>7742</c:v>
                </c:pt>
                <c:pt idx="13">
                  <c:v>7738</c:v>
                </c:pt>
                <c:pt idx="14">
                  <c:v>10812</c:v>
                </c:pt>
                <c:pt idx="15">
                  <c:v>10528</c:v>
                </c:pt>
                <c:pt idx="16">
                  <c:v>10777</c:v>
                </c:pt>
                <c:pt idx="17">
                  <c:v>10782</c:v>
                </c:pt>
              </c:numCache>
            </c:numRef>
          </c:xVal>
          <c:yVal>
            <c:numRef>
              <c:f>'Data &amp; Correlation'!$J$49:$J$66</c:f>
              <c:numCache>
                <c:formatCode>General</c:formatCode>
                <c:ptCount val="18"/>
                <c:pt idx="0">
                  <c:v>24015</c:v>
                </c:pt>
                <c:pt idx="1">
                  <c:v>25203</c:v>
                </c:pt>
                <c:pt idx="2">
                  <c:v>23589</c:v>
                </c:pt>
                <c:pt idx="3">
                  <c:v>27704</c:v>
                </c:pt>
                <c:pt idx="4">
                  <c:v>27880</c:v>
                </c:pt>
                <c:pt idx="5">
                  <c:v>26321</c:v>
                </c:pt>
                <c:pt idx="6">
                  <c:v>27021</c:v>
                </c:pt>
                <c:pt idx="7">
                  <c:v>27015</c:v>
                </c:pt>
                <c:pt idx="8">
                  <c:v>23456</c:v>
                </c:pt>
                <c:pt idx="9">
                  <c:v>24813</c:v>
                </c:pt>
                <c:pt idx="10">
                  <c:v>25954</c:v>
                </c:pt>
                <c:pt idx="11">
                  <c:v>26321</c:v>
                </c:pt>
                <c:pt idx="12">
                  <c:v>26456</c:v>
                </c:pt>
                <c:pt idx="13">
                  <c:v>27450</c:v>
                </c:pt>
                <c:pt idx="14">
                  <c:v>31580</c:v>
                </c:pt>
                <c:pt idx="15">
                  <c:v>31100</c:v>
                </c:pt>
                <c:pt idx="16">
                  <c:v>31432</c:v>
                </c:pt>
                <c:pt idx="17">
                  <c:v>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85B-A474-AC82AFE4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38527"/>
        <c:axId val="705428959"/>
      </c:scatterChart>
      <c:valAx>
        <c:axId val="7054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28959"/>
        <c:crosses val="autoZero"/>
        <c:crossBetween val="midCat"/>
      </c:valAx>
      <c:valAx>
        <c:axId val="7054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4236043087701"/>
          <c:y val="8.6816720257234706E-2"/>
          <c:w val="0.60882891104944203"/>
          <c:h val="0.70096463022508104"/>
        </c:manualLayout>
      </c:layout>
      <c:lineChart>
        <c:grouping val="standard"/>
        <c:varyColors val="0"/>
        <c:ser>
          <c:idx val="0"/>
          <c:order val="0"/>
          <c:tx>
            <c:v>True Value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'Exponential Smoothing'!$C$6:$C$35</c:f>
              <c:numCache>
                <c:formatCode>#,##0</c:formatCode>
                <c:ptCount val="30"/>
                <c:pt idx="0">
                  <c:v>24015</c:v>
                </c:pt>
                <c:pt idx="1">
                  <c:v>25203</c:v>
                </c:pt>
                <c:pt idx="2">
                  <c:v>23589</c:v>
                </c:pt>
                <c:pt idx="3">
                  <c:v>27704</c:v>
                </c:pt>
                <c:pt idx="4">
                  <c:v>27880</c:v>
                </c:pt>
                <c:pt idx="5">
                  <c:v>26321</c:v>
                </c:pt>
                <c:pt idx="6">
                  <c:v>27021</c:v>
                </c:pt>
                <c:pt idx="7">
                  <c:v>27015</c:v>
                </c:pt>
                <c:pt idx="8">
                  <c:v>23456</c:v>
                </c:pt>
                <c:pt idx="9">
                  <c:v>24813</c:v>
                </c:pt>
                <c:pt idx="10">
                  <c:v>25954</c:v>
                </c:pt>
                <c:pt idx="11">
                  <c:v>26321</c:v>
                </c:pt>
                <c:pt idx="12">
                  <c:v>26456</c:v>
                </c:pt>
                <c:pt idx="13">
                  <c:v>27450</c:v>
                </c:pt>
                <c:pt idx="14">
                  <c:v>31580</c:v>
                </c:pt>
                <c:pt idx="15">
                  <c:v>31100</c:v>
                </c:pt>
                <c:pt idx="16">
                  <c:v>31432</c:v>
                </c:pt>
                <c:pt idx="17">
                  <c:v>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C-4BA9-B147-2F62A6EA1EB0}"/>
            </c:ext>
          </c:extLst>
        </c:ser>
        <c:ser>
          <c:idx val="1"/>
          <c:order val="1"/>
          <c:tx>
            <c:v>Forecast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'Exponential Smoothing'!$D$6:$D$35</c:f>
              <c:numCache>
                <c:formatCode>#,##0</c:formatCode>
                <c:ptCount val="30"/>
                <c:pt idx="0">
                  <c:v>24279</c:v>
                </c:pt>
                <c:pt idx="1">
                  <c:v>24041.4</c:v>
                </c:pt>
                <c:pt idx="2">
                  <c:v>25086.84</c:v>
                </c:pt>
                <c:pt idx="3">
                  <c:v>23738.784</c:v>
                </c:pt>
                <c:pt idx="4">
                  <c:v>27307.4784</c:v>
                </c:pt>
                <c:pt idx="5">
                  <c:v>27822.74784</c:v>
                </c:pt>
                <c:pt idx="6">
                  <c:v>26471.174784000003</c:v>
                </c:pt>
                <c:pt idx="7">
                  <c:v>26966.017478400001</c:v>
                </c:pt>
                <c:pt idx="8">
                  <c:v>27010.101747839999</c:v>
                </c:pt>
                <c:pt idx="9">
                  <c:v>23811.410174784</c:v>
                </c:pt>
                <c:pt idx="10">
                  <c:v>24712.8410174784</c:v>
                </c:pt>
                <c:pt idx="11">
                  <c:v>25829.884101747841</c:v>
                </c:pt>
                <c:pt idx="12">
                  <c:v>26271.888410174786</c:v>
                </c:pt>
                <c:pt idx="13">
                  <c:v>26437.588841017481</c:v>
                </c:pt>
                <c:pt idx="14">
                  <c:v>27348.75888410175</c:v>
                </c:pt>
                <c:pt idx="15">
                  <c:v>31156.875888410174</c:v>
                </c:pt>
                <c:pt idx="16">
                  <c:v>31105.687588841018</c:v>
                </c:pt>
                <c:pt idx="17">
                  <c:v>31399.368758884098</c:v>
                </c:pt>
                <c:pt idx="18">
                  <c:v>31850.83687588841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C-4BA9-B147-2F62A6EA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88024"/>
        <c:axId val="-2124413368"/>
      </c:lineChart>
      <c:catAx>
        <c:axId val="-212428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8356228302512402"/>
              <c:y val="0.88745980707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413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2441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6742770167427701E-2"/>
              <c:y val="0.38585209003215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288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46991614632597"/>
          <c:y val="0.38906752411575601"/>
          <c:w val="0.188737001482121"/>
          <c:h val="0.170418006430867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9667896679"/>
          <c:y val="6.4516207201127301E-2"/>
          <c:w val="0.77490774907749105"/>
          <c:h val="0.769231701244210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4418223552314299"/>
                  <c:y val="1.587593858548980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Regression'!$C$5:$C$34</c:f>
              <c:numCache>
                <c:formatCode>General</c:formatCode>
                <c:ptCount val="30"/>
                <c:pt idx="0">
                  <c:v>43848</c:v>
                </c:pt>
                <c:pt idx="1">
                  <c:v>43948</c:v>
                </c:pt>
                <c:pt idx="2">
                  <c:v>43497</c:v>
                </c:pt>
                <c:pt idx="3">
                  <c:v>46240</c:v>
                </c:pt>
                <c:pt idx="4">
                  <c:v>46130</c:v>
                </c:pt>
                <c:pt idx="5">
                  <c:v>44980</c:v>
                </c:pt>
                <c:pt idx="6">
                  <c:v>45750</c:v>
                </c:pt>
                <c:pt idx="7">
                  <c:v>45039</c:v>
                </c:pt>
                <c:pt idx="8">
                  <c:v>42666</c:v>
                </c:pt>
                <c:pt idx="9">
                  <c:v>41002</c:v>
                </c:pt>
                <c:pt idx="10">
                  <c:v>41980</c:v>
                </c:pt>
                <c:pt idx="11">
                  <c:v>42855</c:v>
                </c:pt>
                <c:pt idx="12">
                  <c:v>43009</c:v>
                </c:pt>
                <c:pt idx="13">
                  <c:v>43101</c:v>
                </c:pt>
                <c:pt idx="14">
                  <c:v>54062</c:v>
                </c:pt>
                <c:pt idx="15">
                  <c:v>52641</c:v>
                </c:pt>
                <c:pt idx="16">
                  <c:v>53885</c:v>
                </c:pt>
                <c:pt idx="17">
                  <c:v>53908</c:v>
                </c:pt>
              </c:numCache>
            </c:numRef>
          </c:xVal>
          <c:yVal>
            <c:numRef>
              <c:f>'Linear Regression'!$D$5:$D$34</c:f>
              <c:numCache>
                <c:formatCode>#,##0</c:formatCode>
                <c:ptCount val="30"/>
                <c:pt idx="0">
                  <c:v>24015</c:v>
                </c:pt>
                <c:pt idx="1">
                  <c:v>25203</c:v>
                </c:pt>
                <c:pt idx="2">
                  <c:v>23589</c:v>
                </c:pt>
                <c:pt idx="3">
                  <c:v>27704</c:v>
                </c:pt>
                <c:pt idx="4">
                  <c:v>27880</c:v>
                </c:pt>
                <c:pt idx="5">
                  <c:v>26321</c:v>
                </c:pt>
                <c:pt idx="6">
                  <c:v>27021</c:v>
                </c:pt>
                <c:pt idx="7">
                  <c:v>27015</c:v>
                </c:pt>
                <c:pt idx="8">
                  <c:v>23456</c:v>
                </c:pt>
                <c:pt idx="9">
                  <c:v>24813</c:v>
                </c:pt>
                <c:pt idx="10">
                  <c:v>25954</c:v>
                </c:pt>
                <c:pt idx="11">
                  <c:v>26321</c:v>
                </c:pt>
                <c:pt idx="12">
                  <c:v>26456</c:v>
                </c:pt>
                <c:pt idx="13">
                  <c:v>27450</c:v>
                </c:pt>
                <c:pt idx="14">
                  <c:v>31580</c:v>
                </c:pt>
                <c:pt idx="15">
                  <c:v>31100</c:v>
                </c:pt>
                <c:pt idx="16">
                  <c:v>31432</c:v>
                </c:pt>
                <c:pt idx="17">
                  <c:v>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4-4BF0-8E46-154DB9B1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37144"/>
        <c:axId val="-2145287496"/>
      </c:scatterChart>
      <c:valAx>
        <c:axId val="-2144737144"/>
        <c:scaling>
          <c:orientation val="minMax"/>
          <c:max val="60000"/>
          <c:min val="4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</a:t>
                </a:r>
              </a:p>
            </c:rich>
          </c:tx>
          <c:layout>
            <c:manualLayout>
              <c:xMode val="edge"/>
              <c:yMode val="edge"/>
              <c:x val="0.44464944649446497"/>
              <c:y val="0.908189627661306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287496"/>
        <c:crosses val="autoZero"/>
        <c:crossBetween val="midCat"/>
        <c:majorUnit val="2000"/>
      </c:valAx>
      <c:valAx>
        <c:axId val="-2145287496"/>
        <c:scaling>
          <c:orientation val="minMax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</a:t>
                </a:r>
              </a:p>
            </c:rich>
          </c:tx>
          <c:layout>
            <c:manualLayout>
              <c:xMode val="edge"/>
              <c:yMode val="edge"/>
              <c:x val="2.9520295202952001E-2"/>
              <c:y val="0.332506724500628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737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287748</xdr:colOff>
      <xdr:row>25</xdr:row>
      <xdr:rowOff>4236</xdr:rowOff>
    </xdr:from>
    <xdr:to>
      <xdr:col>7</xdr:col>
      <xdr:colOff>293076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D7167-B130-63E9-3F50-07AA74DB0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282419</xdr:colOff>
      <xdr:row>24</xdr:row>
      <xdr:rowOff>480113</xdr:rowOff>
    </xdr:from>
    <xdr:to>
      <xdr:col>14</xdr:col>
      <xdr:colOff>586153</xdr:colOff>
      <xdr:row>43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C1D6-84FC-3E1F-0596-9DDA3AF6D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29307</xdr:colOff>
      <xdr:row>48</xdr:row>
      <xdr:rowOff>85791</xdr:rowOff>
    </xdr:from>
    <xdr:to>
      <xdr:col>7</xdr:col>
      <xdr:colOff>335706</xdr:colOff>
      <xdr:row>63</xdr:row>
      <xdr:rowOff>133217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6A7BA-F13D-79BF-1BE6-304DA784F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103908</xdr:colOff>
      <xdr:row>48</xdr:row>
      <xdr:rowOff>127888</xdr:rowOff>
    </xdr:from>
    <xdr:to>
      <xdr:col>13</xdr:col>
      <xdr:colOff>500895</xdr:colOff>
      <xdr:row>64</xdr:row>
      <xdr:rowOff>165188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BC4A6-EC8D-47B3-B8E4-BF1267BC8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162934</xdr:colOff>
      <xdr:row>24</xdr:row>
      <xdr:rowOff>34337</xdr:rowOff>
    </xdr:from>
    <xdr:to>
      <xdr:col>13</xdr:col>
      <xdr:colOff>63705</xdr:colOff>
      <xdr:row>42</xdr:row>
      <xdr:rowOff>67280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E040E1F-B32B-445D-899B-30D010512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3755</xdr:colOff>
      <xdr:row>31</xdr:row>
      <xdr:rowOff>25596</xdr:rowOff>
    </xdr:from>
    <xdr:to>
      <xdr:col>19</xdr:col>
      <xdr:colOff>285749</xdr:colOff>
      <xdr:row>56</xdr:row>
      <xdr:rowOff>26685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09946-3F3F-464D-8BE8-7BF384717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4952-637C-8F49-A841-5A47FDEBAE76}">
  <sheetPr>
    <pageSetUpPr fitToPage="1"/>
  </sheetPr>
  <dimension ref="A1:T68"/>
  <sheetViews>
    <sheetView zoomScale="143" zoomScaleNormal="143" workbookViewId="0">
      <selection activeCell="M25" sqref="M25"/>
    </sheetView>
  </sheetViews>
  <sheetFormatPr defaultColWidth="11" defaultRowHeight="11.4"/>
  <cols>
    <col min="1" max="1" width="13" customWidth="1"/>
    <col min="5" max="5" width="11.875" customWidth="1"/>
    <col min="6" max="6" width="13" customWidth="1"/>
    <col min="7" max="7" width="14" customWidth="1"/>
    <col min="8" max="8" width="12.875" customWidth="1"/>
    <col min="9" max="9" width="13.625" customWidth="1"/>
    <col min="10" max="10" width="13.125" customWidth="1"/>
    <col min="11" max="11" width="22.75" customWidth="1"/>
    <col min="12" max="12" width="22.5" customWidth="1"/>
    <col min="13" max="13" width="14.875" customWidth="1"/>
    <col min="14" max="14" width="13.375" customWidth="1"/>
    <col min="15" max="15" width="26.875" customWidth="1"/>
    <col min="16" max="16" width="42.625" customWidth="1"/>
  </cols>
  <sheetData>
    <row r="1" spans="1:16" ht="17.399999999999999">
      <c r="A1" s="19" t="s">
        <v>45</v>
      </c>
      <c r="B1" s="26"/>
      <c r="C1" s="26"/>
      <c r="D1" s="26"/>
      <c r="E1" s="20"/>
      <c r="F1" s="20"/>
      <c r="G1" s="20"/>
      <c r="H1" s="20"/>
    </row>
    <row r="2" spans="1:16" ht="31.95" customHeight="1" thickBot="1">
      <c r="A2" s="28"/>
      <c r="B2" s="29"/>
      <c r="C2" s="30"/>
      <c r="O2" s="32"/>
    </row>
    <row r="3" spans="1:16" ht="66.599999999999994" thickBot="1">
      <c r="A3" s="17" t="s">
        <v>57</v>
      </c>
      <c r="B3" s="21" t="s">
        <v>28</v>
      </c>
      <c r="C3" s="21" t="s">
        <v>29</v>
      </c>
      <c r="D3" s="30" t="s">
        <v>54</v>
      </c>
      <c r="E3" s="31" t="s">
        <v>86</v>
      </c>
      <c r="F3" s="31" t="s">
        <v>58</v>
      </c>
      <c r="G3" s="31" t="s">
        <v>55</v>
      </c>
      <c r="H3" s="31" t="s">
        <v>56</v>
      </c>
      <c r="I3" s="26"/>
      <c r="J3" s="77" t="s">
        <v>91</v>
      </c>
      <c r="K3" s="73"/>
      <c r="L3" s="26"/>
      <c r="M3" s="63" t="s">
        <v>53</v>
      </c>
      <c r="N3" s="63" t="s">
        <v>88</v>
      </c>
      <c r="O3" s="64" t="s">
        <v>92</v>
      </c>
      <c r="P3" s="64" t="s">
        <v>100</v>
      </c>
    </row>
    <row r="4" spans="1:16" ht="13.2">
      <c r="A4" s="11">
        <v>1</v>
      </c>
      <c r="B4" s="22">
        <v>2020</v>
      </c>
      <c r="C4" s="22" t="s">
        <v>30</v>
      </c>
      <c r="D4" s="23">
        <v>24015</v>
      </c>
      <c r="E4" s="23">
        <f>SUM(F4+G4+H4)</f>
        <v>63579</v>
      </c>
      <c r="F4" s="23">
        <v>43848</v>
      </c>
      <c r="G4" s="23">
        <v>10962</v>
      </c>
      <c r="H4" s="74">
        <v>8769</v>
      </c>
      <c r="I4" s="65" t="s">
        <v>31</v>
      </c>
      <c r="J4" s="26"/>
      <c r="K4" s="26"/>
      <c r="L4" s="26"/>
      <c r="M4" s="61">
        <f>CORREL(D4:D21,E4:E21)</f>
        <v>0.88150595406369403</v>
      </c>
      <c r="N4" s="56">
        <f>M4*M4</f>
        <v>0.77705274704974348</v>
      </c>
      <c r="O4" s="25" t="s">
        <v>86</v>
      </c>
      <c r="P4" s="26" t="s">
        <v>93</v>
      </c>
    </row>
    <row r="5" spans="1:16" ht="13.2">
      <c r="A5" s="11">
        <v>2</v>
      </c>
      <c r="B5" s="22">
        <v>2020</v>
      </c>
      <c r="C5" s="22" t="s">
        <v>32</v>
      </c>
      <c r="D5" s="23">
        <v>25203</v>
      </c>
      <c r="E5" s="23">
        <f>SUM(F5+G5+H5)</f>
        <v>63725</v>
      </c>
      <c r="F5" s="23">
        <v>43948</v>
      </c>
      <c r="G5" s="23">
        <v>10987</v>
      </c>
      <c r="H5" s="74">
        <v>8790</v>
      </c>
      <c r="I5" s="65" t="s">
        <v>31</v>
      </c>
      <c r="J5" s="26"/>
      <c r="K5" s="26"/>
      <c r="L5" s="26"/>
      <c r="M5" s="26"/>
      <c r="N5" s="62"/>
      <c r="O5" s="25" t="s">
        <v>31</v>
      </c>
      <c r="P5" s="26"/>
    </row>
    <row r="6" spans="1:16" ht="13.2">
      <c r="A6" s="11">
        <v>3</v>
      </c>
      <c r="B6" s="22">
        <v>2020</v>
      </c>
      <c r="C6" s="22" t="s">
        <v>33</v>
      </c>
      <c r="D6" s="23">
        <v>23589</v>
      </c>
      <c r="E6" s="23">
        <f>SUM(F6+G6+H6)</f>
        <v>63070</v>
      </c>
      <c r="F6" s="23">
        <v>43497</v>
      </c>
      <c r="G6" s="23">
        <v>10874</v>
      </c>
      <c r="H6" s="74">
        <v>8699</v>
      </c>
      <c r="I6" s="65" t="s">
        <v>31</v>
      </c>
      <c r="J6" s="26"/>
      <c r="K6" s="26"/>
      <c r="L6" s="26"/>
      <c r="M6" s="26"/>
      <c r="N6" s="11"/>
      <c r="O6" s="26"/>
      <c r="P6" s="26"/>
    </row>
    <row r="7" spans="1:16" ht="13.2">
      <c r="A7" s="11">
        <v>4</v>
      </c>
      <c r="B7" s="22">
        <v>2020</v>
      </c>
      <c r="C7" s="22" t="s">
        <v>34</v>
      </c>
      <c r="D7" s="23">
        <v>27704</v>
      </c>
      <c r="E7" s="23">
        <f>SUM(F7+G7+H7)</f>
        <v>66023</v>
      </c>
      <c r="F7" s="23">
        <v>46240</v>
      </c>
      <c r="G7" s="23">
        <v>11560</v>
      </c>
      <c r="H7" s="75">
        <v>8223</v>
      </c>
      <c r="I7" s="66" t="s">
        <v>46</v>
      </c>
      <c r="J7" s="25"/>
      <c r="K7" s="25"/>
      <c r="L7" s="25"/>
      <c r="M7" s="61">
        <f>CORREL(D4:D21,F4:F21)</f>
        <v>0.91606817825487052</v>
      </c>
      <c r="N7" s="56">
        <f>M7*M7</f>
        <v>0.8391809072111972</v>
      </c>
      <c r="O7" s="25" t="s">
        <v>58</v>
      </c>
      <c r="P7" s="26" t="s">
        <v>94</v>
      </c>
    </row>
    <row r="8" spans="1:16" ht="13.2">
      <c r="A8" s="11">
        <v>5</v>
      </c>
      <c r="B8" s="22">
        <v>2020</v>
      </c>
      <c r="C8" s="22" t="s">
        <v>35</v>
      </c>
      <c r="D8" s="23">
        <v>27880</v>
      </c>
      <c r="E8" s="23">
        <f>SUM(F8+G8+H8)</f>
        <v>65966</v>
      </c>
      <c r="F8" s="23">
        <v>46130</v>
      </c>
      <c r="G8" s="23">
        <v>11533</v>
      </c>
      <c r="H8" s="75">
        <v>8303</v>
      </c>
      <c r="I8" s="16"/>
      <c r="J8" s="25"/>
      <c r="K8" s="25"/>
      <c r="L8" s="25"/>
      <c r="M8" s="26"/>
      <c r="N8" s="62"/>
      <c r="O8" s="26"/>
      <c r="P8" s="26"/>
    </row>
    <row r="9" spans="1:16" ht="13.2">
      <c r="A9" s="11">
        <v>6</v>
      </c>
      <c r="B9" s="22">
        <v>2020</v>
      </c>
      <c r="C9" s="22" t="s">
        <v>36</v>
      </c>
      <c r="D9" s="23">
        <v>26321</v>
      </c>
      <c r="E9" s="23">
        <f t="shared" ref="E9:E21" si="0">SUM(F9+G9+H9)</f>
        <v>62972</v>
      </c>
      <c r="F9" s="23">
        <v>44980</v>
      </c>
      <c r="G9" s="23">
        <v>9896</v>
      </c>
      <c r="H9" s="76">
        <v>8096</v>
      </c>
      <c r="I9" s="66" t="s">
        <v>47</v>
      </c>
      <c r="J9" s="25"/>
      <c r="K9" s="25"/>
      <c r="L9" s="25"/>
      <c r="M9" s="26"/>
      <c r="N9" s="11"/>
      <c r="O9" s="26"/>
      <c r="P9" s="26"/>
    </row>
    <row r="10" spans="1:16" ht="13.2">
      <c r="A10" s="11">
        <v>7</v>
      </c>
      <c r="B10" s="22">
        <v>2020</v>
      </c>
      <c r="C10" s="22" t="s">
        <v>37</v>
      </c>
      <c r="D10" s="23">
        <v>27021</v>
      </c>
      <c r="E10" s="23">
        <f t="shared" si="0"/>
        <v>65423</v>
      </c>
      <c r="F10" s="23">
        <v>45750</v>
      </c>
      <c r="G10" s="23">
        <v>11438</v>
      </c>
      <c r="H10" s="75">
        <v>8235</v>
      </c>
      <c r="I10" s="16"/>
      <c r="J10" s="25"/>
      <c r="K10" s="25"/>
      <c r="L10" s="25"/>
      <c r="M10" s="61">
        <f>CORREL(D4:D21,G4:G21)</f>
        <v>0.73803511207947381</v>
      </c>
      <c r="N10" s="56">
        <f>M10*M10</f>
        <v>0.54469582666216143</v>
      </c>
      <c r="O10" s="25" t="s">
        <v>55</v>
      </c>
      <c r="P10" s="26" t="s">
        <v>93</v>
      </c>
    </row>
    <row r="11" spans="1:16" ht="13.2">
      <c r="A11" s="11">
        <v>8</v>
      </c>
      <c r="B11" s="22">
        <v>2020</v>
      </c>
      <c r="C11" s="22" t="s">
        <v>38</v>
      </c>
      <c r="D11" s="23">
        <v>27015</v>
      </c>
      <c r="E11" s="23">
        <f t="shared" si="0"/>
        <v>63205</v>
      </c>
      <c r="F11" s="23">
        <v>45039</v>
      </c>
      <c r="G11" s="23">
        <v>10359</v>
      </c>
      <c r="H11" s="75">
        <v>7807</v>
      </c>
      <c r="I11" s="16" t="s">
        <v>48</v>
      </c>
      <c r="J11" s="25"/>
      <c r="K11" s="25"/>
      <c r="L11" s="25"/>
      <c r="M11" s="26"/>
      <c r="N11" s="62"/>
      <c r="O11" s="26"/>
      <c r="P11" s="26"/>
    </row>
    <row r="12" spans="1:16" ht="13.2">
      <c r="A12" s="11">
        <v>9</v>
      </c>
      <c r="B12" s="22">
        <v>2020</v>
      </c>
      <c r="C12" s="22" t="s">
        <v>39</v>
      </c>
      <c r="D12" s="23">
        <v>23456</v>
      </c>
      <c r="E12" s="23">
        <f t="shared" si="0"/>
        <v>58879</v>
      </c>
      <c r="F12" s="23">
        <v>42666</v>
      </c>
      <c r="G12" s="23">
        <v>8533</v>
      </c>
      <c r="H12" s="75">
        <v>7680</v>
      </c>
      <c r="I12" s="16"/>
      <c r="J12" s="25"/>
      <c r="K12" s="25"/>
      <c r="L12" s="25"/>
      <c r="M12" s="26"/>
      <c r="N12" s="11"/>
      <c r="O12" s="26"/>
      <c r="P12" s="26"/>
    </row>
    <row r="13" spans="1:16" ht="13.2">
      <c r="A13" s="11">
        <v>10</v>
      </c>
      <c r="B13" s="22">
        <v>2020</v>
      </c>
      <c r="C13" s="22" t="s">
        <v>40</v>
      </c>
      <c r="D13" s="23">
        <v>24813</v>
      </c>
      <c r="E13" s="23">
        <f t="shared" si="0"/>
        <v>57812</v>
      </c>
      <c r="F13" s="23">
        <v>41002</v>
      </c>
      <c r="G13" s="23">
        <v>9430</v>
      </c>
      <c r="H13" s="75">
        <v>7380</v>
      </c>
      <c r="I13" s="16" t="s">
        <v>41</v>
      </c>
      <c r="J13" s="25"/>
      <c r="K13" s="25"/>
      <c r="L13" s="25"/>
      <c r="M13" s="61">
        <f>CORREL(D4:D21,H4:H21)</f>
        <v>0.7930455082306993</v>
      </c>
      <c r="N13" s="56">
        <f>M13*M13</f>
        <v>0.62892117812488813</v>
      </c>
      <c r="O13" s="25" t="s">
        <v>56</v>
      </c>
      <c r="P13" s="26" t="s">
        <v>93</v>
      </c>
    </row>
    <row r="14" spans="1:16" ht="13.2">
      <c r="A14" s="11">
        <v>11</v>
      </c>
      <c r="B14" s="22">
        <v>2020</v>
      </c>
      <c r="C14" s="22" t="s">
        <v>42</v>
      </c>
      <c r="D14" s="23">
        <v>25954</v>
      </c>
      <c r="E14" s="23">
        <f t="shared" si="0"/>
        <v>57932</v>
      </c>
      <c r="F14" s="23">
        <v>41980</v>
      </c>
      <c r="G14" s="23">
        <v>8396</v>
      </c>
      <c r="H14" s="75">
        <v>7556</v>
      </c>
      <c r="I14" s="16" t="s">
        <v>102</v>
      </c>
      <c r="J14" s="25"/>
      <c r="K14" s="25"/>
      <c r="L14" s="25"/>
      <c r="M14" s="26"/>
      <c r="N14" s="67"/>
      <c r="O14" s="26"/>
      <c r="P14" s="26"/>
    </row>
    <row r="15" spans="1:16" ht="13.2">
      <c r="A15" s="11">
        <v>12</v>
      </c>
      <c r="B15" s="22">
        <v>2020</v>
      </c>
      <c r="C15" s="22" t="s">
        <v>43</v>
      </c>
      <c r="D15" s="23">
        <v>26321</v>
      </c>
      <c r="E15" s="23">
        <f t="shared" si="0"/>
        <v>60426</v>
      </c>
      <c r="F15" s="23">
        <v>42855</v>
      </c>
      <c r="G15" s="23">
        <v>9857</v>
      </c>
      <c r="H15" s="75">
        <v>7714</v>
      </c>
      <c r="I15" s="16" t="s">
        <v>49</v>
      </c>
      <c r="J15" s="25"/>
      <c r="K15" s="25"/>
      <c r="L15" s="25"/>
      <c r="M15" s="26"/>
      <c r="N15" s="26"/>
      <c r="O15" s="26"/>
      <c r="P15" s="26"/>
    </row>
    <row r="16" spans="1:16" ht="13.2">
      <c r="A16" s="11">
        <v>13</v>
      </c>
      <c r="B16" s="22">
        <v>2021</v>
      </c>
      <c r="C16" s="22" t="s">
        <v>30</v>
      </c>
      <c r="D16" s="23">
        <v>26456</v>
      </c>
      <c r="E16" s="23">
        <f t="shared" si="0"/>
        <v>59353</v>
      </c>
      <c r="F16" s="23">
        <v>43009</v>
      </c>
      <c r="G16" s="23">
        <v>8602</v>
      </c>
      <c r="H16" s="75">
        <v>7742</v>
      </c>
      <c r="I16" s="16"/>
      <c r="J16" s="25"/>
      <c r="K16" s="25"/>
      <c r="L16" s="25"/>
      <c r="M16" s="26"/>
      <c r="N16" s="26"/>
      <c r="O16" s="26"/>
      <c r="P16" s="26"/>
    </row>
    <row r="17" spans="1:20" ht="13.2">
      <c r="A17" s="11">
        <v>14</v>
      </c>
      <c r="B17" s="22">
        <v>2021</v>
      </c>
      <c r="C17" s="22" t="s">
        <v>32</v>
      </c>
      <c r="D17" s="23">
        <v>27450</v>
      </c>
      <c r="E17" s="23">
        <f t="shared" si="0"/>
        <v>60982</v>
      </c>
      <c r="F17" s="23">
        <v>43101</v>
      </c>
      <c r="G17" s="23">
        <v>10143</v>
      </c>
      <c r="H17" s="75">
        <v>7738</v>
      </c>
      <c r="I17" s="16"/>
      <c r="J17" s="25"/>
      <c r="K17" s="25"/>
      <c r="L17" s="25"/>
      <c r="M17" s="26"/>
      <c r="N17" s="26"/>
      <c r="O17" s="26"/>
      <c r="P17" s="26"/>
    </row>
    <row r="18" spans="1:20" ht="13.2">
      <c r="A18" s="11">
        <v>15</v>
      </c>
      <c r="B18" s="22">
        <v>2021</v>
      </c>
      <c r="C18" s="22" t="s">
        <v>33</v>
      </c>
      <c r="D18" s="23">
        <v>31580</v>
      </c>
      <c r="E18" s="23">
        <f t="shared" si="0"/>
        <v>81093</v>
      </c>
      <c r="F18" s="23">
        <v>54062</v>
      </c>
      <c r="G18" s="23">
        <v>16219</v>
      </c>
      <c r="H18" s="75">
        <v>10812</v>
      </c>
      <c r="I18" s="16" t="s">
        <v>50</v>
      </c>
      <c r="J18" s="25"/>
      <c r="K18" s="25"/>
      <c r="L18" s="25"/>
      <c r="M18" s="26"/>
      <c r="N18" s="26"/>
      <c r="O18" s="26"/>
      <c r="P18" s="26"/>
    </row>
    <row r="19" spans="1:20" ht="13.2">
      <c r="A19" s="11">
        <v>16</v>
      </c>
      <c r="B19" s="22">
        <v>2021</v>
      </c>
      <c r="C19" s="22" t="s">
        <v>34</v>
      </c>
      <c r="D19" s="23">
        <v>31100</v>
      </c>
      <c r="E19" s="23">
        <f t="shared" si="0"/>
        <v>76329</v>
      </c>
      <c r="F19" s="23">
        <v>52641</v>
      </c>
      <c r="G19" s="23">
        <v>13160</v>
      </c>
      <c r="H19" s="75">
        <v>10528</v>
      </c>
      <c r="I19" s="16"/>
      <c r="J19" s="25"/>
      <c r="K19" s="25"/>
      <c r="L19" s="25"/>
      <c r="M19" s="26"/>
      <c r="N19" s="26"/>
      <c r="O19" s="26"/>
      <c r="P19" s="26"/>
    </row>
    <row r="20" spans="1:20" ht="13.2">
      <c r="A20" s="11">
        <v>17</v>
      </c>
      <c r="B20" s="22">
        <v>2021</v>
      </c>
      <c r="C20" s="22" t="s">
        <v>35</v>
      </c>
      <c r="D20" s="23">
        <v>31432</v>
      </c>
      <c r="E20" s="23">
        <f t="shared" si="0"/>
        <v>77056</v>
      </c>
      <c r="F20" s="23">
        <v>53885</v>
      </c>
      <c r="G20" s="23">
        <v>12394</v>
      </c>
      <c r="H20" s="75">
        <v>10777</v>
      </c>
      <c r="I20" s="16" t="s">
        <v>51</v>
      </c>
      <c r="J20" s="25"/>
      <c r="K20" s="25"/>
      <c r="L20" s="25"/>
      <c r="M20" s="26"/>
      <c r="N20" s="26"/>
      <c r="O20" s="26"/>
      <c r="P20" s="26"/>
    </row>
    <row r="21" spans="1:20" ht="13.2">
      <c r="A21" s="11">
        <v>18</v>
      </c>
      <c r="B21" s="22">
        <v>2021</v>
      </c>
      <c r="C21" s="22" t="s">
        <v>36</v>
      </c>
      <c r="D21" s="23">
        <v>31901</v>
      </c>
      <c r="E21" s="23">
        <f t="shared" si="0"/>
        <v>77089</v>
      </c>
      <c r="F21" s="23">
        <v>53908</v>
      </c>
      <c r="G21" s="23">
        <v>12399</v>
      </c>
      <c r="H21" s="75">
        <v>10782</v>
      </c>
      <c r="I21" s="25"/>
      <c r="J21" s="25"/>
      <c r="K21" s="25"/>
      <c r="L21" s="25"/>
      <c r="M21" s="26"/>
      <c r="N21" s="26"/>
      <c r="O21" s="26"/>
      <c r="P21" s="26"/>
    </row>
    <row r="22" spans="1:20" ht="13.2">
      <c r="C22" s="59" t="s">
        <v>37</v>
      </c>
      <c r="E22" s="60">
        <v>80267</v>
      </c>
      <c r="F22" s="60">
        <v>56160</v>
      </c>
      <c r="G22" s="60">
        <v>12894</v>
      </c>
      <c r="H22" s="60">
        <v>11213</v>
      </c>
      <c r="I22" s="25" t="s">
        <v>101</v>
      </c>
      <c r="J22" s="25"/>
      <c r="K22" s="25"/>
      <c r="L22" s="25"/>
      <c r="M22" s="26"/>
      <c r="N22" s="26"/>
      <c r="O22" s="26"/>
      <c r="P22" s="26"/>
    </row>
    <row r="23" spans="1:20">
      <c r="D23" s="24"/>
      <c r="E23" s="24"/>
      <c r="F23" s="24"/>
      <c r="G23" s="24"/>
      <c r="H23" s="24"/>
    </row>
    <row r="25" spans="1:20" ht="39.6">
      <c r="A25" s="68" t="s">
        <v>86</v>
      </c>
      <c r="B25" s="68" t="s">
        <v>54</v>
      </c>
      <c r="C25" s="69"/>
      <c r="D25" s="69"/>
      <c r="E25" s="69"/>
      <c r="F25" s="69"/>
      <c r="G25" s="69"/>
      <c r="H25" s="69"/>
      <c r="I25" s="68" t="s">
        <v>58</v>
      </c>
      <c r="J25" s="68" t="s">
        <v>54</v>
      </c>
      <c r="K25" s="69"/>
      <c r="L25" s="69"/>
      <c r="M25" s="69"/>
      <c r="N25" s="69"/>
      <c r="O25" s="69"/>
      <c r="P25" s="58"/>
      <c r="Q25" s="58"/>
      <c r="R25" s="58"/>
      <c r="S25" s="58"/>
      <c r="T25" s="58"/>
    </row>
    <row r="26" spans="1:20" ht="13.2">
      <c r="A26" s="26">
        <v>63579</v>
      </c>
      <c r="B26" s="26">
        <v>24015</v>
      </c>
      <c r="C26" s="26"/>
      <c r="D26" s="26"/>
      <c r="E26" s="26"/>
      <c r="F26" s="26"/>
      <c r="G26" s="26"/>
      <c r="H26" s="26"/>
      <c r="I26" s="26">
        <v>43848</v>
      </c>
      <c r="J26" s="26">
        <v>24015</v>
      </c>
      <c r="K26" s="26"/>
      <c r="L26" s="26"/>
      <c r="M26" s="26"/>
      <c r="N26" s="26"/>
      <c r="O26" s="26"/>
    </row>
    <row r="27" spans="1:20" ht="13.2">
      <c r="A27" s="26">
        <v>63725</v>
      </c>
      <c r="B27" s="26">
        <v>25203</v>
      </c>
      <c r="C27" s="26"/>
      <c r="D27" s="26"/>
      <c r="E27" s="26"/>
      <c r="F27" s="26"/>
      <c r="G27" s="26"/>
      <c r="H27" s="26"/>
      <c r="I27" s="26">
        <v>43948</v>
      </c>
      <c r="J27" s="26">
        <v>25203</v>
      </c>
      <c r="K27" s="26"/>
      <c r="L27" s="26"/>
      <c r="M27" s="26"/>
      <c r="N27" s="26"/>
      <c r="O27" s="26"/>
    </row>
    <row r="28" spans="1:20" ht="13.2">
      <c r="A28" s="26">
        <v>63070</v>
      </c>
      <c r="B28" s="26">
        <v>23589</v>
      </c>
      <c r="C28" s="26"/>
      <c r="D28" s="26"/>
      <c r="E28" s="26"/>
      <c r="F28" s="26"/>
      <c r="G28" s="26"/>
      <c r="H28" s="26"/>
      <c r="I28" s="26">
        <v>43497</v>
      </c>
      <c r="J28" s="26">
        <v>23589</v>
      </c>
      <c r="K28" s="26"/>
      <c r="L28" s="26"/>
      <c r="M28" s="26"/>
      <c r="N28" s="26"/>
      <c r="O28" s="26"/>
    </row>
    <row r="29" spans="1:20" ht="13.2">
      <c r="A29" s="26">
        <v>66023</v>
      </c>
      <c r="B29" s="26">
        <v>27704</v>
      </c>
      <c r="C29" s="26"/>
      <c r="D29" s="26"/>
      <c r="E29" s="26"/>
      <c r="F29" s="26"/>
      <c r="G29" s="26"/>
      <c r="H29" s="26"/>
      <c r="I29" s="26">
        <v>46240</v>
      </c>
      <c r="J29" s="26">
        <v>27704</v>
      </c>
      <c r="K29" s="26"/>
      <c r="L29" s="26"/>
      <c r="M29" s="26"/>
      <c r="N29" s="26"/>
      <c r="O29" s="26"/>
    </row>
    <row r="30" spans="1:20" ht="13.2">
      <c r="A30" s="26">
        <v>65966</v>
      </c>
      <c r="B30" s="26">
        <v>27880</v>
      </c>
      <c r="C30" s="26"/>
      <c r="D30" s="26"/>
      <c r="E30" s="26"/>
      <c r="F30" s="26"/>
      <c r="G30" s="26"/>
      <c r="H30" s="26"/>
      <c r="I30" s="26">
        <v>46130</v>
      </c>
      <c r="J30" s="26">
        <v>27880</v>
      </c>
      <c r="K30" s="26"/>
      <c r="L30" s="26"/>
      <c r="M30" s="26"/>
      <c r="N30" s="26"/>
      <c r="O30" s="26"/>
    </row>
    <row r="31" spans="1:20" ht="13.2">
      <c r="A31" s="26">
        <v>62972</v>
      </c>
      <c r="B31" s="26">
        <v>26321</v>
      </c>
      <c r="C31" s="26"/>
      <c r="D31" s="26"/>
      <c r="E31" s="26"/>
      <c r="F31" s="26"/>
      <c r="G31" s="26"/>
      <c r="H31" s="26"/>
      <c r="I31" s="26">
        <v>44980</v>
      </c>
      <c r="J31" s="26">
        <v>26321</v>
      </c>
      <c r="K31" s="26"/>
      <c r="L31" s="26"/>
      <c r="M31" s="26"/>
      <c r="N31" s="26"/>
      <c r="O31" s="26"/>
    </row>
    <row r="32" spans="1:20" ht="13.2">
      <c r="A32" s="26">
        <v>65423</v>
      </c>
      <c r="B32" s="26">
        <v>27021</v>
      </c>
      <c r="C32" s="26"/>
      <c r="D32" s="26"/>
      <c r="E32" s="26"/>
      <c r="F32" s="26"/>
      <c r="G32" s="26"/>
      <c r="H32" s="26"/>
      <c r="I32" s="26">
        <v>45750</v>
      </c>
      <c r="J32" s="26">
        <v>27021</v>
      </c>
      <c r="K32" s="26"/>
      <c r="L32" s="26"/>
      <c r="M32" s="26"/>
      <c r="N32" s="26"/>
      <c r="O32" s="26"/>
    </row>
    <row r="33" spans="1:15" ht="13.2">
      <c r="A33" s="26">
        <v>63205</v>
      </c>
      <c r="B33" s="26">
        <v>27015</v>
      </c>
      <c r="C33" s="26"/>
      <c r="D33" s="26"/>
      <c r="E33" s="26"/>
      <c r="F33" s="26"/>
      <c r="G33" s="26"/>
      <c r="H33" s="26"/>
      <c r="I33" s="26">
        <v>45039</v>
      </c>
      <c r="J33" s="26">
        <v>27015</v>
      </c>
      <c r="K33" s="26"/>
      <c r="L33" s="26"/>
      <c r="M33" s="26"/>
      <c r="N33" s="26"/>
      <c r="O33" s="26"/>
    </row>
    <row r="34" spans="1:15" ht="13.2">
      <c r="A34" s="26">
        <v>58879</v>
      </c>
      <c r="B34" s="26">
        <v>23456</v>
      </c>
      <c r="C34" s="26"/>
      <c r="D34" s="26"/>
      <c r="E34" s="26"/>
      <c r="F34" s="26"/>
      <c r="G34" s="26"/>
      <c r="H34" s="26"/>
      <c r="I34" s="26">
        <v>42666</v>
      </c>
      <c r="J34" s="26">
        <v>23456</v>
      </c>
      <c r="K34" s="26"/>
      <c r="L34" s="26"/>
      <c r="M34" s="26"/>
      <c r="N34" s="26"/>
      <c r="O34" s="26"/>
    </row>
    <row r="35" spans="1:15" ht="13.2">
      <c r="A35" s="26">
        <v>57812</v>
      </c>
      <c r="B35" s="26">
        <v>24813</v>
      </c>
      <c r="C35" s="26"/>
      <c r="D35" s="26"/>
      <c r="E35" s="26"/>
      <c r="F35" s="26"/>
      <c r="G35" s="26"/>
      <c r="H35" s="26"/>
      <c r="I35" s="26">
        <v>41002</v>
      </c>
      <c r="J35" s="26">
        <v>24813</v>
      </c>
      <c r="K35" s="26"/>
      <c r="L35" s="26"/>
      <c r="M35" s="26"/>
      <c r="N35" s="26"/>
      <c r="O35" s="26"/>
    </row>
    <row r="36" spans="1:15" ht="13.2">
      <c r="A36" s="26">
        <v>57932</v>
      </c>
      <c r="B36" s="26">
        <v>25954</v>
      </c>
      <c r="C36" s="26"/>
      <c r="D36" s="26"/>
      <c r="E36" s="26"/>
      <c r="F36" s="26"/>
      <c r="G36" s="26"/>
      <c r="H36" s="26"/>
      <c r="I36" s="26">
        <v>41980</v>
      </c>
      <c r="J36" s="26">
        <v>25954</v>
      </c>
      <c r="K36" s="26"/>
      <c r="L36" s="26"/>
      <c r="M36" s="26"/>
      <c r="N36" s="26"/>
      <c r="O36" s="26"/>
    </row>
    <row r="37" spans="1:15" ht="13.2">
      <c r="A37" s="26">
        <v>60426</v>
      </c>
      <c r="B37" s="26">
        <v>26321</v>
      </c>
      <c r="C37" s="26"/>
      <c r="D37" s="26"/>
      <c r="E37" s="26"/>
      <c r="F37" s="26"/>
      <c r="G37" s="26"/>
      <c r="H37" s="26"/>
      <c r="I37" s="26">
        <v>42855</v>
      </c>
      <c r="J37" s="26">
        <v>26321</v>
      </c>
      <c r="K37" s="26"/>
      <c r="L37" s="26"/>
      <c r="M37" s="26"/>
      <c r="N37" s="26"/>
      <c r="O37" s="26"/>
    </row>
    <row r="38" spans="1:15" ht="13.2">
      <c r="A38" s="26">
        <v>59353</v>
      </c>
      <c r="B38" s="26">
        <v>26456</v>
      </c>
      <c r="C38" s="26"/>
      <c r="D38" s="26"/>
      <c r="E38" s="26"/>
      <c r="F38" s="26"/>
      <c r="G38" s="26"/>
      <c r="H38" s="26"/>
      <c r="I38" s="26">
        <v>43009</v>
      </c>
      <c r="J38" s="26">
        <v>26456</v>
      </c>
      <c r="K38" s="26"/>
      <c r="L38" s="26"/>
      <c r="M38" s="26"/>
      <c r="N38" s="26"/>
      <c r="O38" s="26"/>
    </row>
    <row r="39" spans="1:15" ht="13.2">
      <c r="A39" s="26">
        <v>60982</v>
      </c>
      <c r="B39" s="26">
        <v>27450</v>
      </c>
      <c r="C39" s="26"/>
      <c r="D39" s="26"/>
      <c r="E39" s="26"/>
      <c r="F39" s="26"/>
      <c r="G39" s="26"/>
      <c r="H39" s="26"/>
      <c r="I39" s="26">
        <v>43101</v>
      </c>
      <c r="J39" s="26">
        <v>27450</v>
      </c>
      <c r="K39" s="26"/>
      <c r="L39" s="26"/>
      <c r="M39" s="26"/>
      <c r="N39" s="26"/>
      <c r="O39" s="26"/>
    </row>
    <row r="40" spans="1:15" ht="13.2">
      <c r="A40" s="26">
        <v>81093</v>
      </c>
      <c r="B40" s="26">
        <v>31580</v>
      </c>
      <c r="C40" s="26"/>
      <c r="D40" s="26"/>
      <c r="E40" s="26"/>
      <c r="F40" s="26"/>
      <c r="G40" s="26"/>
      <c r="H40" s="26"/>
      <c r="I40" s="26">
        <v>54062</v>
      </c>
      <c r="J40" s="26">
        <v>31580</v>
      </c>
      <c r="K40" s="26"/>
      <c r="L40" s="26"/>
      <c r="M40" s="26"/>
      <c r="N40" s="26"/>
      <c r="O40" s="26"/>
    </row>
    <row r="41" spans="1:15" ht="13.2">
      <c r="A41" s="26">
        <v>76329</v>
      </c>
      <c r="B41" s="26">
        <v>31100</v>
      </c>
      <c r="C41" s="26"/>
      <c r="D41" s="26"/>
      <c r="E41" s="26"/>
      <c r="F41" s="26"/>
      <c r="G41" s="26"/>
      <c r="H41" s="26"/>
      <c r="I41" s="26">
        <v>52641</v>
      </c>
      <c r="J41" s="26">
        <v>31100</v>
      </c>
      <c r="K41" s="26"/>
      <c r="L41" s="26"/>
      <c r="M41" s="26"/>
      <c r="N41" s="26"/>
      <c r="O41" s="26"/>
    </row>
    <row r="42" spans="1:15" ht="13.2">
      <c r="A42" s="26">
        <v>77056</v>
      </c>
      <c r="B42" s="26">
        <v>31432</v>
      </c>
      <c r="C42" s="26"/>
      <c r="D42" s="26"/>
      <c r="E42" s="26"/>
      <c r="F42" s="26"/>
      <c r="G42" s="26"/>
      <c r="H42" s="26"/>
      <c r="I42" s="26">
        <v>53885</v>
      </c>
      <c r="J42" s="26">
        <v>31432</v>
      </c>
      <c r="K42" s="26"/>
      <c r="L42" s="26"/>
      <c r="M42" s="26"/>
      <c r="N42" s="26"/>
      <c r="O42" s="26"/>
    </row>
    <row r="43" spans="1:15" ht="13.2">
      <c r="A43" s="26">
        <v>77089</v>
      </c>
      <c r="B43" s="26">
        <v>31901</v>
      </c>
      <c r="C43" s="26"/>
      <c r="D43" s="26"/>
      <c r="E43" s="26"/>
      <c r="F43" s="26"/>
      <c r="G43" s="26"/>
      <c r="H43" s="26"/>
      <c r="I43" s="26">
        <v>53908</v>
      </c>
      <c r="J43" s="26">
        <v>31901</v>
      </c>
      <c r="K43" s="26"/>
      <c r="L43" s="26"/>
      <c r="M43" s="26"/>
      <c r="N43" s="26"/>
      <c r="O43" s="26"/>
    </row>
    <row r="44" spans="1:15" ht="13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ht="13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ht="13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ht="13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ht="39.6">
      <c r="A48" s="70" t="s">
        <v>55</v>
      </c>
      <c r="B48" s="70" t="s">
        <v>54</v>
      </c>
      <c r="C48" s="50"/>
      <c r="D48" s="50"/>
      <c r="E48" s="50"/>
      <c r="F48" s="50"/>
      <c r="G48" s="50"/>
      <c r="H48" s="50"/>
      <c r="I48" s="70" t="s">
        <v>56</v>
      </c>
      <c r="J48" s="70" t="s">
        <v>54</v>
      </c>
      <c r="K48" s="26"/>
      <c r="L48" s="26"/>
      <c r="M48" s="26"/>
      <c r="N48" s="26"/>
      <c r="O48" s="26"/>
    </row>
    <row r="49" spans="1:15" ht="13.2">
      <c r="A49" s="26">
        <v>10962</v>
      </c>
      <c r="B49" s="26">
        <v>24015</v>
      </c>
      <c r="C49" s="26"/>
      <c r="D49" s="26"/>
      <c r="E49" s="26"/>
      <c r="F49" s="26"/>
      <c r="G49" s="26"/>
      <c r="H49" s="26"/>
      <c r="I49" s="26">
        <v>8769</v>
      </c>
      <c r="J49" s="26">
        <v>24015</v>
      </c>
      <c r="K49" s="26"/>
      <c r="L49" s="26"/>
      <c r="M49" s="26"/>
      <c r="N49" s="26"/>
      <c r="O49" s="26"/>
    </row>
    <row r="50" spans="1:15" ht="13.2">
      <c r="A50" s="26">
        <v>10987</v>
      </c>
      <c r="B50" s="26">
        <v>25203</v>
      </c>
      <c r="C50" s="26"/>
      <c r="D50" s="26"/>
      <c r="E50" s="26"/>
      <c r="F50" s="26"/>
      <c r="G50" s="26"/>
      <c r="H50" s="26"/>
      <c r="I50" s="26">
        <v>8790</v>
      </c>
      <c r="J50" s="26">
        <v>25203</v>
      </c>
      <c r="K50" s="26"/>
      <c r="L50" s="26"/>
      <c r="M50" s="26"/>
      <c r="N50" s="26"/>
      <c r="O50" s="26"/>
    </row>
    <row r="51" spans="1:15" ht="13.2">
      <c r="A51" s="26">
        <v>10874</v>
      </c>
      <c r="B51" s="26">
        <v>23589</v>
      </c>
      <c r="C51" s="26"/>
      <c r="D51" s="26"/>
      <c r="E51" s="26"/>
      <c r="F51" s="26"/>
      <c r="G51" s="26"/>
      <c r="H51" s="26"/>
      <c r="I51" s="26">
        <v>8699</v>
      </c>
      <c r="J51" s="26">
        <v>23589</v>
      </c>
      <c r="K51" s="26"/>
      <c r="L51" s="26"/>
      <c r="M51" s="26"/>
      <c r="N51" s="26"/>
      <c r="O51" s="26"/>
    </row>
    <row r="52" spans="1:15" ht="13.2">
      <c r="A52" s="26">
        <v>11560</v>
      </c>
      <c r="B52" s="26">
        <v>27704</v>
      </c>
      <c r="C52" s="26"/>
      <c r="D52" s="26"/>
      <c r="E52" s="26"/>
      <c r="F52" s="26"/>
      <c r="G52" s="26"/>
      <c r="H52" s="26"/>
      <c r="I52" s="26">
        <v>8223</v>
      </c>
      <c r="J52" s="26">
        <v>27704</v>
      </c>
      <c r="K52" s="26"/>
      <c r="L52" s="26"/>
      <c r="M52" s="26"/>
      <c r="N52" s="26"/>
      <c r="O52" s="26"/>
    </row>
    <row r="53" spans="1:15" ht="13.2">
      <c r="A53" s="26">
        <v>11533</v>
      </c>
      <c r="B53" s="26">
        <v>27880</v>
      </c>
      <c r="C53" s="26"/>
      <c r="D53" s="26"/>
      <c r="E53" s="26"/>
      <c r="F53" s="26"/>
      <c r="G53" s="26"/>
      <c r="H53" s="26"/>
      <c r="I53" s="26">
        <v>8303</v>
      </c>
      <c r="J53" s="26">
        <v>27880</v>
      </c>
      <c r="K53" s="26"/>
      <c r="L53" s="26"/>
      <c r="M53" s="26"/>
      <c r="N53" s="26"/>
      <c r="O53" s="26"/>
    </row>
    <row r="54" spans="1:15" ht="13.2">
      <c r="A54" s="26">
        <v>9896</v>
      </c>
      <c r="B54" s="26">
        <v>26321</v>
      </c>
      <c r="C54" s="26"/>
      <c r="D54" s="26"/>
      <c r="E54" s="26"/>
      <c r="F54" s="26"/>
      <c r="G54" s="26"/>
      <c r="H54" s="26"/>
      <c r="I54" s="26">
        <v>8096</v>
      </c>
      <c r="J54" s="26">
        <v>26321</v>
      </c>
      <c r="K54" s="26"/>
      <c r="L54" s="26"/>
      <c r="M54" s="26"/>
      <c r="N54" s="26"/>
      <c r="O54" s="26"/>
    </row>
    <row r="55" spans="1:15" ht="13.2">
      <c r="A55" s="26">
        <v>11438</v>
      </c>
      <c r="B55" s="26">
        <v>27021</v>
      </c>
      <c r="C55" s="26"/>
      <c r="D55" s="26"/>
      <c r="E55" s="26"/>
      <c r="F55" s="26"/>
      <c r="G55" s="26"/>
      <c r="H55" s="26"/>
      <c r="I55" s="26">
        <v>8235</v>
      </c>
      <c r="J55" s="26">
        <v>27021</v>
      </c>
      <c r="K55" s="26"/>
      <c r="L55" s="26"/>
      <c r="M55" s="26"/>
      <c r="N55" s="26"/>
      <c r="O55" s="26"/>
    </row>
    <row r="56" spans="1:15" ht="13.2">
      <c r="A56" s="26">
        <v>10359</v>
      </c>
      <c r="B56" s="26">
        <v>27015</v>
      </c>
      <c r="C56" s="26"/>
      <c r="D56" s="26"/>
      <c r="E56" s="26"/>
      <c r="F56" s="26"/>
      <c r="G56" s="26"/>
      <c r="H56" s="26"/>
      <c r="I56" s="26">
        <v>7807</v>
      </c>
      <c r="J56" s="26">
        <v>27015</v>
      </c>
      <c r="K56" s="26"/>
      <c r="L56" s="26"/>
      <c r="M56" s="26"/>
      <c r="N56" s="26"/>
      <c r="O56" s="26"/>
    </row>
    <row r="57" spans="1:15" ht="13.2">
      <c r="A57" s="26">
        <v>8533</v>
      </c>
      <c r="B57" s="26">
        <v>23456</v>
      </c>
      <c r="C57" s="26"/>
      <c r="D57" s="26"/>
      <c r="E57" s="26"/>
      <c r="F57" s="26"/>
      <c r="G57" s="26"/>
      <c r="H57" s="26"/>
      <c r="I57" s="26">
        <v>7680</v>
      </c>
      <c r="J57" s="26">
        <v>23456</v>
      </c>
      <c r="K57" s="26"/>
      <c r="L57" s="26"/>
      <c r="M57" s="26"/>
      <c r="N57" s="26"/>
      <c r="O57" s="26"/>
    </row>
    <row r="58" spans="1:15" ht="13.2">
      <c r="A58" s="26">
        <v>9430</v>
      </c>
      <c r="B58" s="26">
        <v>24813</v>
      </c>
      <c r="C58" s="26"/>
      <c r="D58" s="26"/>
      <c r="E58" s="26"/>
      <c r="F58" s="26"/>
      <c r="G58" s="26"/>
      <c r="H58" s="26"/>
      <c r="I58" s="26">
        <v>7380</v>
      </c>
      <c r="J58" s="26">
        <v>24813</v>
      </c>
      <c r="K58" s="26"/>
      <c r="L58" s="26"/>
      <c r="M58" s="26"/>
      <c r="N58" s="26"/>
      <c r="O58" s="26"/>
    </row>
    <row r="59" spans="1:15" ht="13.2">
      <c r="A59" s="26">
        <v>8396</v>
      </c>
      <c r="B59" s="26">
        <v>25954</v>
      </c>
      <c r="C59" s="26"/>
      <c r="D59" s="26"/>
      <c r="E59" s="26"/>
      <c r="F59" s="26"/>
      <c r="G59" s="26"/>
      <c r="H59" s="26"/>
      <c r="I59" s="26">
        <v>7556</v>
      </c>
      <c r="J59" s="26">
        <v>25954</v>
      </c>
      <c r="K59" s="26"/>
      <c r="L59" s="26"/>
      <c r="M59" s="26"/>
      <c r="N59" s="26"/>
      <c r="O59" s="26"/>
    </row>
    <row r="60" spans="1:15" ht="13.2">
      <c r="A60" s="26">
        <v>9857</v>
      </c>
      <c r="B60" s="26">
        <v>26321</v>
      </c>
      <c r="C60" s="26"/>
      <c r="D60" s="26"/>
      <c r="E60" s="26"/>
      <c r="F60" s="26"/>
      <c r="G60" s="26"/>
      <c r="H60" s="26"/>
      <c r="I60" s="26">
        <v>7714</v>
      </c>
      <c r="J60" s="26">
        <v>26321</v>
      </c>
      <c r="K60" s="26"/>
      <c r="L60" s="26"/>
      <c r="M60" s="26"/>
      <c r="N60" s="26"/>
      <c r="O60" s="26"/>
    </row>
    <row r="61" spans="1:15" ht="13.2">
      <c r="A61" s="26">
        <v>8602</v>
      </c>
      <c r="B61" s="26">
        <v>26456</v>
      </c>
      <c r="C61" s="26"/>
      <c r="D61" s="26"/>
      <c r="E61" s="26"/>
      <c r="F61" s="26"/>
      <c r="G61" s="26"/>
      <c r="H61" s="26"/>
      <c r="I61" s="26">
        <v>7742</v>
      </c>
      <c r="J61" s="26">
        <v>26456</v>
      </c>
      <c r="K61" s="26"/>
      <c r="L61" s="26"/>
      <c r="M61" s="26"/>
      <c r="N61" s="26"/>
      <c r="O61" s="26"/>
    </row>
    <row r="62" spans="1:15" ht="13.2">
      <c r="A62" s="26">
        <v>10143</v>
      </c>
      <c r="B62" s="26">
        <v>27450</v>
      </c>
      <c r="C62" s="26"/>
      <c r="D62" s="26"/>
      <c r="E62" s="26"/>
      <c r="F62" s="26"/>
      <c r="G62" s="26"/>
      <c r="H62" s="26"/>
      <c r="I62" s="26">
        <v>7738</v>
      </c>
      <c r="J62" s="26">
        <v>27450</v>
      </c>
      <c r="K62" s="26"/>
      <c r="L62" s="26"/>
      <c r="M62" s="26"/>
      <c r="N62" s="26"/>
      <c r="O62" s="26"/>
    </row>
    <row r="63" spans="1:15" ht="13.2">
      <c r="A63" s="26">
        <v>16219</v>
      </c>
      <c r="B63" s="26">
        <v>31580</v>
      </c>
      <c r="C63" s="26"/>
      <c r="D63" s="26"/>
      <c r="E63" s="26"/>
      <c r="F63" s="26"/>
      <c r="G63" s="26"/>
      <c r="H63" s="26"/>
      <c r="I63" s="26">
        <v>10812</v>
      </c>
      <c r="J63" s="26">
        <v>31580</v>
      </c>
      <c r="K63" s="26"/>
      <c r="L63" s="26"/>
      <c r="M63" s="26"/>
      <c r="N63" s="26"/>
      <c r="O63" s="26"/>
    </row>
    <row r="64" spans="1:15" ht="13.2">
      <c r="A64" s="26">
        <v>13160</v>
      </c>
      <c r="B64" s="26">
        <v>31100</v>
      </c>
      <c r="C64" s="26"/>
      <c r="D64" s="26"/>
      <c r="E64" s="26"/>
      <c r="F64" s="26"/>
      <c r="G64" s="26"/>
      <c r="H64" s="26"/>
      <c r="I64" s="26">
        <v>10528</v>
      </c>
      <c r="J64" s="26">
        <v>31100</v>
      </c>
      <c r="K64" s="26"/>
      <c r="L64" s="26"/>
      <c r="M64" s="26"/>
      <c r="N64" s="26"/>
      <c r="O64" s="26"/>
    </row>
    <row r="65" spans="1:15" ht="13.2">
      <c r="A65" s="26">
        <v>12394</v>
      </c>
      <c r="B65" s="26">
        <v>31432</v>
      </c>
      <c r="C65" s="26"/>
      <c r="D65" s="26"/>
      <c r="E65" s="26"/>
      <c r="F65" s="26"/>
      <c r="G65" s="26"/>
      <c r="H65" s="26"/>
      <c r="I65" s="26">
        <v>10777</v>
      </c>
      <c r="J65" s="26">
        <v>31432</v>
      </c>
      <c r="K65" s="26"/>
      <c r="L65" s="26"/>
      <c r="M65" s="26"/>
      <c r="N65" s="26"/>
      <c r="O65" s="26"/>
    </row>
    <row r="66" spans="1:15" ht="13.2">
      <c r="A66" s="26">
        <v>12399</v>
      </c>
      <c r="B66" s="26">
        <v>31901</v>
      </c>
      <c r="C66" s="26"/>
      <c r="D66" s="26"/>
      <c r="E66" s="26"/>
      <c r="F66" s="26"/>
      <c r="G66" s="26"/>
      <c r="H66" s="26"/>
      <c r="I66" s="26">
        <v>10782</v>
      </c>
      <c r="J66" s="26">
        <v>31901</v>
      </c>
      <c r="K66" s="26"/>
      <c r="L66" s="26"/>
      <c r="M66" s="26"/>
      <c r="N66" s="26"/>
      <c r="O66" s="26"/>
    </row>
    <row r="67" spans="1:15" ht="13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1:15" ht="13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</sheetData>
  <pageMargins left="0.7" right="0.7" top="0.75" bottom="0.75" header="0.3" footer="0.3"/>
  <pageSetup scale="73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8789-B89F-4C79-9C01-B7B5B0873656}">
  <sheetPr>
    <pageSetUpPr fitToPage="1"/>
  </sheetPr>
  <dimension ref="A1:Q38"/>
  <sheetViews>
    <sheetView topLeftCell="E6" zoomScale="173" zoomScaleNormal="173" workbookViewId="0">
      <selection activeCell="J21" sqref="J21"/>
    </sheetView>
  </sheetViews>
  <sheetFormatPr defaultColWidth="10.875" defaultRowHeight="13.2"/>
  <cols>
    <col min="1" max="1" width="2.875" style="2" customWidth="1"/>
    <col min="2" max="2" width="7.5" style="2" customWidth="1"/>
    <col min="3" max="3" width="10.875" style="2" customWidth="1"/>
    <col min="4" max="4" width="13.875" style="2" customWidth="1"/>
    <col min="5" max="5" width="12.875" style="2" customWidth="1"/>
    <col min="6" max="6" width="12.375" style="2" customWidth="1"/>
    <col min="7" max="7" width="14" style="2" customWidth="1"/>
    <col min="8" max="8" width="7.875" style="2" customWidth="1"/>
    <col min="9" max="9" width="20.125" style="2" customWidth="1"/>
    <col min="10" max="10" width="17.375" style="2" bestFit="1" customWidth="1"/>
    <col min="11" max="11" width="4.625" style="2" customWidth="1"/>
    <col min="12" max="12" width="15" style="2" customWidth="1"/>
    <col min="13" max="13" width="13" style="2" customWidth="1"/>
    <col min="14" max="16384" width="10.875" style="2"/>
  </cols>
  <sheetData>
    <row r="1" spans="1:17" ht="17.399999999999999">
      <c r="A1" s="1" t="s">
        <v>52</v>
      </c>
    </row>
    <row r="3" spans="1:17">
      <c r="C3" s="3" t="s">
        <v>44</v>
      </c>
      <c r="D3" s="3" t="s">
        <v>11</v>
      </c>
      <c r="E3" s="3" t="s">
        <v>65</v>
      </c>
      <c r="G3" s="3" t="s">
        <v>65</v>
      </c>
      <c r="I3" s="54" t="s">
        <v>79</v>
      </c>
      <c r="J3" s="55"/>
      <c r="K3" s="55"/>
    </row>
    <row r="4" spans="1:17">
      <c r="B4" s="3" t="s">
        <v>6</v>
      </c>
      <c r="C4" s="4" t="s">
        <v>8</v>
      </c>
      <c r="D4" s="3" t="s">
        <v>12</v>
      </c>
      <c r="E4" s="3" t="s">
        <v>2</v>
      </c>
      <c r="F4" s="3" t="s">
        <v>69</v>
      </c>
      <c r="G4" s="3" t="s">
        <v>70</v>
      </c>
      <c r="I4" s="5"/>
    </row>
    <row r="5" spans="1:17" ht="13.8" thickBot="1">
      <c r="B5" s="3" t="s">
        <v>5</v>
      </c>
      <c r="C5" s="4" t="s">
        <v>7</v>
      </c>
      <c r="D5" s="3" t="s">
        <v>0</v>
      </c>
      <c r="E5" s="3" t="s">
        <v>1</v>
      </c>
      <c r="F5" s="3" t="s">
        <v>68</v>
      </c>
      <c r="G5" s="17" t="s">
        <v>68</v>
      </c>
      <c r="I5" s="5" t="s">
        <v>13</v>
      </c>
    </row>
    <row r="6" spans="1:17" ht="13.8" thickBot="1">
      <c r="B6" s="11">
        <v>1</v>
      </c>
      <c r="C6" s="23">
        <v>24015</v>
      </c>
      <c r="D6" s="14">
        <f>IF(ISNUMBER(InitialEstimate),InitialEstimate,NA())</f>
        <v>24279</v>
      </c>
      <c r="E6" s="9">
        <f t="shared" ref="E6:E35" si="0">IF(AND(ISNUMBER(TrueValue),ISNUMBER(Forecast)),ABS(TrueValue-Forecast),"")</f>
        <v>264</v>
      </c>
      <c r="F6" s="33">
        <f t="shared" ref="F6:F23" si="1">C6-D6</f>
        <v>-264</v>
      </c>
      <c r="G6" s="2">
        <f t="shared" ref="G6:G23" si="2">ABS(F6/C6)</f>
        <v>1.0993129294191131E-2</v>
      </c>
      <c r="I6" s="7" t="s">
        <v>15</v>
      </c>
      <c r="J6" s="53">
        <v>0.9</v>
      </c>
      <c r="L6" s="34" t="s">
        <v>78</v>
      </c>
    </row>
    <row r="7" spans="1:17">
      <c r="B7" s="11">
        <v>2</v>
      </c>
      <c r="C7" s="23">
        <v>25203</v>
      </c>
      <c r="D7" s="12">
        <f t="shared" ref="D7:D35" si="3">IF(ISNUMBER(C6),Alpha*C6+(1-Alpha)*D6,NA())</f>
        <v>24041.4</v>
      </c>
      <c r="E7" s="9">
        <f t="shared" si="0"/>
        <v>1161.5999999999985</v>
      </c>
      <c r="F7" s="33">
        <f t="shared" si="1"/>
        <v>1161.5999999999985</v>
      </c>
      <c r="G7" s="2">
        <f t="shared" si="2"/>
        <v>4.6089751220092789E-2</v>
      </c>
      <c r="L7" s="34"/>
    </row>
    <row r="8" spans="1:17">
      <c r="B8" s="11">
        <v>3</v>
      </c>
      <c r="C8" s="23">
        <v>23589</v>
      </c>
      <c r="D8" s="12">
        <f t="shared" si="3"/>
        <v>25086.84</v>
      </c>
      <c r="E8" s="9">
        <f t="shared" si="0"/>
        <v>1497.8400000000001</v>
      </c>
      <c r="F8" s="33">
        <f t="shared" si="1"/>
        <v>-1497.8400000000001</v>
      </c>
      <c r="G8" s="2">
        <f t="shared" si="2"/>
        <v>6.3497392852600795E-2</v>
      </c>
      <c r="I8" s="5" t="s">
        <v>14</v>
      </c>
      <c r="L8" s="34"/>
    </row>
    <row r="9" spans="1:17" ht="13.8" thickBot="1">
      <c r="B9" s="11">
        <v>4</v>
      </c>
      <c r="C9" s="23">
        <v>27704</v>
      </c>
      <c r="D9" s="12">
        <f t="shared" si="3"/>
        <v>23738.784</v>
      </c>
      <c r="E9" s="9">
        <f t="shared" si="0"/>
        <v>3965.2160000000003</v>
      </c>
      <c r="F9" s="33">
        <f t="shared" si="1"/>
        <v>3965.2160000000003</v>
      </c>
      <c r="G9" s="2">
        <f t="shared" si="2"/>
        <v>0.14312792376552125</v>
      </c>
      <c r="I9" s="6" t="s">
        <v>66</v>
      </c>
      <c r="L9" s="34" t="s">
        <v>87</v>
      </c>
    </row>
    <row r="10" spans="1:17" ht="13.8" thickBot="1">
      <c r="B10" s="11">
        <v>5</v>
      </c>
      <c r="C10" s="23">
        <v>27880</v>
      </c>
      <c r="D10" s="12">
        <f t="shared" si="3"/>
        <v>27307.4784</v>
      </c>
      <c r="E10" s="9">
        <f t="shared" si="0"/>
        <v>572.52160000000003</v>
      </c>
      <c r="F10" s="33">
        <f t="shared" si="1"/>
        <v>572.52160000000003</v>
      </c>
      <c r="G10" s="2">
        <f t="shared" si="2"/>
        <v>2.0535208034433285E-2</v>
      </c>
      <c r="J10" s="52">
        <v>24279</v>
      </c>
    </row>
    <row r="11" spans="1:17" ht="13.8" thickBot="1">
      <c r="B11" s="11">
        <v>6</v>
      </c>
      <c r="C11" s="23">
        <v>26321</v>
      </c>
      <c r="D11" s="12">
        <f t="shared" si="3"/>
        <v>27822.74784</v>
      </c>
      <c r="E11" s="9">
        <f t="shared" si="0"/>
        <v>1501.74784</v>
      </c>
      <c r="F11" s="33">
        <f t="shared" si="1"/>
        <v>-1501.74784</v>
      </c>
      <c r="G11" s="2">
        <f t="shared" si="2"/>
        <v>5.7055121006040807E-2</v>
      </c>
      <c r="I11" s="5" t="s">
        <v>4</v>
      </c>
    </row>
    <row r="12" spans="1:17" ht="13.8" thickBot="1">
      <c r="B12" s="11">
        <v>7</v>
      </c>
      <c r="C12" s="23">
        <v>27021</v>
      </c>
      <c r="D12" s="12">
        <f t="shared" si="3"/>
        <v>26471.174784000003</v>
      </c>
      <c r="E12" s="9">
        <f t="shared" si="0"/>
        <v>549.82521599999745</v>
      </c>
      <c r="F12" s="33">
        <f t="shared" si="1"/>
        <v>549.82521599999745</v>
      </c>
      <c r="G12" s="2">
        <f t="shared" si="2"/>
        <v>2.0348070611746327E-2</v>
      </c>
      <c r="I12" s="13" t="s">
        <v>3</v>
      </c>
      <c r="J12" s="36">
        <f>AVERAGE(ForecastingError)</f>
        <v>1231.2379464900441</v>
      </c>
      <c r="L12" s="50" t="s">
        <v>99</v>
      </c>
      <c r="M12" s="11"/>
      <c r="N12" s="11"/>
      <c r="O12" s="11"/>
      <c r="P12" s="11"/>
      <c r="Q12" s="11"/>
    </row>
    <row r="13" spans="1:17">
      <c r="B13" s="11">
        <v>8</v>
      </c>
      <c r="C13" s="23">
        <v>27015</v>
      </c>
      <c r="D13" s="12">
        <f t="shared" si="3"/>
        <v>26966.017478400001</v>
      </c>
      <c r="E13" s="9">
        <f t="shared" si="0"/>
        <v>48.982521599999018</v>
      </c>
      <c r="F13" s="33">
        <f t="shared" si="1"/>
        <v>48.982521599999018</v>
      </c>
      <c r="G13" s="2">
        <f t="shared" si="2"/>
        <v>1.8131601554691474E-3</v>
      </c>
      <c r="L13" s="11"/>
      <c r="M13" s="11"/>
      <c r="N13" s="11"/>
      <c r="O13" s="11"/>
      <c r="P13" s="11"/>
      <c r="Q13" s="11"/>
    </row>
    <row r="14" spans="1:17" ht="13.8" thickBot="1">
      <c r="B14" s="11">
        <v>9</v>
      </c>
      <c r="C14" s="23">
        <v>23456</v>
      </c>
      <c r="D14" s="12">
        <f t="shared" si="3"/>
        <v>27010.101747839999</v>
      </c>
      <c r="E14" s="9">
        <f t="shared" si="0"/>
        <v>3554.101747839999</v>
      </c>
      <c r="F14" s="33">
        <f t="shared" si="1"/>
        <v>-3554.101747839999</v>
      </c>
      <c r="G14" s="2">
        <f t="shared" si="2"/>
        <v>0.15152207315143243</v>
      </c>
      <c r="I14" s="5" t="s">
        <v>60</v>
      </c>
      <c r="J14" s="34"/>
      <c r="L14" s="11"/>
      <c r="M14" s="11"/>
      <c r="N14" s="11"/>
      <c r="O14" s="11"/>
      <c r="P14" s="11"/>
      <c r="Q14" s="11"/>
    </row>
    <row r="15" spans="1:17" ht="13.8" thickBot="1">
      <c r="B15" s="11">
        <v>10</v>
      </c>
      <c r="C15" s="23">
        <v>24813</v>
      </c>
      <c r="D15" s="12">
        <f t="shared" si="3"/>
        <v>23811.410174784</v>
      </c>
      <c r="E15" s="9">
        <f t="shared" si="0"/>
        <v>1001.5898252160005</v>
      </c>
      <c r="F15" s="33">
        <f t="shared" si="1"/>
        <v>1001.5898252160005</v>
      </c>
      <c r="G15" s="2">
        <f t="shared" si="2"/>
        <v>4.0365527151734998E-2</v>
      </c>
      <c r="I15" s="6" t="s">
        <v>59</v>
      </c>
      <c r="J15" s="35">
        <f>AVERAGE(G6:G23)</f>
        <v>4.5977140642427937E-2</v>
      </c>
      <c r="L15" s="50" t="s">
        <v>76</v>
      </c>
      <c r="M15" s="11"/>
      <c r="N15" s="11"/>
      <c r="O15" s="11"/>
      <c r="P15" s="11"/>
      <c r="Q15" s="11"/>
    </row>
    <row r="16" spans="1:17">
      <c r="B16" s="11">
        <v>11</v>
      </c>
      <c r="C16" s="23">
        <v>25954</v>
      </c>
      <c r="D16" s="12">
        <f t="shared" si="3"/>
        <v>24712.8410174784</v>
      </c>
      <c r="E16" s="9">
        <f t="shared" si="0"/>
        <v>1241.1589825215997</v>
      </c>
      <c r="F16" s="33">
        <f t="shared" si="1"/>
        <v>1241.1589825215997</v>
      </c>
      <c r="G16" s="2">
        <f t="shared" si="2"/>
        <v>4.7821491196794318E-2</v>
      </c>
      <c r="I16" s="6"/>
      <c r="J16" s="40"/>
      <c r="L16" s="11"/>
      <c r="M16" s="11"/>
      <c r="N16" s="11"/>
      <c r="O16" s="11"/>
      <c r="P16" s="11"/>
      <c r="Q16" s="11"/>
    </row>
    <row r="17" spans="2:17" ht="13.8" thickBot="1">
      <c r="B17" s="11">
        <v>12</v>
      </c>
      <c r="C17" s="23">
        <v>26321</v>
      </c>
      <c r="D17" s="12">
        <f t="shared" si="3"/>
        <v>25829.884101747841</v>
      </c>
      <c r="E17" s="9">
        <f t="shared" si="0"/>
        <v>491.11589825215924</v>
      </c>
      <c r="F17" s="33">
        <f t="shared" si="1"/>
        <v>491.11589825215924</v>
      </c>
      <c r="G17" s="2">
        <f t="shared" si="2"/>
        <v>1.8658709709059657E-2</v>
      </c>
      <c r="I17" s="5" t="s">
        <v>9</v>
      </c>
      <c r="L17" s="11"/>
      <c r="M17" s="11"/>
      <c r="N17" s="11"/>
      <c r="O17" s="11"/>
      <c r="P17" s="11"/>
      <c r="Q17" s="11"/>
    </row>
    <row r="18" spans="2:17" ht="13.8" thickBot="1">
      <c r="B18" s="11">
        <v>13</v>
      </c>
      <c r="C18" s="23">
        <v>26456</v>
      </c>
      <c r="D18" s="12">
        <f t="shared" si="3"/>
        <v>26271.888410174786</v>
      </c>
      <c r="E18" s="9">
        <f t="shared" si="0"/>
        <v>184.11158982521374</v>
      </c>
      <c r="F18" s="33">
        <f t="shared" si="1"/>
        <v>184.11158982521374</v>
      </c>
      <c r="G18" s="2">
        <f t="shared" si="2"/>
        <v>6.9591619982315445E-3</v>
      </c>
      <c r="I18" s="6" t="s">
        <v>10</v>
      </c>
      <c r="J18" s="37">
        <f>SUMSQ(ForecastingError)/COUNT(ForecastingError)</f>
        <v>3167406.8330141706</v>
      </c>
      <c r="L18" s="50" t="s">
        <v>77</v>
      </c>
      <c r="M18" s="11"/>
      <c r="N18" s="11"/>
      <c r="O18" s="11"/>
      <c r="P18" s="11"/>
      <c r="Q18" s="11"/>
    </row>
    <row r="19" spans="2:17">
      <c r="B19" s="11">
        <v>14</v>
      </c>
      <c r="C19" s="23">
        <v>27450</v>
      </c>
      <c r="D19" s="12">
        <f t="shared" si="3"/>
        <v>26437.588841017481</v>
      </c>
      <c r="E19" s="9">
        <f t="shared" si="0"/>
        <v>1012.4111589825188</v>
      </c>
      <c r="F19" s="33">
        <f t="shared" si="1"/>
        <v>1012.4111589825188</v>
      </c>
      <c r="G19" s="2">
        <f t="shared" si="2"/>
        <v>3.6882009434700137E-2</v>
      </c>
      <c r="L19" s="11"/>
      <c r="M19" s="11"/>
      <c r="N19" s="11"/>
      <c r="O19" s="11"/>
      <c r="P19" s="11"/>
      <c r="Q19" s="11"/>
    </row>
    <row r="20" spans="2:17" ht="13.8" thickBot="1">
      <c r="B20" s="11">
        <v>15</v>
      </c>
      <c r="C20" s="23">
        <v>31580</v>
      </c>
      <c r="D20" s="12">
        <f t="shared" si="3"/>
        <v>27348.75888410175</v>
      </c>
      <c r="E20" s="9">
        <f t="shared" si="0"/>
        <v>4231.2411158982504</v>
      </c>
      <c r="F20" s="33">
        <f t="shared" si="1"/>
        <v>4231.2411158982504</v>
      </c>
      <c r="G20" s="2">
        <f t="shared" si="2"/>
        <v>0.13398483584224985</v>
      </c>
      <c r="I20" s="5" t="s">
        <v>72</v>
      </c>
      <c r="L20" s="50" t="s">
        <v>95</v>
      </c>
      <c r="M20" s="11"/>
      <c r="N20" s="9"/>
      <c r="O20" s="11"/>
      <c r="P20" s="11"/>
      <c r="Q20" s="11"/>
    </row>
    <row r="21" spans="2:17" ht="13.8" thickBot="1">
      <c r="B21" s="11">
        <v>16</v>
      </c>
      <c r="C21" s="23">
        <v>31100</v>
      </c>
      <c r="D21" s="12">
        <f t="shared" si="3"/>
        <v>31156.875888410174</v>
      </c>
      <c r="E21" s="9">
        <f t="shared" si="0"/>
        <v>56.875888410173502</v>
      </c>
      <c r="F21" s="33">
        <f t="shared" si="1"/>
        <v>-56.875888410173502</v>
      </c>
      <c r="G21" s="2">
        <f t="shared" si="2"/>
        <v>1.8288067012917524E-3</v>
      </c>
      <c r="I21" s="6" t="s">
        <v>64</v>
      </c>
      <c r="J21" s="41">
        <f>AVERAGE(F6:F23)</f>
        <v>467.39733801780272</v>
      </c>
      <c r="L21" s="50" t="s">
        <v>97</v>
      </c>
      <c r="M21" s="11"/>
      <c r="N21" s="11"/>
      <c r="O21" s="11"/>
    </row>
    <row r="22" spans="2:17">
      <c r="B22" s="11">
        <v>17</v>
      </c>
      <c r="C22" s="23">
        <v>31432</v>
      </c>
      <c r="D22" s="12">
        <f t="shared" si="3"/>
        <v>31105.687588841018</v>
      </c>
      <c r="E22" s="9">
        <f t="shared" si="0"/>
        <v>326.31241115898229</v>
      </c>
      <c r="F22" s="33">
        <f t="shared" si="1"/>
        <v>326.31241115898229</v>
      </c>
      <c r="G22" s="2">
        <f t="shared" si="2"/>
        <v>1.0381535096684344E-2</v>
      </c>
      <c r="L22" s="50" t="s">
        <v>96</v>
      </c>
      <c r="M22" s="11"/>
      <c r="N22" s="9"/>
      <c r="O22" s="11"/>
    </row>
    <row r="23" spans="2:17">
      <c r="B23" s="11">
        <v>18</v>
      </c>
      <c r="C23" s="23">
        <v>31901</v>
      </c>
      <c r="D23" s="12">
        <f t="shared" si="3"/>
        <v>31399.368758884098</v>
      </c>
      <c r="E23" s="9">
        <f t="shared" si="0"/>
        <v>501.6312411159015</v>
      </c>
      <c r="F23" s="33">
        <f t="shared" si="1"/>
        <v>501.6312411159015</v>
      </c>
      <c r="G23" s="2">
        <f t="shared" si="2"/>
        <v>1.5724624341428215E-2</v>
      </c>
      <c r="L23" s="50" t="s">
        <v>98</v>
      </c>
      <c r="M23" s="11"/>
      <c r="N23" s="9"/>
      <c r="O23" s="11"/>
    </row>
    <row r="24" spans="2:17">
      <c r="B24" s="11">
        <v>19</v>
      </c>
      <c r="C24" s="8"/>
      <c r="D24" s="12">
        <f t="shared" si="3"/>
        <v>31850.83687588841</v>
      </c>
      <c r="E24" s="9" t="str">
        <f t="shared" si="0"/>
        <v/>
      </c>
    </row>
    <row r="25" spans="2:17">
      <c r="B25" s="11">
        <v>20</v>
      </c>
      <c r="C25" s="8"/>
      <c r="D25" s="12" t="e">
        <f t="shared" si="3"/>
        <v>#N/A</v>
      </c>
      <c r="E25" s="9" t="str">
        <f t="shared" si="0"/>
        <v/>
      </c>
      <c r="L25" s="33"/>
    </row>
    <row r="26" spans="2:17">
      <c r="B26" s="11">
        <v>21</v>
      </c>
      <c r="C26" s="8"/>
      <c r="D26" s="12" t="e">
        <f t="shared" si="3"/>
        <v>#N/A</v>
      </c>
      <c r="E26" s="9" t="str">
        <f t="shared" si="0"/>
        <v/>
      </c>
    </row>
    <row r="27" spans="2:17">
      <c r="B27" s="11">
        <v>22</v>
      </c>
      <c r="C27" s="8"/>
      <c r="D27" s="12" t="e">
        <f t="shared" si="3"/>
        <v>#N/A</v>
      </c>
      <c r="E27" s="9" t="str">
        <f t="shared" si="0"/>
        <v/>
      </c>
    </row>
    <row r="28" spans="2:17">
      <c r="B28" s="11">
        <v>23</v>
      </c>
      <c r="C28" s="8"/>
      <c r="D28" s="12" t="e">
        <f t="shared" si="3"/>
        <v>#N/A</v>
      </c>
      <c r="E28" s="9" t="str">
        <f t="shared" si="0"/>
        <v/>
      </c>
    </row>
    <row r="29" spans="2:17">
      <c r="B29" s="11">
        <v>24</v>
      </c>
      <c r="C29" s="8"/>
      <c r="D29" s="12" t="e">
        <f t="shared" si="3"/>
        <v>#N/A</v>
      </c>
      <c r="E29" s="9" t="str">
        <f t="shared" si="0"/>
        <v/>
      </c>
    </row>
    <row r="30" spans="2:17">
      <c r="B30" s="11">
        <v>25</v>
      </c>
      <c r="C30" s="8"/>
      <c r="D30" s="12" t="e">
        <f t="shared" si="3"/>
        <v>#N/A</v>
      </c>
      <c r="E30" s="9" t="str">
        <f t="shared" si="0"/>
        <v/>
      </c>
    </row>
    <row r="31" spans="2:17">
      <c r="B31" s="11">
        <v>26</v>
      </c>
      <c r="C31" s="8"/>
      <c r="D31" s="12" t="e">
        <f t="shared" si="3"/>
        <v>#N/A</v>
      </c>
      <c r="E31" s="9" t="str">
        <f t="shared" si="0"/>
        <v/>
      </c>
    </row>
    <row r="32" spans="2:17">
      <c r="B32" s="11">
        <v>27</v>
      </c>
      <c r="C32" s="8"/>
      <c r="D32" s="12" t="e">
        <f t="shared" si="3"/>
        <v>#N/A</v>
      </c>
      <c r="E32" s="9" t="str">
        <f t="shared" si="0"/>
        <v/>
      </c>
    </row>
    <row r="33" spans="2:6">
      <c r="B33" s="11">
        <v>28</v>
      </c>
      <c r="C33" s="8"/>
      <c r="D33" s="12" t="e">
        <f t="shared" si="3"/>
        <v>#N/A</v>
      </c>
      <c r="E33" s="9" t="str">
        <f t="shared" si="0"/>
        <v/>
      </c>
    </row>
    <row r="34" spans="2:6">
      <c r="B34" s="11">
        <v>29</v>
      </c>
      <c r="C34" s="8"/>
      <c r="D34" s="12" t="e">
        <f t="shared" si="3"/>
        <v>#N/A</v>
      </c>
      <c r="E34" s="9" t="str">
        <f t="shared" si="0"/>
        <v/>
      </c>
    </row>
    <row r="35" spans="2:6" ht="13.8" thickBot="1">
      <c r="B35" s="11">
        <v>30</v>
      </c>
      <c r="C35" s="8"/>
      <c r="D35" s="10" t="e">
        <f t="shared" si="3"/>
        <v>#N/A</v>
      </c>
      <c r="E35" s="9" t="str">
        <f t="shared" si="0"/>
        <v/>
      </c>
    </row>
    <row r="37" spans="2:6">
      <c r="F37" s="33"/>
    </row>
    <row r="38" spans="2:6">
      <c r="C38" s="33"/>
    </row>
  </sheetData>
  <conditionalFormatting sqref="D6">
    <cfRule type="expression" dxfId="1" priority="1" stopIfTrue="1">
      <formula>NOT(ISNUMBER(D6))</formula>
    </cfRule>
  </conditionalFormatting>
  <conditionalFormatting sqref="D7:D35">
    <cfRule type="expression" dxfId="0" priority="2" stopIfTrue="1">
      <formula>NOT(ISNUMBER(D7))</formula>
    </cfRule>
  </conditionalFormatting>
  <dataValidations count="1">
    <dataValidation type="decimal" allowBlank="1" showInputMessage="1" showErrorMessage="1" error="The smoothing constant must be between 0 and 1." sqref="J6" xr:uid="{00000000-0002-0000-0000-000000000000}">
      <formula1>0</formula1>
      <formula2>1</formula2>
    </dataValidation>
  </dataValidations>
  <printOptions headings="1" gridLines="1"/>
  <pageMargins left="0.75" right="0.75" top="1" bottom="1" header="0.5" footer="0.5"/>
  <pageSetup paperSize="0" scale="73" orientation="landscape" horizontalDpi="4294967292" verticalDpi="4294967292"/>
  <headerFooter alignWithMargins="0"/>
  <ignoredErrors>
    <ignoredError sqref="J18 J21 J15 F6:F23 G6:G23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3B80-9666-45E7-BACC-5DD57DB2D14B}">
  <dimension ref="A1:P34"/>
  <sheetViews>
    <sheetView tabSelected="1" zoomScale="136" zoomScaleNormal="136" workbookViewId="0">
      <selection activeCell="Q3" sqref="Q3"/>
    </sheetView>
  </sheetViews>
  <sheetFormatPr defaultColWidth="10.875" defaultRowHeight="13.2"/>
  <cols>
    <col min="1" max="1" width="2.875" style="11" customWidth="1"/>
    <col min="2" max="2" width="7.5" style="11" customWidth="1"/>
    <col min="3" max="3" width="13.875" style="11" customWidth="1"/>
    <col min="4" max="4" width="12.125" style="11" customWidth="1"/>
    <col min="5" max="5" width="14.375" style="11" customWidth="1"/>
    <col min="6" max="6" width="12.125" style="15" bestFit="1" customWidth="1"/>
    <col min="7" max="7" width="12.125" style="11" bestFit="1" customWidth="1"/>
    <col min="8" max="8" width="12" style="11" customWidth="1"/>
    <col min="9" max="9" width="13.875" style="11" customWidth="1"/>
    <col min="10" max="10" width="3.625" style="11" customWidth="1"/>
    <col min="11" max="11" width="19.875" style="11" customWidth="1"/>
    <col min="12" max="12" width="16" style="11" customWidth="1"/>
    <col min="13" max="13" width="4.375" style="11" customWidth="1"/>
    <col min="14" max="14" width="18.5" style="11" customWidth="1"/>
    <col min="15" max="15" width="19.375" style="11" customWidth="1"/>
    <col min="16" max="16" width="14.5" style="11" customWidth="1"/>
    <col min="17" max="17" width="14.875" style="11" customWidth="1"/>
    <col min="18" max="16384" width="10.875" style="11"/>
  </cols>
  <sheetData>
    <row r="1" spans="1:14" ht="17.399999999999999">
      <c r="A1" s="19" t="s">
        <v>67</v>
      </c>
    </row>
    <row r="2" spans="1:14">
      <c r="F2" s="18" t="s">
        <v>65</v>
      </c>
      <c r="I2" s="17" t="s">
        <v>65</v>
      </c>
      <c r="K2" s="16" t="s">
        <v>23</v>
      </c>
    </row>
    <row r="3" spans="1:14" ht="13.8" thickBot="1">
      <c r="B3" s="17" t="s">
        <v>6</v>
      </c>
      <c r="C3" s="17" t="s">
        <v>27</v>
      </c>
      <c r="D3" s="17" t="s">
        <v>26</v>
      </c>
      <c r="E3" s="17"/>
      <c r="F3" s="18" t="s">
        <v>25</v>
      </c>
      <c r="G3" s="17" t="s">
        <v>24</v>
      </c>
      <c r="H3" s="17" t="s">
        <v>69</v>
      </c>
      <c r="I3" s="17" t="s">
        <v>70</v>
      </c>
      <c r="K3" s="50" t="s">
        <v>20</v>
      </c>
    </row>
    <row r="4" spans="1:14" ht="13.8" thickBot="1">
      <c r="B4" s="17" t="s">
        <v>5</v>
      </c>
      <c r="C4" s="17" t="s">
        <v>22</v>
      </c>
      <c r="D4" s="17" t="s">
        <v>22</v>
      </c>
      <c r="E4" s="17" t="s">
        <v>18</v>
      </c>
      <c r="F4" s="18" t="s">
        <v>1</v>
      </c>
      <c r="G4" s="17" t="s">
        <v>21</v>
      </c>
      <c r="H4" s="17" t="s">
        <v>68</v>
      </c>
      <c r="I4" s="17" t="s">
        <v>68</v>
      </c>
      <c r="K4" s="13" t="s">
        <v>15</v>
      </c>
      <c r="L4" s="71">
        <f>INTERCEPT(DependentVariable,IndependentVariable)</f>
        <v>1165.4872169118862</v>
      </c>
    </row>
    <row r="5" spans="1:14" ht="13.8" thickBot="1">
      <c r="B5" s="11">
        <v>1</v>
      </c>
      <c r="C5" s="26">
        <v>43848</v>
      </c>
      <c r="D5" s="23">
        <v>24015</v>
      </c>
      <c r="E5" s="9">
        <f t="shared" ref="E5:E33" si="0">IF(C5="","",a+b*C5)</f>
        <v>25945.246848880925</v>
      </c>
      <c r="F5" s="15">
        <f t="shared" ref="F5:F33" si="1">IF(C5="","",ABS(D5-E5))</f>
        <v>1930.2468488809245</v>
      </c>
      <c r="G5" s="9">
        <f t="shared" ref="G5:G33" si="2">IF(C5="","",F5^2)</f>
        <v>3725852.8976147384</v>
      </c>
      <c r="H5" s="9">
        <f t="shared" ref="H5:H22" si="3">D5-E5</f>
        <v>-1930.2468488809245</v>
      </c>
      <c r="I5" s="11">
        <f t="shared" ref="I5:I22" si="4">ABS(H5/D5)</f>
        <v>8.037671658883716E-2</v>
      </c>
      <c r="K5" s="13" t="s">
        <v>19</v>
      </c>
      <c r="L5" s="72">
        <f>SLOPE(DependentVariable,IndependentVariable)</f>
        <v>0.56512861776977374</v>
      </c>
    </row>
    <row r="6" spans="1:14">
      <c r="B6" s="11">
        <v>2</v>
      </c>
      <c r="C6" s="26">
        <v>43948</v>
      </c>
      <c r="D6" s="23">
        <v>25203</v>
      </c>
      <c r="E6" s="9">
        <f t="shared" si="0"/>
        <v>26001.759710657901</v>
      </c>
      <c r="F6" s="15">
        <f t="shared" si="1"/>
        <v>798.75971065790145</v>
      </c>
      <c r="G6" s="9">
        <f t="shared" si="2"/>
        <v>638017.07537029439</v>
      </c>
      <c r="H6" s="9">
        <f t="shared" si="3"/>
        <v>-798.75971065790145</v>
      </c>
      <c r="I6" s="11">
        <f t="shared" si="4"/>
        <v>3.1693040933932527E-2</v>
      </c>
    </row>
    <row r="7" spans="1:14" ht="13.8" thickBot="1">
      <c r="B7" s="11">
        <v>3</v>
      </c>
      <c r="C7" s="26">
        <v>43497</v>
      </c>
      <c r="D7" s="23">
        <v>23589</v>
      </c>
      <c r="E7" s="9">
        <f t="shared" si="0"/>
        <v>25746.886704043736</v>
      </c>
      <c r="F7" s="15">
        <f t="shared" si="1"/>
        <v>2157.8867040437362</v>
      </c>
      <c r="G7" s="9">
        <f t="shared" si="2"/>
        <v>4656475.0274887392</v>
      </c>
      <c r="H7" s="9">
        <f t="shared" si="3"/>
        <v>-2157.8867040437362</v>
      </c>
      <c r="I7" s="11">
        <f t="shared" si="4"/>
        <v>9.1478515581149528E-2</v>
      </c>
      <c r="K7" s="16" t="s">
        <v>17</v>
      </c>
    </row>
    <row r="8" spans="1:14" ht="13.8" thickBot="1">
      <c r="B8" s="11">
        <v>4</v>
      </c>
      <c r="C8" s="26">
        <v>46240</v>
      </c>
      <c r="D8" s="23">
        <v>27704</v>
      </c>
      <c r="E8" s="9">
        <f t="shared" si="0"/>
        <v>27297.034502586223</v>
      </c>
      <c r="F8" s="15">
        <f t="shared" si="1"/>
        <v>406.96549741377748</v>
      </c>
      <c r="G8" s="9">
        <f t="shared" si="2"/>
        <v>165620.91608524334</v>
      </c>
      <c r="H8" s="9">
        <f t="shared" si="3"/>
        <v>406.96549741377748</v>
      </c>
      <c r="I8" s="11">
        <f t="shared" si="4"/>
        <v>1.4689773946497888E-2</v>
      </c>
      <c r="K8" s="13" t="s">
        <v>16</v>
      </c>
      <c r="L8" s="51">
        <v>56160</v>
      </c>
      <c r="N8" s="16" t="s">
        <v>89</v>
      </c>
    </row>
    <row r="9" spans="1:14" ht="13.8" thickBot="1">
      <c r="B9" s="11">
        <v>5</v>
      </c>
      <c r="C9" s="26">
        <v>46130</v>
      </c>
      <c r="D9" s="23">
        <v>27880</v>
      </c>
      <c r="E9" s="9">
        <f t="shared" si="0"/>
        <v>27234.870354631548</v>
      </c>
      <c r="F9" s="15">
        <f t="shared" si="1"/>
        <v>645.12964536845175</v>
      </c>
      <c r="G9" s="9">
        <f t="shared" si="2"/>
        <v>416192.25933322433</v>
      </c>
      <c r="H9" s="9">
        <f t="shared" si="3"/>
        <v>645.12964536845175</v>
      </c>
      <c r="I9" s="11">
        <f t="shared" si="4"/>
        <v>2.3139513822397838E-2</v>
      </c>
    </row>
    <row r="10" spans="1:14" ht="13.8" thickBot="1">
      <c r="B10" s="11">
        <v>6</v>
      </c>
      <c r="C10" s="26">
        <v>44980</v>
      </c>
      <c r="D10" s="23">
        <v>26321</v>
      </c>
      <c r="E10" s="9">
        <f t="shared" si="0"/>
        <v>26584.972444196308</v>
      </c>
      <c r="F10" s="15">
        <f t="shared" si="1"/>
        <v>263.97244419630806</v>
      </c>
      <c r="G10" s="9">
        <f t="shared" si="2"/>
        <v>69681.451294972969</v>
      </c>
      <c r="H10" s="9">
        <f t="shared" si="3"/>
        <v>-263.97244419630806</v>
      </c>
      <c r="I10" s="11">
        <f t="shared" si="4"/>
        <v>1.0028967143965201E-2</v>
      </c>
      <c r="K10" s="13" t="s">
        <v>74</v>
      </c>
      <c r="L10" s="43">
        <f>a+b*x</f>
        <v>32903.110390862377</v>
      </c>
      <c r="N10" s="16" t="s">
        <v>90</v>
      </c>
    </row>
    <row r="11" spans="1:14">
      <c r="B11" s="11">
        <v>7</v>
      </c>
      <c r="C11" s="26">
        <v>45750</v>
      </c>
      <c r="D11" s="23">
        <v>27021</v>
      </c>
      <c r="E11" s="9">
        <f t="shared" si="0"/>
        <v>27020.121479879035</v>
      </c>
      <c r="F11" s="15">
        <f t="shared" si="1"/>
        <v>0.87852012096482213</v>
      </c>
      <c r="G11" s="9">
        <f t="shared" si="2"/>
        <v>0.77179760294004573</v>
      </c>
      <c r="H11" s="9">
        <f t="shared" si="3"/>
        <v>0.87852012096482213</v>
      </c>
      <c r="I11" s="11">
        <f t="shared" si="4"/>
        <v>3.2512494762030353E-5</v>
      </c>
      <c r="K11" s="13"/>
      <c r="L11" s="45"/>
    </row>
    <row r="12" spans="1:14" ht="13.8" thickBot="1">
      <c r="B12" s="11">
        <v>8</v>
      </c>
      <c r="C12" s="26">
        <v>45039</v>
      </c>
      <c r="D12" s="23">
        <v>27015</v>
      </c>
      <c r="E12" s="9">
        <f t="shared" si="0"/>
        <v>26618.315032644725</v>
      </c>
      <c r="F12" s="15">
        <f t="shared" si="1"/>
        <v>396.68496735527515</v>
      </c>
      <c r="G12" s="9">
        <f t="shared" si="2"/>
        <v>157358.9633256557</v>
      </c>
      <c r="H12" s="9">
        <f t="shared" si="3"/>
        <v>396.68496735527515</v>
      </c>
      <c r="I12" s="11">
        <f t="shared" si="4"/>
        <v>1.468387811790765E-2</v>
      </c>
      <c r="K12" s="5" t="s">
        <v>73</v>
      </c>
    </row>
    <row r="13" spans="1:14" ht="13.8" thickBot="1">
      <c r="B13" s="11">
        <v>9</v>
      </c>
      <c r="C13" s="26">
        <v>42666</v>
      </c>
      <c r="D13" s="23">
        <v>23456</v>
      </c>
      <c r="E13" s="9">
        <f t="shared" si="0"/>
        <v>25277.264822677054</v>
      </c>
      <c r="F13" s="15">
        <f t="shared" si="1"/>
        <v>1821.2648226770543</v>
      </c>
      <c r="G13" s="9">
        <f t="shared" si="2"/>
        <v>3317005.5543208821</v>
      </c>
      <c r="H13" s="9">
        <f t="shared" si="3"/>
        <v>-1821.2648226770543</v>
      </c>
      <c r="I13" s="11">
        <f t="shared" si="4"/>
        <v>7.7646010516586553E-2</v>
      </c>
      <c r="K13" s="13" t="s">
        <v>61</v>
      </c>
      <c r="L13" s="36">
        <f>AVERAGE(F5:F22)</f>
        <v>810.56042963038169</v>
      </c>
      <c r="N13" s="50" t="s">
        <v>75</v>
      </c>
    </row>
    <row r="14" spans="1:14">
      <c r="B14" s="11">
        <v>10</v>
      </c>
      <c r="C14" s="26">
        <v>41002</v>
      </c>
      <c r="D14" s="23">
        <v>24813</v>
      </c>
      <c r="E14" s="9">
        <f t="shared" si="0"/>
        <v>24336.890802708149</v>
      </c>
      <c r="F14" s="15">
        <f t="shared" si="1"/>
        <v>476.10919729185116</v>
      </c>
      <c r="G14" s="9">
        <f t="shared" si="2"/>
        <v>226679.96774589084</v>
      </c>
      <c r="H14" s="9">
        <f t="shared" si="3"/>
        <v>476.10919729185116</v>
      </c>
      <c r="I14" s="11">
        <f t="shared" si="4"/>
        <v>1.9187893333810952E-2</v>
      </c>
      <c r="K14" s="13"/>
      <c r="L14" s="47"/>
    </row>
    <row r="15" spans="1:14" ht="13.8" thickBot="1">
      <c r="B15" s="11">
        <v>11</v>
      </c>
      <c r="C15" s="26">
        <v>41980</v>
      </c>
      <c r="D15" s="23">
        <v>25954</v>
      </c>
      <c r="E15" s="9">
        <f t="shared" si="0"/>
        <v>24889.586590886989</v>
      </c>
      <c r="F15" s="15">
        <f t="shared" si="1"/>
        <v>1064.4134091130109</v>
      </c>
      <c r="G15" s="9">
        <f t="shared" si="2"/>
        <v>1132975.9054995817</v>
      </c>
      <c r="H15" s="9">
        <f t="shared" si="3"/>
        <v>1064.4134091130109</v>
      </c>
      <c r="I15" s="11">
        <f t="shared" si="4"/>
        <v>4.101153614521888E-2</v>
      </c>
      <c r="K15" s="5" t="s">
        <v>60</v>
      </c>
      <c r="L15" s="46"/>
    </row>
    <row r="16" spans="1:14" ht="13.8" thickBot="1">
      <c r="B16" s="11">
        <v>12</v>
      </c>
      <c r="C16" s="26">
        <v>42855</v>
      </c>
      <c r="D16" s="23">
        <v>26321</v>
      </c>
      <c r="E16" s="9">
        <f t="shared" si="0"/>
        <v>25384.07413143554</v>
      </c>
      <c r="F16" s="15">
        <f t="shared" si="1"/>
        <v>936.92586856445996</v>
      </c>
      <c r="G16" s="9">
        <f t="shared" si="2"/>
        <v>877830.08318526775</v>
      </c>
      <c r="H16" s="9">
        <f t="shared" si="3"/>
        <v>936.92586856445996</v>
      </c>
      <c r="I16" s="11">
        <f t="shared" si="4"/>
        <v>3.5596134970725272E-2</v>
      </c>
      <c r="K16" s="44" t="s">
        <v>62</v>
      </c>
      <c r="L16" s="38">
        <f>AVERAGE(I5:I22)</f>
        <v>3.1760572016489234E-2</v>
      </c>
      <c r="N16" s="50" t="s">
        <v>76</v>
      </c>
    </row>
    <row r="17" spans="2:16">
      <c r="B17" s="11">
        <v>13</v>
      </c>
      <c r="C17" s="26">
        <v>43009</v>
      </c>
      <c r="D17" s="23">
        <v>26456</v>
      </c>
      <c r="E17" s="9">
        <f t="shared" si="0"/>
        <v>25471.103938572087</v>
      </c>
      <c r="F17" s="15">
        <f t="shared" si="1"/>
        <v>984.89606142791308</v>
      </c>
      <c r="G17" s="9">
        <f t="shared" si="2"/>
        <v>970020.25181621558</v>
      </c>
      <c r="H17" s="9">
        <f t="shared" si="3"/>
        <v>984.89606142791308</v>
      </c>
      <c r="I17" s="11">
        <f t="shared" si="4"/>
        <v>3.7227701142573066E-2</v>
      </c>
      <c r="K17" s="44"/>
      <c r="L17" s="49"/>
    </row>
    <row r="18" spans="2:16" ht="13.8" thickBot="1">
      <c r="B18" s="11">
        <v>14</v>
      </c>
      <c r="C18" s="26">
        <v>43101</v>
      </c>
      <c r="D18" s="23">
        <v>27450</v>
      </c>
      <c r="E18" s="9">
        <f t="shared" si="0"/>
        <v>25523.095771406905</v>
      </c>
      <c r="F18" s="15">
        <f t="shared" si="1"/>
        <v>1926.9042285930955</v>
      </c>
      <c r="G18" s="9">
        <f t="shared" si="2"/>
        <v>3712959.9061699524</v>
      </c>
      <c r="H18" s="9">
        <f t="shared" si="3"/>
        <v>1926.9042285930955</v>
      </c>
      <c r="I18" s="11">
        <f t="shared" si="4"/>
        <v>7.0196875358582711E-2</v>
      </c>
      <c r="K18" s="5" t="s">
        <v>9</v>
      </c>
      <c r="L18" s="48"/>
      <c r="M18" s="13"/>
    </row>
    <row r="19" spans="2:16" ht="13.8" thickBot="1">
      <c r="B19" s="11">
        <v>15</v>
      </c>
      <c r="C19" s="26">
        <v>54062</v>
      </c>
      <c r="D19" s="23">
        <v>31580</v>
      </c>
      <c r="E19" s="9">
        <f t="shared" si="0"/>
        <v>31717.470550781396</v>
      </c>
      <c r="F19" s="15">
        <f t="shared" si="1"/>
        <v>137.47055078139601</v>
      </c>
      <c r="G19" s="9">
        <f t="shared" si="2"/>
        <v>18898.15233214038</v>
      </c>
      <c r="H19" s="9">
        <f t="shared" si="3"/>
        <v>-137.47055078139601</v>
      </c>
      <c r="I19" s="11">
        <f t="shared" si="4"/>
        <v>4.3530890051107036E-3</v>
      </c>
      <c r="K19" s="13" t="s">
        <v>63</v>
      </c>
      <c r="L19" s="36">
        <f>AVERAGE(G5:G22)</f>
        <v>1123755.5235557284</v>
      </c>
      <c r="N19" s="50" t="s">
        <v>77</v>
      </c>
    </row>
    <row r="20" spans="2:16">
      <c r="B20" s="11">
        <v>16</v>
      </c>
      <c r="C20" s="26">
        <v>52641</v>
      </c>
      <c r="D20" s="23">
        <v>31100</v>
      </c>
      <c r="E20" s="9">
        <f t="shared" si="0"/>
        <v>30914.422784930546</v>
      </c>
      <c r="F20" s="15">
        <f t="shared" si="1"/>
        <v>185.57721506945381</v>
      </c>
      <c r="G20" s="9">
        <f t="shared" si="2"/>
        <v>34438.902752934315</v>
      </c>
      <c r="H20" s="9">
        <f t="shared" si="3"/>
        <v>185.57721506945381</v>
      </c>
      <c r="I20" s="11">
        <f t="shared" si="4"/>
        <v>5.9671130247412798E-3</v>
      </c>
      <c r="K20" s="13"/>
      <c r="L20" s="47"/>
    </row>
    <row r="21" spans="2:16" ht="13.8" thickBot="1">
      <c r="B21" s="11">
        <v>17</v>
      </c>
      <c r="C21" s="26">
        <v>53885</v>
      </c>
      <c r="D21" s="23">
        <v>31432</v>
      </c>
      <c r="E21" s="9">
        <f t="shared" si="0"/>
        <v>31617.442785436146</v>
      </c>
      <c r="F21" s="15">
        <f t="shared" si="1"/>
        <v>185.44278543614564</v>
      </c>
      <c r="G21" s="9">
        <f t="shared" si="2"/>
        <v>34389.026670316351</v>
      </c>
      <c r="H21" s="9">
        <f t="shared" si="3"/>
        <v>-185.44278543614564</v>
      </c>
      <c r="I21" s="11">
        <f t="shared" si="4"/>
        <v>5.8998086483884465E-3</v>
      </c>
      <c r="K21" s="5" t="s">
        <v>72</v>
      </c>
      <c r="L21" s="46"/>
    </row>
    <row r="22" spans="2:16" ht="13.8" thickBot="1">
      <c r="B22" s="11">
        <v>18</v>
      </c>
      <c r="C22" s="26">
        <v>53908</v>
      </c>
      <c r="D22" s="23">
        <v>31901</v>
      </c>
      <c r="E22" s="9">
        <f t="shared" si="0"/>
        <v>31630.440743644849</v>
      </c>
      <c r="F22" s="15">
        <f t="shared" si="1"/>
        <v>270.55925635515086</v>
      </c>
      <c r="G22" s="9">
        <f t="shared" si="2"/>
        <v>73202.311199452248</v>
      </c>
      <c r="H22" s="9">
        <f t="shared" si="3"/>
        <v>270.55925635515086</v>
      </c>
      <c r="I22" s="11">
        <f t="shared" si="4"/>
        <v>8.4812155216184709E-3</v>
      </c>
      <c r="K22" s="44" t="s">
        <v>71</v>
      </c>
      <c r="L22" s="42">
        <f>AVERAGE(H5:H22)</f>
        <v>-3.4358688733643955E-12</v>
      </c>
      <c r="N22" s="50" t="s">
        <v>95</v>
      </c>
    </row>
    <row r="23" spans="2:16">
      <c r="B23" s="11">
        <v>19</v>
      </c>
      <c r="C23" s="27"/>
      <c r="D23" s="27"/>
      <c r="E23" s="9" t="str">
        <f t="shared" si="0"/>
        <v/>
      </c>
      <c r="F23" s="15" t="str">
        <f t="shared" si="1"/>
        <v/>
      </c>
      <c r="G23" s="9" t="str">
        <f t="shared" si="2"/>
        <v/>
      </c>
      <c r="N23" s="50" t="s">
        <v>97</v>
      </c>
    </row>
    <row r="24" spans="2:16">
      <c r="B24" s="11">
        <v>20</v>
      </c>
      <c r="C24" s="27"/>
      <c r="D24" s="27"/>
      <c r="E24" s="9" t="str">
        <f t="shared" si="0"/>
        <v/>
      </c>
      <c r="F24" s="15" t="str">
        <f t="shared" si="1"/>
        <v/>
      </c>
      <c r="G24" s="9" t="str">
        <f t="shared" si="2"/>
        <v/>
      </c>
      <c r="N24" s="50" t="s">
        <v>96</v>
      </c>
      <c r="P24" s="9"/>
    </row>
    <row r="25" spans="2:16">
      <c r="B25" s="11">
        <v>21</v>
      </c>
      <c r="C25" s="27"/>
      <c r="D25" s="27"/>
      <c r="E25" s="9" t="str">
        <f t="shared" si="0"/>
        <v/>
      </c>
      <c r="F25" s="15" t="str">
        <f t="shared" si="1"/>
        <v/>
      </c>
      <c r="G25" s="9" t="str">
        <f t="shared" si="2"/>
        <v/>
      </c>
      <c r="N25" s="50" t="s">
        <v>98</v>
      </c>
      <c r="P25" s="9"/>
    </row>
    <row r="26" spans="2:16" ht="13.8" thickBot="1">
      <c r="B26" s="11">
        <v>22</v>
      </c>
      <c r="C26" s="27"/>
      <c r="D26" s="27"/>
      <c r="E26" s="9" t="str">
        <f t="shared" si="0"/>
        <v/>
      </c>
      <c r="F26" s="15" t="str">
        <f t="shared" si="1"/>
        <v/>
      </c>
      <c r="G26" s="9" t="str">
        <f t="shared" si="2"/>
        <v/>
      </c>
      <c r="K26" s="16" t="s">
        <v>80</v>
      </c>
    </row>
    <row r="27" spans="2:16" ht="13.8" thickBot="1">
      <c r="B27" s="11">
        <v>23</v>
      </c>
      <c r="C27" s="27"/>
      <c r="D27" s="27"/>
      <c r="E27" s="9" t="str">
        <f t="shared" si="0"/>
        <v/>
      </c>
      <c r="F27" s="15" t="str">
        <f t="shared" si="1"/>
        <v/>
      </c>
      <c r="G27" s="9" t="str">
        <f t="shared" si="2"/>
        <v/>
      </c>
      <c r="K27" s="13" t="s">
        <v>81</v>
      </c>
      <c r="L27" s="39">
        <f>CORREL(D5:D22,C5:C22)</f>
        <v>0.91606817825487052</v>
      </c>
      <c r="N27" s="50" t="s">
        <v>84</v>
      </c>
    </row>
    <row r="28" spans="2:16">
      <c r="B28" s="11">
        <v>24</v>
      </c>
      <c r="C28" s="27"/>
      <c r="D28" s="27"/>
      <c r="E28" s="9" t="str">
        <f t="shared" si="0"/>
        <v/>
      </c>
      <c r="F28" s="15" t="str">
        <f t="shared" si="1"/>
        <v/>
      </c>
      <c r="G28" s="9" t="str">
        <f t="shared" si="2"/>
        <v/>
      </c>
    </row>
    <row r="29" spans="2:16" ht="13.8" thickBot="1">
      <c r="B29" s="11">
        <v>25</v>
      </c>
      <c r="C29" s="27"/>
      <c r="D29" s="27"/>
      <c r="E29" s="9" t="str">
        <f t="shared" si="0"/>
        <v/>
      </c>
      <c r="F29" s="15" t="str">
        <f t="shared" si="1"/>
        <v/>
      </c>
      <c r="G29" s="9" t="str">
        <f t="shared" si="2"/>
        <v/>
      </c>
      <c r="K29" s="16" t="s">
        <v>82</v>
      </c>
    </row>
    <row r="30" spans="2:16" ht="13.8" thickBot="1">
      <c r="B30" s="11">
        <v>26</v>
      </c>
      <c r="C30" s="27"/>
      <c r="D30" s="27"/>
      <c r="E30" s="9" t="str">
        <f t="shared" si="0"/>
        <v/>
      </c>
      <c r="F30" s="15" t="str">
        <f t="shared" si="1"/>
        <v/>
      </c>
      <c r="G30" s="9" t="str">
        <f t="shared" si="2"/>
        <v/>
      </c>
      <c r="K30" s="13" t="s">
        <v>83</v>
      </c>
      <c r="L30" s="57">
        <f>L27*L27</f>
        <v>0.8391809072111972</v>
      </c>
      <c r="N30" s="50" t="s">
        <v>85</v>
      </c>
    </row>
    <row r="31" spans="2:16">
      <c r="B31" s="11">
        <v>27</v>
      </c>
      <c r="C31" s="27"/>
      <c r="D31" s="27"/>
      <c r="E31" s="9" t="str">
        <f t="shared" si="0"/>
        <v/>
      </c>
      <c r="F31" s="15" t="str">
        <f t="shared" si="1"/>
        <v/>
      </c>
      <c r="G31" s="9" t="str">
        <f t="shared" si="2"/>
        <v/>
      </c>
    </row>
    <row r="32" spans="2:16">
      <c r="B32" s="11">
        <v>28</v>
      </c>
      <c r="C32" s="27"/>
      <c r="D32" s="27"/>
      <c r="G32" s="9" t="str">
        <f>IF(C32="","",L22^2)</f>
        <v/>
      </c>
    </row>
    <row r="33" spans="2:7">
      <c r="B33" s="11">
        <v>29</v>
      </c>
      <c r="C33" s="27"/>
      <c r="D33" s="27"/>
      <c r="E33" s="9" t="str">
        <f t="shared" si="0"/>
        <v/>
      </c>
      <c r="F33" s="15" t="str">
        <f t="shared" si="1"/>
        <v/>
      </c>
      <c r="G33" s="9" t="str">
        <f t="shared" si="2"/>
        <v/>
      </c>
    </row>
    <row r="34" spans="2:7">
      <c r="B34" s="11">
        <v>30</v>
      </c>
      <c r="C34" s="27"/>
      <c r="D34" s="27"/>
      <c r="G34" s="9" t="str">
        <f>IF(C34="","",L16^2)</f>
        <v/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ignoredErrors>
    <ignoredError sqref="G3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Data &amp; Correlation</vt:lpstr>
      <vt:lpstr>Exponential Smoothing</vt:lpstr>
      <vt:lpstr>Linear Regression</vt:lpstr>
      <vt:lpstr>a</vt:lpstr>
      <vt:lpstr>'Exponential Smoothing'!Alpha</vt:lpstr>
      <vt:lpstr>b</vt:lpstr>
      <vt:lpstr>DependentVariable</vt:lpstr>
      <vt:lpstr>Estimate</vt:lpstr>
      <vt:lpstr>EstimationError</vt:lpstr>
      <vt:lpstr>'Exponential Smoothing'!Forecast</vt:lpstr>
      <vt:lpstr>'Exponential Smoothing'!ForecastingError</vt:lpstr>
      <vt:lpstr>IndependentVariable</vt:lpstr>
      <vt:lpstr>'Exponential Smoothing'!InitialEstimate</vt:lpstr>
      <vt:lpstr>'Exponential Smoothing'!MAD</vt:lpstr>
      <vt:lpstr>'Exponential Smoothing'!MSE</vt:lpstr>
      <vt:lpstr>'Data &amp; Correlation'!Print_Area</vt:lpstr>
      <vt:lpstr>SquareOfError</vt:lpstr>
      <vt:lpstr>'Exponential Smoothing'!TrueValue</vt:lpstr>
      <vt:lpstr>x</vt:lpstr>
      <vt:lpstr>y</vt:lpstr>
    </vt:vector>
  </TitlesOfParts>
  <Manager/>
  <Company>NOVA Southeastern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WJ Harris (Ref: Mark Hillier)</dc:creator>
  <cp:keywords/>
  <dc:description/>
  <cp:lastModifiedBy>Ruthvik</cp:lastModifiedBy>
  <cp:lastPrinted>2022-10-09T16:59:39Z</cp:lastPrinted>
  <dcterms:created xsi:type="dcterms:W3CDTF">1998-05-06T20:14:52Z</dcterms:created>
  <dcterms:modified xsi:type="dcterms:W3CDTF">2022-10-18T22:59:54Z</dcterms:modified>
  <cp:category/>
</cp:coreProperties>
</file>