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tables/table1.xml" ContentType="application/vnd.openxmlformats-officedocument.spreadsheetml.table+xml"/>
  <Override PartName="/xl/comments5.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shiii\Documents\"/>
    </mc:Choice>
  </mc:AlternateContent>
  <xr:revisionPtr revIDLastSave="0" documentId="13_ncr:1_{0C2EA5CC-3C7A-41E8-B5C3-669507C6FDF4}" xr6:coauthVersionLast="47" xr6:coauthVersionMax="47" xr10:uidLastSave="{00000000-0000-0000-0000-000000000000}"/>
  <bookViews>
    <workbookView xWindow="28680" yWindow="-120" windowWidth="29040" windowHeight="15840" firstSheet="3" activeTab="4" xr2:uid="{5AF417EC-426C-455B-844C-D7488AB62562}"/>
  </bookViews>
  <sheets>
    <sheet name="Week-1" sheetId="2" r:id="rId1"/>
    <sheet name="Week-2" sheetId="1" r:id="rId2"/>
    <sheet name="Week-3" sheetId="3" r:id="rId3"/>
    <sheet name="Week-4" sheetId="5" r:id="rId4"/>
    <sheet name="Week-5" sheetId="6" r:id="rId5"/>
    <sheet name="Charts" sheetId="7" r:id="rId6"/>
  </sheets>
  <externalReferences>
    <externalReference r:id="rId7"/>
  </externalReferences>
  <definedNames>
    <definedName name="_xlcn.WorksheetConnection_vergara_aaroncharles_EESB01_capstone.xlsxDataTable1" hidden="1">DataTable[]</definedName>
    <definedName name="_xlcn.WorksheetConnection_vergara_aaroncharles_EESB01_capstone.xlsxDataTable11" hidden="1">[1]!DataTable[#Data]</definedName>
    <definedName name="_xlcn.WorksheetConnection_vergara_aaroncharles_EESB01_capstone.xlsxDataTable21" hidden="1">[1]!DataTable[#Data]</definedName>
    <definedName name="_xlcn.WorksheetConnection_vergara_aaroncharles_EESB01_capstone.xlsxDataTable31" hidden="1">[1]!DataTable[#Data]</definedName>
    <definedName name="_xlcn.WorksheetConnection_vergara_aaroncharles_EESB01_capstone.xlsxTable11" hidden="1">'Week-5'!$B$7:$H$42</definedName>
    <definedName name="_xlcn.WorksheetConnection_vergara_aaroncharles_EESB01_capstone.xlsxTable1GenderOccupationPostCOVID1" hidden="1">'Week-5'!$D$7:$H$42</definedName>
    <definedName name="_xlcn.WorksheetConnection_vergara_aaroncharles_EESB01_capstone.xlsxTable91" hidden="1">'Week-5'!$I$7:$R$42</definedName>
    <definedName name="_xlcn.WorksheetConnection_vergara_aaroncharles_EESB01_capstone2.xlsxDataTableGenderQ5.PostCOVID1" hidden="1">DataTable[[Gender]:[Q5. Post-COVID]]</definedName>
    <definedName name="Age" localSheetId="3">'Week-4'!$E$8:$E$57</definedName>
    <definedName name="Age" localSheetId="4">'Week-5'!$E$8:$E$42</definedName>
    <definedName name="Age">#REF!</definedName>
    <definedName name="Demographic_Table">'Week-5'!$B$8:$H$42</definedName>
    <definedName name="Gender" localSheetId="3">'Week-4'!$D$8:$D$57</definedName>
    <definedName name="Gender" localSheetId="4">'Week-5'!$D$8:$D$42</definedName>
    <definedName name="Gender">#REF!</definedName>
    <definedName name="Post_Occupation" localSheetId="3">'Week-4'!$I$8:$J$57</definedName>
    <definedName name="Post_Occupation" localSheetId="4">'Week-5'!$H$8:$H$42</definedName>
    <definedName name="Post_Occupation">#REF!</definedName>
    <definedName name="Pre_Occupation" localSheetId="3">'Week-4'!$G$8:$H$57</definedName>
    <definedName name="Pre_Occupation" localSheetId="4">'Week-5'!$G$8:$G$42</definedName>
    <definedName name="Pre_Occupation">#REF!</definedName>
    <definedName name="Residence" localSheetId="3">'Week-4'!$F$8:$F$57</definedName>
    <definedName name="Residence" localSheetId="4">'Week-5'!$F$8:$F$42</definedName>
    <definedName name="Residence">#REF!</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40" r:id="rId24"/>
  </pivotCaches>
  <extLst>
    <ext xmlns:x15="http://schemas.microsoft.com/office/spreadsheetml/2010/11/main" uri="{841E416B-1EF1-43b6-AB56-02D37102CBD5}">
      <x15:pivotCaches>
        <pivotCache cacheId="16" r:id="rId25"/>
        <pivotCache cacheId="17" r:id="rId26"/>
        <pivotCache cacheId="18" r:id="rId27"/>
        <pivotCache cacheId="19" r:id="rId28"/>
        <pivotCache cacheId="20" r:id="rId29"/>
      </x15:pivotCaches>
    </ext>
    <ext xmlns:x15="http://schemas.microsoft.com/office/spreadsheetml/2010/11/main" uri="{983426D0-5260-488c-9760-48F4B6AC55F4}">
      <x15:pivotTableReferences>
        <x15:pivotTableReference r:id="rId30"/>
        <x15:pivotTableReference r:id="rId31"/>
        <x15:pivotTableReference r:id="rId32"/>
        <x15:pivotTableReference r:id="rId33"/>
        <x15:pivotTableReference r:id="rId34"/>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Table  Gender   Q5  Post-COVID" name="DataTable  Gender   Q5  Post-COVID" connection="WorksheetConnection_vergara_aaroncharles_EESB01_capstone2.xlsx!DataTable[[Gender]:[Q5. Post-COVID]]"/>
          <x15:modelTable id="Table9" name="Table9" connection="WorksheetConnection_vergara_aaroncharles_EESB01_capstone.xlsx!Table9"/>
          <x15:modelTable id="Table1  Gender   Occupation  Post-COVID" name="Table1  Gender   Occupation  Post-COVID" connection="WorksheetConnection_vergara_aaroncharles_EESB01_capstone.xlsx!Table1[[Gender]:[Occupation (Post-COVID)]]"/>
          <x15:modelTable id="Table1" name="Table1" connection="WorksheetConnection_vergara_aaroncharles_EESB01_capstone.xlsx!Table1"/>
          <x15:modelTable id="DataTable-56a54a81-11c9-4cc7-ab1c-440b53db6189" name="DataTable3" connection="WorksheetConnection_vergara_aaroncharles_EESB01_capstone.xlsx!DataTable3"/>
          <x15:modelTable id="DataTable-aeef4340-b2ab-451f-ba3f-35bf05827a06" name="DataTable2" connection="WorksheetConnection_vergara_aaroncharles_EESB01_capstone.xlsx!DataTable2"/>
          <x15:modelTable id="DataTable-4fa3f783-4a9c-4c64-8e9c-9a6a508e56c3" name="DataTable1" connection="WorksheetConnection_vergara_aaroncharles_EESB01_capstone.xlsx!DataTable1"/>
          <x15:modelTable id="DataTable" name="DataTable" connection="WorksheetConnection_vergara_aaroncharles_EESB01_capstone.xlsx!DataTable"/>
        </x15:modelTables>
        <x15:modelRelationships>
          <x15:modelRelationship fromTable="Table1" fromColumn="#" toTable="Table9" toColum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10" i="6" l="1"/>
  <c r="E107" i="6"/>
  <c r="E104" i="6"/>
  <c r="E103" i="6"/>
  <c r="E102" i="6"/>
  <c r="E94" i="6"/>
  <c r="E91" i="6"/>
  <c r="E88" i="6"/>
  <c r="E87" i="6"/>
  <c r="E86" i="6"/>
  <c r="E78" i="6"/>
  <c r="E77" i="6"/>
  <c r="E76" i="6"/>
  <c r="E75" i="6"/>
  <c r="E74" i="6"/>
  <c r="E73" i="6"/>
  <c r="E72" i="6"/>
  <c r="E71" i="6"/>
  <c r="E70" i="6"/>
  <c r="E69" i="6"/>
  <c r="E68" i="6"/>
  <c r="E61" i="6"/>
  <c r="E60" i="6"/>
  <c r="E59" i="6"/>
  <c r="E58" i="6"/>
  <c r="E57" i="6"/>
  <c r="E56" i="6"/>
  <c r="E55" i="6"/>
  <c r="E54" i="6"/>
  <c r="X47" i="6"/>
  <c r="W47" i="6"/>
  <c r="E47" i="6"/>
  <c r="X46" i="6"/>
  <c r="W46" i="6"/>
  <c r="E46" i="6"/>
  <c r="X45" i="6"/>
  <c r="W45" i="6"/>
  <c r="X44" i="6"/>
  <c r="W44" i="6"/>
  <c r="X43" i="6"/>
  <c r="W43" i="6"/>
  <c r="X40" i="6"/>
  <c r="W40" i="6"/>
  <c r="X39" i="6"/>
  <c r="W39" i="6"/>
  <c r="X38" i="6"/>
  <c r="W38" i="6"/>
  <c r="X37" i="6"/>
  <c r="W37" i="6"/>
  <c r="X36" i="6"/>
  <c r="W36" i="6"/>
  <c r="X35" i="6"/>
  <c r="W35" i="6"/>
  <c r="X32" i="6"/>
  <c r="W32" i="6"/>
  <c r="X31" i="6"/>
  <c r="W31" i="6"/>
  <c r="X30" i="6"/>
  <c r="W30" i="6"/>
  <c r="X29" i="6"/>
  <c r="W29" i="6"/>
  <c r="X26" i="6"/>
  <c r="W26" i="6"/>
  <c r="X25" i="6"/>
  <c r="W25" i="6"/>
  <c r="X24" i="6"/>
  <c r="W24" i="6"/>
  <c r="X23" i="6"/>
  <c r="W23" i="6"/>
  <c r="X22" i="6"/>
  <c r="W22" i="6"/>
  <c r="X21" i="6"/>
  <c r="W21" i="6"/>
  <c r="X20" i="6"/>
  <c r="W20" i="6"/>
  <c r="X19" i="6"/>
  <c r="W19" i="6"/>
  <c r="X18" i="6"/>
  <c r="W18" i="6"/>
  <c r="X15" i="6"/>
  <c r="W15" i="6"/>
  <c r="X14" i="6"/>
  <c r="W14" i="6"/>
  <c r="X13" i="6"/>
  <c r="W13" i="6"/>
  <c r="X12" i="6"/>
  <c r="W12" i="6"/>
  <c r="X11" i="6"/>
  <c r="W11" i="6"/>
  <c r="X10" i="6"/>
  <c r="W10" i="6"/>
  <c r="X9" i="6"/>
  <c r="W9" i="6"/>
  <c r="G129" i="5"/>
  <c r="E129" i="5"/>
  <c r="E129" i="5" a="1"/>
  <c r="G128" i="5"/>
  <c r="E128" i="5"/>
  <c r="E128" i="5" a="1"/>
  <c r="F127" i="5"/>
  <c r="E127" i="5"/>
  <c r="G125" i="5"/>
  <c r="F125" i="5"/>
  <c r="E125" i="5"/>
  <c r="G122" i="5"/>
  <c r="F122" i="5"/>
  <c r="E122" i="5"/>
  <c r="S120" i="5"/>
  <c r="R120" i="5"/>
  <c r="Q120" i="5"/>
  <c r="U119" i="5"/>
  <c r="T119" i="5"/>
  <c r="S119" i="5"/>
  <c r="R119" i="5"/>
  <c r="Q119" i="5"/>
  <c r="P119" i="5"/>
  <c r="G119" i="5"/>
  <c r="F119" i="5"/>
  <c r="E119" i="5"/>
  <c r="G118" i="5"/>
  <c r="F118" i="5"/>
  <c r="E118" i="5"/>
  <c r="S117" i="5"/>
  <c r="R117" i="5"/>
  <c r="Q117" i="5"/>
  <c r="G117" i="5"/>
  <c r="F117" i="5"/>
  <c r="E117" i="5"/>
  <c r="U116" i="5"/>
  <c r="T116" i="5"/>
  <c r="S116" i="5"/>
  <c r="R116" i="5"/>
  <c r="Q116" i="5"/>
  <c r="P116" i="5"/>
  <c r="S114" i="5"/>
  <c r="R114" i="5"/>
  <c r="Q114" i="5"/>
  <c r="U113" i="5"/>
  <c r="T113" i="5"/>
  <c r="S113" i="5"/>
  <c r="R113" i="5"/>
  <c r="Q113" i="5"/>
  <c r="P113" i="5"/>
  <c r="G113" i="5"/>
  <c r="G113" i="5" a="1"/>
  <c r="E113" i="5"/>
  <c r="G112" i="5"/>
  <c r="G112" i="5" a="1"/>
  <c r="E112" i="5"/>
  <c r="S111" i="5"/>
  <c r="R111" i="5"/>
  <c r="Q111" i="5"/>
  <c r="F111" i="5"/>
  <c r="E111" i="5"/>
  <c r="U110" i="5"/>
  <c r="T110" i="5"/>
  <c r="S110" i="5"/>
  <c r="R110" i="5"/>
  <c r="Q110" i="5"/>
  <c r="P110" i="5"/>
  <c r="G109" i="5"/>
  <c r="F109" i="5"/>
  <c r="E109" i="5"/>
  <c r="S108" i="5"/>
  <c r="R108" i="5"/>
  <c r="Q108" i="5"/>
  <c r="U107" i="5"/>
  <c r="T107" i="5"/>
  <c r="S107" i="5"/>
  <c r="R107" i="5"/>
  <c r="Q107" i="5"/>
  <c r="P107" i="5"/>
  <c r="G106" i="5"/>
  <c r="F106" i="5"/>
  <c r="E106" i="5"/>
  <c r="T103" i="5"/>
  <c r="S103" i="5"/>
  <c r="R103" i="5"/>
  <c r="Q103" i="5"/>
  <c r="G103" i="5"/>
  <c r="F103" i="5"/>
  <c r="E103" i="5"/>
  <c r="V102" i="5"/>
  <c r="U102" i="5"/>
  <c r="T102" i="5"/>
  <c r="S102" i="5"/>
  <c r="R102" i="5"/>
  <c r="Q102" i="5"/>
  <c r="G102" i="5"/>
  <c r="F102" i="5"/>
  <c r="E102" i="5"/>
  <c r="V101" i="5"/>
  <c r="U101" i="5"/>
  <c r="T101" i="5"/>
  <c r="S101" i="5"/>
  <c r="R101" i="5"/>
  <c r="Q101" i="5"/>
  <c r="G101" i="5"/>
  <c r="F101" i="5"/>
  <c r="E101" i="5"/>
  <c r="V100" i="5"/>
  <c r="U100" i="5"/>
  <c r="T100" i="5"/>
  <c r="S100" i="5"/>
  <c r="R100" i="5"/>
  <c r="Q100" i="5"/>
  <c r="V99" i="5"/>
  <c r="U99" i="5"/>
  <c r="T99" i="5"/>
  <c r="S99" i="5"/>
  <c r="R99" i="5"/>
  <c r="Q99" i="5"/>
  <c r="V98" i="5"/>
  <c r="U98" i="5"/>
  <c r="T98" i="5"/>
  <c r="S98" i="5"/>
  <c r="R98" i="5"/>
  <c r="Q98" i="5"/>
  <c r="G97" i="5"/>
  <c r="E97" i="5"/>
  <c r="E97" i="5" a="1"/>
  <c r="T96" i="5"/>
  <c r="S96" i="5"/>
  <c r="R96" i="5"/>
  <c r="Q96" i="5"/>
  <c r="G96" i="5"/>
  <c r="E96" i="5"/>
  <c r="E96" i="5" a="1"/>
  <c r="V95" i="5"/>
  <c r="U95" i="5"/>
  <c r="T95" i="5"/>
  <c r="S95" i="5"/>
  <c r="R95" i="5"/>
  <c r="Q95" i="5"/>
  <c r="F95" i="5"/>
  <c r="E95" i="5"/>
  <c r="V94" i="5"/>
  <c r="U94" i="5"/>
  <c r="T94" i="5"/>
  <c r="S94" i="5"/>
  <c r="R94" i="5"/>
  <c r="Q94" i="5"/>
  <c r="V93" i="5"/>
  <c r="U93" i="5"/>
  <c r="T93" i="5"/>
  <c r="S93" i="5"/>
  <c r="R93" i="5"/>
  <c r="Q93" i="5"/>
  <c r="G93" i="5"/>
  <c r="F93" i="5"/>
  <c r="E93" i="5"/>
  <c r="V92" i="5"/>
  <c r="U92" i="5"/>
  <c r="T92" i="5"/>
  <c r="S92" i="5"/>
  <c r="R92" i="5"/>
  <c r="Q92" i="5"/>
  <c r="G92" i="5"/>
  <c r="F92" i="5"/>
  <c r="E92" i="5"/>
  <c r="V91" i="5"/>
  <c r="U91" i="5"/>
  <c r="T91" i="5"/>
  <c r="S91" i="5"/>
  <c r="R91" i="5"/>
  <c r="Q91" i="5"/>
  <c r="G91" i="5"/>
  <c r="F91" i="5"/>
  <c r="E91" i="5"/>
  <c r="V90" i="5"/>
  <c r="U90" i="5"/>
  <c r="T90" i="5"/>
  <c r="S90" i="5"/>
  <c r="R90" i="5"/>
  <c r="Q90" i="5"/>
  <c r="G90" i="5"/>
  <c r="F90" i="5"/>
  <c r="E90" i="5"/>
  <c r="G89" i="5"/>
  <c r="F89" i="5"/>
  <c r="E89" i="5"/>
  <c r="T88" i="5"/>
  <c r="S88" i="5"/>
  <c r="R88" i="5"/>
  <c r="Q88" i="5"/>
  <c r="G88" i="5"/>
  <c r="F88" i="5"/>
  <c r="E88" i="5"/>
  <c r="V87" i="5"/>
  <c r="U87" i="5"/>
  <c r="T87" i="5"/>
  <c r="S87" i="5"/>
  <c r="R87" i="5"/>
  <c r="Q87" i="5"/>
  <c r="G87" i="5"/>
  <c r="F87" i="5"/>
  <c r="E87" i="5"/>
  <c r="V86" i="5"/>
  <c r="U86" i="5"/>
  <c r="T86" i="5"/>
  <c r="S86" i="5"/>
  <c r="R86" i="5"/>
  <c r="Q86" i="5"/>
  <c r="G86" i="5"/>
  <c r="F86" i="5"/>
  <c r="E86" i="5"/>
  <c r="V85" i="5"/>
  <c r="U85" i="5"/>
  <c r="T85" i="5"/>
  <c r="S85" i="5"/>
  <c r="R85" i="5"/>
  <c r="Q85" i="5"/>
  <c r="G85" i="5"/>
  <c r="F85" i="5"/>
  <c r="E85" i="5"/>
  <c r="V84" i="5"/>
  <c r="U84" i="5"/>
  <c r="T84" i="5"/>
  <c r="S84" i="5"/>
  <c r="R84" i="5"/>
  <c r="Q84" i="5"/>
  <c r="G84" i="5"/>
  <c r="F84" i="5"/>
  <c r="E84" i="5"/>
  <c r="G83" i="5"/>
  <c r="F83" i="5"/>
  <c r="E83" i="5"/>
  <c r="T82" i="5"/>
  <c r="S82" i="5"/>
  <c r="R82" i="5"/>
  <c r="Q82" i="5"/>
  <c r="V81" i="5"/>
  <c r="U81" i="5"/>
  <c r="T81" i="5"/>
  <c r="S81" i="5"/>
  <c r="R81" i="5"/>
  <c r="Q81" i="5"/>
  <c r="V80" i="5"/>
  <c r="U80" i="5"/>
  <c r="T80" i="5"/>
  <c r="S80" i="5"/>
  <c r="R80" i="5"/>
  <c r="Q80" i="5"/>
  <c r="G80" i="5"/>
  <c r="E80" i="5"/>
  <c r="E80" i="5" a="1"/>
  <c r="V79" i="5"/>
  <c r="U79" i="5"/>
  <c r="T79" i="5"/>
  <c r="S79" i="5"/>
  <c r="R79" i="5"/>
  <c r="Q79" i="5"/>
  <c r="G79" i="5"/>
  <c r="E79" i="5"/>
  <c r="E79" i="5" a="1"/>
  <c r="V78" i="5"/>
  <c r="U78" i="5"/>
  <c r="T78" i="5"/>
  <c r="S78" i="5"/>
  <c r="R78" i="5"/>
  <c r="Q78" i="5"/>
  <c r="F78" i="5"/>
  <c r="E78" i="5"/>
  <c r="V77" i="5"/>
  <c r="U77" i="5"/>
  <c r="T77" i="5"/>
  <c r="S77" i="5"/>
  <c r="R77" i="5"/>
  <c r="Q77" i="5"/>
  <c r="V76" i="5"/>
  <c r="U76" i="5"/>
  <c r="T76" i="5"/>
  <c r="S76" i="5"/>
  <c r="R76" i="5"/>
  <c r="Q76" i="5"/>
  <c r="G76" i="5"/>
  <c r="F76" i="5"/>
  <c r="E76" i="5"/>
  <c r="V75" i="5"/>
  <c r="U75" i="5"/>
  <c r="T75" i="5"/>
  <c r="S75" i="5"/>
  <c r="R75" i="5"/>
  <c r="Q75" i="5"/>
  <c r="G75" i="5"/>
  <c r="F75" i="5"/>
  <c r="E75" i="5"/>
  <c r="V74" i="5"/>
  <c r="U74" i="5"/>
  <c r="T74" i="5"/>
  <c r="S74" i="5"/>
  <c r="R74" i="5"/>
  <c r="Q74" i="5"/>
  <c r="G74" i="5"/>
  <c r="F74" i="5"/>
  <c r="E74" i="5"/>
  <c r="V73" i="5"/>
  <c r="U73" i="5"/>
  <c r="T73" i="5"/>
  <c r="S73" i="5"/>
  <c r="R73" i="5"/>
  <c r="Q73" i="5"/>
  <c r="G73" i="5"/>
  <c r="F73" i="5"/>
  <c r="E73" i="5"/>
  <c r="G72" i="5"/>
  <c r="F72" i="5"/>
  <c r="E72" i="5"/>
  <c r="T71" i="5"/>
  <c r="S71" i="5"/>
  <c r="R71" i="5"/>
  <c r="Q71" i="5"/>
  <c r="G71" i="5"/>
  <c r="F71" i="5"/>
  <c r="E71" i="5"/>
  <c r="V70" i="5"/>
  <c r="U70" i="5"/>
  <c r="T70" i="5"/>
  <c r="S70" i="5"/>
  <c r="R70" i="5"/>
  <c r="Q70" i="5"/>
  <c r="G70" i="5"/>
  <c r="F70" i="5"/>
  <c r="E70" i="5"/>
  <c r="V69" i="5"/>
  <c r="U69" i="5"/>
  <c r="T69" i="5"/>
  <c r="S69" i="5"/>
  <c r="R69" i="5"/>
  <c r="Q69" i="5"/>
  <c r="G69" i="5"/>
  <c r="F69" i="5"/>
  <c r="E69" i="5"/>
  <c r="V68" i="5"/>
  <c r="U68" i="5"/>
  <c r="T68" i="5"/>
  <c r="S68" i="5"/>
  <c r="R68" i="5"/>
  <c r="Q68" i="5"/>
  <c r="V67" i="5"/>
  <c r="U67" i="5"/>
  <c r="T67" i="5"/>
  <c r="S67" i="5"/>
  <c r="R67" i="5"/>
  <c r="Q67" i="5"/>
  <c r="V66" i="5"/>
  <c r="U66" i="5"/>
  <c r="T66" i="5"/>
  <c r="S66" i="5"/>
  <c r="R66" i="5"/>
  <c r="Q66" i="5"/>
  <c r="G66" i="5"/>
  <c r="G66" i="5" a="1"/>
  <c r="E66" i="5"/>
  <c r="V65" i="5"/>
  <c r="U65" i="5"/>
  <c r="T65" i="5"/>
  <c r="S65" i="5"/>
  <c r="R65" i="5"/>
  <c r="Q65" i="5"/>
  <c r="G65" i="5"/>
  <c r="G65" i="5" a="1"/>
  <c r="E65" i="5"/>
  <c r="V64" i="5"/>
  <c r="U64" i="5"/>
  <c r="T64" i="5"/>
  <c r="S64" i="5"/>
  <c r="R64" i="5"/>
  <c r="Q64" i="5"/>
  <c r="F64" i="5"/>
  <c r="E64" i="5"/>
  <c r="G62" i="5"/>
  <c r="F62" i="5"/>
  <c r="E62" i="5"/>
  <c r="G61" i="5"/>
  <c r="F61" i="5"/>
  <c r="E61" i="5"/>
  <c r="F119" i="3"/>
  <c r="E119" i="3"/>
  <c r="F117" i="3"/>
  <c r="E117" i="3"/>
  <c r="F114" i="3"/>
  <c r="E114" i="3"/>
  <c r="F111" i="3"/>
  <c r="E111" i="3"/>
  <c r="F110" i="3"/>
  <c r="E110" i="3"/>
  <c r="F109" i="3"/>
  <c r="E109" i="3"/>
  <c r="F105" i="3"/>
  <c r="E105" i="3"/>
  <c r="F103" i="3"/>
  <c r="E103" i="3"/>
  <c r="R102" i="3"/>
  <c r="Q102" i="3"/>
  <c r="P102" i="3"/>
  <c r="O102" i="3"/>
  <c r="R101" i="3"/>
  <c r="Q101" i="3"/>
  <c r="P101" i="3"/>
  <c r="O101" i="3"/>
  <c r="R100" i="3"/>
  <c r="Q100" i="3"/>
  <c r="P100" i="3"/>
  <c r="O100" i="3"/>
  <c r="F100" i="3"/>
  <c r="E100" i="3"/>
  <c r="R99" i="3"/>
  <c r="Q99" i="3"/>
  <c r="P99" i="3"/>
  <c r="O99" i="3"/>
  <c r="R98" i="3"/>
  <c r="Q98" i="3"/>
  <c r="P98" i="3"/>
  <c r="O98" i="3"/>
  <c r="R97" i="3"/>
  <c r="Q97" i="3"/>
  <c r="P97" i="3"/>
  <c r="O97" i="3"/>
  <c r="F97" i="3"/>
  <c r="E97" i="3"/>
  <c r="F96" i="3"/>
  <c r="E96" i="3"/>
  <c r="R95" i="3"/>
  <c r="Q95" i="3"/>
  <c r="P95" i="3"/>
  <c r="O95" i="3"/>
  <c r="F95" i="3"/>
  <c r="E95" i="3"/>
  <c r="R94" i="3"/>
  <c r="Q94" i="3"/>
  <c r="P94" i="3"/>
  <c r="O94" i="3"/>
  <c r="R93" i="3"/>
  <c r="Q93" i="3"/>
  <c r="P93" i="3"/>
  <c r="O93" i="3"/>
  <c r="R92" i="3"/>
  <c r="Q92" i="3"/>
  <c r="P92" i="3"/>
  <c r="O92" i="3"/>
  <c r="R91" i="3"/>
  <c r="Q91" i="3"/>
  <c r="P91" i="3"/>
  <c r="O91" i="3"/>
  <c r="F91" i="3"/>
  <c r="E91" i="3"/>
  <c r="R90" i="3"/>
  <c r="Q90" i="3"/>
  <c r="P90" i="3"/>
  <c r="O90" i="3"/>
  <c r="R89" i="3"/>
  <c r="Q89" i="3"/>
  <c r="P89" i="3"/>
  <c r="O89" i="3"/>
  <c r="F89" i="3"/>
  <c r="E89" i="3"/>
  <c r="F88" i="3"/>
  <c r="E88" i="3"/>
  <c r="R87" i="3"/>
  <c r="Q87" i="3"/>
  <c r="P87" i="3"/>
  <c r="O87" i="3"/>
  <c r="F87" i="3"/>
  <c r="E87" i="3"/>
  <c r="R86" i="3"/>
  <c r="Q86" i="3"/>
  <c r="P86" i="3"/>
  <c r="O86" i="3"/>
  <c r="F86" i="3"/>
  <c r="E86" i="3"/>
  <c r="R85" i="3"/>
  <c r="Q85" i="3"/>
  <c r="P85" i="3"/>
  <c r="O85" i="3"/>
  <c r="F85" i="3"/>
  <c r="E85" i="3"/>
  <c r="R84" i="3"/>
  <c r="Q84" i="3"/>
  <c r="P84" i="3"/>
  <c r="O84" i="3"/>
  <c r="F84" i="3"/>
  <c r="E84" i="3"/>
  <c r="R83" i="3"/>
  <c r="Q83" i="3"/>
  <c r="P83" i="3"/>
  <c r="O83" i="3"/>
  <c r="F83" i="3"/>
  <c r="E83" i="3"/>
  <c r="F82" i="3"/>
  <c r="E82" i="3"/>
  <c r="R81" i="3"/>
  <c r="Q81" i="3"/>
  <c r="P81" i="3"/>
  <c r="O81" i="3"/>
  <c r="F81" i="3"/>
  <c r="E81" i="3"/>
  <c r="R80" i="3"/>
  <c r="Q80" i="3"/>
  <c r="P80" i="3"/>
  <c r="O80" i="3"/>
  <c r="F80" i="3"/>
  <c r="E80" i="3"/>
  <c r="R79" i="3"/>
  <c r="Q79" i="3"/>
  <c r="P79" i="3"/>
  <c r="O79" i="3"/>
  <c r="F79" i="3"/>
  <c r="E79" i="3"/>
  <c r="R78" i="3"/>
  <c r="Q78" i="3"/>
  <c r="P78" i="3"/>
  <c r="O78" i="3"/>
  <c r="R77" i="3"/>
  <c r="Q77" i="3"/>
  <c r="P77" i="3"/>
  <c r="O77" i="3"/>
  <c r="R76" i="3"/>
  <c r="Q76" i="3"/>
  <c r="P76" i="3"/>
  <c r="O76" i="3"/>
  <c r="F76" i="3"/>
  <c r="E76" i="3"/>
  <c r="R75" i="3"/>
  <c r="Q75" i="3"/>
  <c r="P75" i="3"/>
  <c r="O75" i="3"/>
  <c r="R74" i="3"/>
  <c r="Q74" i="3"/>
  <c r="P74" i="3"/>
  <c r="O74" i="3"/>
  <c r="F74" i="3"/>
  <c r="E74" i="3"/>
  <c r="R73" i="3"/>
  <c r="Q73" i="3"/>
  <c r="P73" i="3"/>
  <c r="O73" i="3"/>
  <c r="F73" i="3"/>
  <c r="E73" i="3"/>
  <c r="R72" i="3"/>
  <c r="Q72" i="3"/>
  <c r="P72" i="3"/>
  <c r="O72" i="3"/>
  <c r="F72" i="3"/>
  <c r="E72" i="3"/>
  <c r="F71" i="3"/>
  <c r="E71" i="3"/>
  <c r="R70" i="3"/>
  <c r="Q70" i="3"/>
  <c r="P70" i="3"/>
  <c r="O70" i="3"/>
  <c r="F70" i="3"/>
  <c r="E70" i="3"/>
  <c r="R69" i="3"/>
  <c r="Q69" i="3"/>
  <c r="P69" i="3"/>
  <c r="O69" i="3"/>
  <c r="F69" i="3"/>
  <c r="E69" i="3"/>
  <c r="R68" i="3"/>
  <c r="Q68" i="3"/>
  <c r="P68" i="3"/>
  <c r="O68" i="3"/>
  <c r="F68" i="3"/>
  <c r="E68" i="3"/>
  <c r="R67" i="3"/>
  <c r="Q67" i="3"/>
  <c r="P67" i="3"/>
  <c r="O67" i="3"/>
  <c r="F67" i="3"/>
  <c r="E67" i="3"/>
  <c r="R66" i="3"/>
  <c r="Q66" i="3"/>
  <c r="P66" i="3"/>
  <c r="O66" i="3"/>
  <c r="R65" i="3"/>
  <c r="Q65" i="3"/>
  <c r="P65" i="3"/>
  <c r="O65" i="3"/>
  <c r="R64" i="3"/>
  <c r="Q64" i="3"/>
  <c r="P64" i="3"/>
  <c r="O64" i="3"/>
  <c r="F64" i="3"/>
  <c r="E64" i="3"/>
  <c r="R63" i="3"/>
  <c r="Q63" i="3"/>
  <c r="P63" i="3"/>
  <c r="O63" i="3"/>
  <c r="F62" i="3"/>
  <c r="E62" i="3"/>
  <c r="F61" i="3"/>
  <c r="E61" i="3"/>
  <c r="R102" i="1"/>
  <c r="Q102" i="1"/>
  <c r="P102" i="1"/>
  <c r="O102" i="1"/>
  <c r="R101" i="1"/>
  <c r="Q101" i="1"/>
  <c r="P101" i="1"/>
  <c r="O101" i="1"/>
  <c r="R100" i="1"/>
  <c r="Q100" i="1"/>
  <c r="P100" i="1"/>
  <c r="O100" i="1"/>
  <c r="R99" i="1"/>
  <c r="Q99" i="1"/>
  <c r="P99" i="1"/>
  <c r="O99" i="1"/>
  <c r="R98" i="1"/>
  <c r="Q98" i="1"/>
  <c r="P98" i="1"/>
  <c r="O98" i="1"/>
  <c r="R97" i="1"/>
  <c r="Q97" i="1"/>
  <c r="P97" i="1"/>
  <c r="O97" i="1"/>
  <c r="R95" i="1"/>
  <c r="Q95" i="1"/>
  <c r="P95" i="1"/>
  <c r="O95" i="1"/>
  <c r="R94" i="1"/>
  <c r="Q94" i="1"/>
  <c r="P94" i="1"/>
  <c r="O94" i="1"/>
  <c r="R93" i="1"/>
  <c r="Q93" i="1"/>
  <c r="P93" i="1"/>
  <c r="O93" i="1"/>
  <c r="R92" i="1"/>
  <c r="Q92" i="1"/>
  <c r="P92" i="1"/>
  <c r="O92" i="1"/>
  <c r="R91" i="1"/>
  <c r="Q91" i="1"/>
  <c r="P91" i="1"/>
  <c r="O91" i="1"/>
  <c r="F91" i="1"/>
  <c r="E91" i="1"/>
  <c r="R90" i="1"/>
  <c r="Q90" i="1"/>
  <c r="P90" i="1"/>
  <c r="O90" i="1"/>
  <c r="R89" i="1"/>
  <c r="Q89" i="1"/>
  <c r="P89" i="1"/>
  <c r="O89" i="1"/>
  <c r="F89" i="1"/>
  <c r="E89" i="1"/>
  <c r="F88" i="1"/>
  <c r="E88" i="1"/>
  <c r="R87" i="1"/>
  <c r="Q87" i="1"/>
  <c r="P87" i="1"/>
  <c r="O87" i="1"/>
  <c r="F87" i="1"/>
  <c r="E87" i="1"/>
  <c r="R86" i="1"/>
  <c r="Q86" i="1"/>
  <c r="P86" i="1"/>
  <c r="O86" i="1"/>
  <c r="F86" i="1"/>
  <c r="E86" i="1"/>
  <c r="R85" i="1"/>
  <c r="Q85" i="1"/>
  <c r="P85" i="1"/>
  <c r="O85" i="1"/>
  <c r="R84" i="1"/>
  <c r="Q84" i="1"/>
  <c r="P84" i="1"/>
  <c r="O84" i="1"/>
  <c r="R83" i="1"/>
  <c r="Q83" i="1"/>
  <c r="P83" i="1"/>
  <c r="O83" i="1"/>
  <c r="F83" i="1"/>
  <c r="E83" i="1"/>
  <c r="R81" i="1"/>
  <c r="Q81" i="1"/>
  <c r="P81" i="1"/>
  <c r="O81" i="1"/>
  <c r="F81" i="1"/>
  <c r="E81" i="1"/>
  <c r="R80" i="1"/>
  <c r="Q80" i="1"/>
  <c r="P80" i="1"/>
  <c r="O80" i="1"/>
  <c r="F80" i="1"/>
  <c r="E80" i="1"/>
  <c r="R79" i="1"/>
  <c r="Q79" i="1"/>
  <c r="P79" i="1"/>
  <c r="O79" i="1"/>
  <c r="F79" i="1"/>
  <c r="E79" i="1"/>
  <c r="R78" i="1"/>
  <c r="Q78" i="1"/>
  <c r="P78" i="1"/>
  <c r="O78" i="1"/>
  <c r="R77" i="1"/>
  <c r="Q77" i="1"/>
  <c r="P77" i="1"/>
  <c r="O77" i="1"/>
  <c r="R76" i="1"/>
  <c r="Q76" i="1"/>
  <c r="P76" i="1"/>
  <c r="O76" i="1"/>
  <c r="F76" i="1"/>
  <c r="E76" i="1"/>
  <c r="R75" i="1"/>
  <c r="Q75" i="1"/>
  <c r="P75" i="1"/>
  <c r="O75" i="1"/>
  <c r="R74" i="1"/>
  <c r="Q74" i="1"/>
  <c r="P74" i="1"/>
  <c r="O74" i="1"/>
  <c r="F74" i="1"/>
  <c r="E74" i="1"/>
  <c r="R73" i="1"/>
  <c r="Q73" i="1"/>
  <c r="P73" i="1"/>
  <c r="O73" i="1"/>
  <c r="F73" i="1"/>
  <c r="E73" i="1"/>
  <c r="R72" i="1"/>
  <c r="Q72" i="1"/>
  <c r="P72" i="1"/>
  <c r="O72" i="1"/>
  <c r="F72" i="1"/>
  <c r="E72" i="1"/>
  <c r="F71" i="1"/>
  <c r="E71" i="1"/>
  <c r="R70" i="1"/>
  <c r="Q70" i="1"/>
  <c r="P70" i="1"/>
  <c r="O70" i="1"/>
  <c r="F70" i="1"/>
  <c r="E70" i="1"/>
  <c r="R69" i="1"/>
  <c r="Q69" i="1"/>
  <c r="P69" i="1"/>
  <c r="O69" i="1"/>
  <c r="F69" i="1"/>
  <c r="E69" i="1"/>
  <c r="R68" i="1"/>
  <c r="Q68" i="1"/>
  <c r="P68" i="1"/>
  <c r="O68" i="1"/>
  <c r="F68" i="1"/>
  <c r="E68" i="1"/>
  <c r="R67" i="1"/>
  <c r="Q67" i="1"/>
  <c r="P67" i="1"/>
  <c r="O67" i="1"/>
  <c r="F67" i="1"/>
  <c r="E67" i="1"/>
  <c r="R66" i="1"/>
  <c r="Q66" i="1"/>
  <c r="P66" i="1"/>
  <c r="O66" i="1"/>
  <c r="R65" i="1"/>
  <c r="Q65" i="1"/>
  <c r="P65" i="1"/>
  <c r="O65" i="1"/>
  <c r="R64" i="1"/>
  <c r="Q64" i="1"/>
  <c r="P64" i="1"/>
  <c r="O64" i="1"/>
  <c r="F64" i="1"/>
  <c r="E64" i="1"/>
  <c r="R63" i="1"/>
  <c r="Q63" i="1"/>
  <c r="P63" i="1"/>
  <c r="O63" i="1"/>
  <c r="F62" i="1"/>
  <c r="E62" i="1"/>
  <c r="F61" i="1"/>
  <c r="E61" i="1"/>
  <c r="AJ20" i="6" l="1"/>
  <c r="AH14" i="6"/>
  <c r="Z15" i="6"/>
  <c r="Y31" i="6"/>
  <c r="AH16" i="6"/>
  <c r="Z46" i="6"/>
  <c r="Y11" i="6"/>
  <c r="Z11" i="6"/>
  <c r="AI16" i="6"/>
  <c r="Z13" i="6"/>
  <c r="AH8" i="6"/>
  <c r="Z44" i="6"/>
  <c r="Y14" i="6"/>
  <c r="Y15" i="6"/>
  <c r="Y38" i="6"/>
  <c r="F46" i="6"/>
  <c r="Z38" i="6"/>
  <c r="Y40" i="6"/>
  <c r="Y47" i="6"/>
  <c r="Z40" i="6"/>
  <c r="Y20" i="6"/>
  <c r="AH17" i="6"/>
  <c r="AJ16" i="6"/>
  <c r="Z36" i="6"/>
  <c r="AI7" i="6"/>
  <c r="F110" i="6"/>
  <c r="Z9" i="6"/>
  <c r="Y19" i="6"/>
  <c r="AI20" i="6"/>
  <c r="F58" i="6"/>
  <c r="Z10" i="6"/>
  <c r="Z14" i="6"/>
  <c r="AG16" i="6"/>
  <c r="AG13" i="6"/>
  <c r="Y36" i="6"/>
  <c r="Y37" i="6"/>
  <c r="Y43" i="6"/>
  <c r="Y21" i="6"/>
  <c r="Z30" i="6"/>
  <c r="Z37" i="6"/>
  <c r="Z43" i="6"/>
  <c r="F88" i="6"/>
  <c r="AL19" i="6"/>
  <c r="Z47" i="6"/>
  <c r="Y12" i="6"/>
  <c r="Y22" i="6"/>
  <c r="Z31" i="6"/>
  <c r="X48" i="6"/>
  <c r="Z12" i="6"/>
  <c r="AI8" i="6"/>
  <c r="Z22" i="6"/>
  <c r="Y10" i="6"/>
  <c r="Z21" i="6"/>
  <c r="W16" i="6"/>
  <c r="AJ8" i="6"/>
  <c r="AI14" i="6"/>
  <c r="Y26" i="6"/>
  <c r="Y45" i="6"/>
  <c r="W27" i="6"/>
  <c r="Y23" i="6"/>
  <c r="Z26" i="6"/>
  <c r="Y35" i="6"/>
  <c r="Y39" i="6"/>
  <c r="Z45" i="6"/>
  <c r="Z23" i="6"/>
  <c r="Y9" i="6"/>
  <c r="Y13" i="6"/>
  <c r="Z25" i="6"/>
  <c r="AH20" i="6"/>
  <c r="X41" i="6"/>
  <c r="Z39" i="6"/>
  <c r="Z20" i="6"/>
  <c r="AJ13" i="6"/>
  <c r="Y29" i="6"/>
  <c r="AK13" i="6"/>
  <c r="AI17" i="6"/>
  <c r="AG19" i="6"/>
  <c r="Z29" i="6"/>
  <c r="F61" i="6"/>
  <c r="AI13" i="6"/>
  <c r="AH7" i="6"/>
  <c r="Y18" i="6"/>
  <c r="AL13" i="6"/>
  <c r="AJ17" i="6"/>
  <c r="AH19" i="6"/>
  <c r="W41" i="6"/>
  <c r="Y44" i="6"/>
  <c r="W48" i="6"/>
  <c r="AK10" i="6"/>
  <c r="AH13" i="6"/>
  <c r="X27" i="6"/>
  <c r="Z19" i="6"/>
  <c r="Y46" i="6"/>
  <c r="AJ7" i="6"/>
  <c r="AK16" i="6"/>
  <c r="AJ19" i="6"/>
  <c r="Z18" i="6"/>
  <c r="AI19" i="6"/>
  <c r="AL16" i="6"/>
  <c r="AK19" i="6"/>
  <c r="Z35" i="6"/>
  <c r="W33" i="6"/>
  <c r="AL10" i="6"/>
  <c r="X33" i="6"/>
  <c r="X16" i="6"/>
  <c r="AG10" i="6"/>
  <c r="AH11" i="6"/>
  <c r="Y30" i="6"/>
  <c r="Y32" i="6"/>
  <c r="E112" i="6"/>
  <c r="AH10" i="6"/>
  <c r="AI11" i="6"/>
  <c r="Z32" i="6"/>
  <c r="F103" i="6"/>
  <c r="AK7" i="6"/>
  <c r="AG7" i="6"/>
  <c r="AL7" i="6"/>
  <c r="AI10" i="6"/>
  <c r="AJ11" i="6"/>
  <c r="Y24" i="6"/>
  <c r="Y25" i="6"/>
  <c r="F104" i="6"/>
  <c r="AJ14" i="6"/>
  <c r="AJ10" i="6"/>
  <c r="Z24" i="6"/>
  <c r="F107" i="6"/>
  <c r="F60" i="6"/>
  <c r="F78" i="6"/>
  <c r="E96" i="6"/>
  <c r="E80" i="6"/>
  <c r="F87" i="6"/>
  <c r="F76" i="6"/>
  <c r="F91" i="6"/>
  <c r="E63" i="6"/>
  <c r="F47" i="6"/>
  <c r="F54" i="6"/>
  <c r="F71" i="6"/>
  <c r="F94" i="6"/>
  <c r="F55" i="6"/>
  <c r="F56" i="6"/>
  <c r="F102" i="6"/>
  <c r="F57" i="6"/>
  <c r="F74" i="6"/>
  <c r="F75" i="6"/>
  <c r="F59" i="6"/>
  <c r="F69" i="6"/>
  <c r="F73" i="6"/>
  <c r="F77" i="6"/>
  <c r="F86" i="6"/>
  <c r="F70" i="6"/>
  <c r="E49" i="6"/>
  <c r="F68" i="6"/>
  <c r="F72" i="6"/>
  <c r="G47" i="6" l="1"/>
  <c r="AA24" i="6"/>
  <c r="AB46" i="6"/>
  <c r="Y33" i="6"/>
  <c r="AA40" i="6"/>
  <c r="F112" i="6"/>
  <c r="AB11" i="6"/>
  <c r="Z48" i="6"/>
  <c r="AB14" i="6"/>
  <c r="AA32" i="6"/>
  <c r="AA15" i="6"/>
  <c r="AB45" i="6"/>
  <c r="AB44" i="6"/>
  <c r="AA22" i="6"/>
  <c r="AB12" i="6"/>
  <c r="AB22" i="6"/>
  <c r="AB47" i="6"/>
  <c r="AB43" i="6"/>
  <c r="E113" i="6" a="1"/>
  <c r="E113" i="6" s="1"/>
  <c r="AB30" i="6"/>
  <c r="AA36" i="6"/>
  <c r="G103" i="6"/>
  <c r="AA13" i="6"/>
  <c r="AA12" i="6"/>
  <c r="AA9" i="6"/>
  <c r="Y16" i="6"/>
  <c r="AA11" i="6"/>
  <c r="AB10" i="6"/>
  <c r="AA39" i="6"/>
  <c r="AB24" i="6"/>
  <c r="AB32" i="6"/>
  <c r="Y41" i="6"/>
  <c r="AA14" i="6"/>
  <c r="G60" i="6"/>
  <c r="AA35" i="6"/>
  <c r="AA10" i="6"/>
  <c r="G59" i="6"/>
  <c r="AA44" i="6"/>
  <c r="AB15" i="6"/>
  <c r="AA21" i="6"/>
  <c r="G107" i="6"/>
  <c r="G113" i="6"/>
  <c r="Z16" i="6"/>
  <c r="G104" i="6"/>
  <c r="AA25" i="6"/>
  <c r="AB9" i="6"/>
  <c r="AA38" i="6"/>
  <c r="AB13" i="6"/>
  <c r="AA30" i="6"/>
  <c r="AA37" i="6"/>
  <c r="G70" i="6"/>
  <c r="AB18" i="6"/>
  <c r="Z27" i="6"/>
  <c r="AB26" i="6"/>
  <c r="AB31" i="6"/>
  <c r="G88" i="6"/>
  <c r="G76" i="6"/>
  <c r="AA29" i="6"/>
  <c r="AA23" i="6"/>
  <c r="Y48" i="6"/>
  <c r="AA31" i="6"/>
  <c r="AA43" i="6"/>
  <c r="Y27" i="6"/>
  <c r="AA18" i="6"/>
  <c r="AB20" i="6"/>
  <c r="AA45" i="6"/>
  <c r="AB21" i="6"/>
  <c r="AA20" i="6"/>
  <c r="G110" i="6"/>
  <c r="AA46" i="6"/>
  <c r="G114" i="6"/>
  <c r="AB19" i="6"/>
  <c r="AB25" i="6"/>
  <c r="AA26" i="6"/>
  <c r="AB23" i="6"/>
  <c r="F49" i="6"/>
  <c r="AA47" i="6"/>
  <c r="G102" i="6"/>
  <c r="E50" i="6"/>
  <c r="G50" i="6" s="1" a="1"/>
  <c r="G50" i="6" s="1"/>
  <c r="AA19" i="6"/>
  <c r="E114" i="6" a="1"/>
  <c r="E114" i="6" s="1"/>
  <c r="AB35" i="6"/>
  <c r="Z41" i="6"/>
  <c r="AB29" i="6"/>
  <c r="Z33" i="6"/>
  <c r="G56" i="6"/>
  <c r="G57" i="6"/>
  <c r="G46" i="6"/>
  <c r="G75" i="6"/>
  <c r="G55" i="6"/>
  <c r="G64" i="6"/>
  <c r="G54" i="6"/>
  <c r="F63" i="6"/>
  <c r="E64" i="6" a="1"/>
  <c r="E64" i="6" s="1"/>
  <c r="G71" i="6"/>
  <c r="G61" i="6"/>
  <c r="E65" i="6" a="1"/>
  <c r="E65" i="6" s="1"/>
  <c r="G58" i="6"/>
  <c r="G65" i="6"/>
  <c r="E51" i="6"/>
  <c r="G51" i="6" s="1" a="1"/>
  <c r="G51" i="6" s="1"/>
  <c r="G94" i="6"/>
  <c r="E98" i="6"/>
  <c r="G98" i="6" s="1" a="1"/>
  <c r="G98" i="6" s="1"/>
  <c r="E97" i="6"/>
  <c r="G97" i="6" s="1" a="1"/>
  <c r="G97" i="6" s="1"/>
  <c r="F96" i="6"/>
  <c r="G86" i="6"/>
  <c r="G91" i="6"/>
  <c r="G72" i="6"/>
  <c r="G77" i="6"/>
  <c r="G87" i="6"/>
  <c r="E81" i="6" a="1"/>
  <c r="E81" i="6" s="1"/>
  <c r="F80" i="6"/>
  <c r="G82" i="6"/>
  <c r="E82" i="6" a="1"/>
  <c r="E82" i="6" s="1"/>
  <c r="G68" i="6"/>
  <c r="G81" i="6"/>
  <c r="G73" i="6"/>
  <c r="G74" i="6"/>
  <c r="G78" i="6"/>
  <c r="G69" i="6"/>
  <c r="AB40" i="6" l="1"/>
  <c r="AB37" i="6"/>
  <c r="AB36" i="6"/>
  <c r="AB38" i="6"/>
  <c r="AB39"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B2" authorId="0" shapeId="0" xr:uid="{AD5C70BA-D7CB-4E7B-93C0-473BCF6D5F28}">
      <text>
        <r>
          <rPr>
            <sz val="9"/>
            <color indexed="81"/>
            <rFont val="Tahoma"/>
            <family val="2"/>
          </rPr>
          <t xml:space="preserve">This part contains all relevant demographic area for the research survey which would allow further comparisons and analysis of data (e.g. transportation differences of male and females, student and workers, etc.)
</t>
        </r>
      </text>
    </comment>
    <comment ref="M2" authorId="0" shapeId="0" xr:uid="{019EDC6F-AA7E-4A09-850A-44CED489D31E}">
      <text>
        <r>
          <rPr>
            <sz val="9"/>
            <color indexed="81"/>
            <rFont val="Tahoma"/>
            <family val="2"/>
          </rPr>
          <t>This would contain the answers of the respondents regarding the survey questions relating to their travel/transportation information before the pandemic. (Shares the same questions with Post-COVID)</t>
        </r>
      </text>
    </comment>
    <comment ref="V2" authorId="0" shapeId="0" xr:uid="{96567783-393B-458C-9ADB-6B9357801C47}">
      <text>
        <r>
          <rPr>
            <sz val="9"/>
            <color indexed="81"/>
            <rFont val="Tahoma"/>
            <family val="2"/>
          </rPr>
          <t xml:space="preserve">This would contain the answers of the respondents regarding the survey questions relating to their travel/transportation information after the pandemic. (Shares the same questions with Pre-COVID)
</t>
        </r>
      </text>
    </comment>
    <comment ref="M17" authorId="0" shapeId="0" xr:uid="{F512320B-D256-491E-838D-F7F118287BFE}">
      <text>
        <r>
          <rPr>
            <sz val="9"/>
            <color indexed="81"/>
            <rFont val="Tahoma"/>
            <family val="2"/>
          </rPr>
          <t>The full excel layout is still incomplete w/o the finished survey questions and results.
Additional features to be included would be tables showing relationships of results, such as having mean statistics, likert scale interpretations, etc.
The listed data to be gathered in the current layout are tentative and may be subject to change on later versions of the file. The following can be considered a draft template format.</t>
        </r>
      </text>
    </comment>
    <comment ref="B57" authorId="0" shapeId="0" xr:uid="{23926BCC-093A-4F90-A2A6-409DED684D0F}">
      <text>
        <r>
          <rPr>
            <sz val="9"/>
            <color indexed="81"/>
            <rFont val="Tahoma"/>
            <family val="2"/>
          </rPr>
          <t>This part would display the frequency of each item, the percentages of these frequencies, and the overall total of both results.
This part would have fx functions added as the survey and excel get more developed in later week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Aaron</author>
    <author>User</author>
  </authors>
  <commentList>
    <comment ref="K6" authorId="0" shapeId="0" xr:uid="{6B371630-87A0-431F-9A23-9FB119280268}">
      <text>
        <r>
          <rPr>
            <sz val="9"/>
            <color indexed="81"/>
            <rFont val="Tahoma"/>
            <family val="2"/>
          </rPr>
          <t>The following tables support data validation to contain lists of specific and appropriate responses.</t>
        </r>
      </text>
    </comment>
    <comment ref="B60" authorId="1" shapeId="0" xr:uid="{8DA65E2D-D42F-48B4-BE93-A4B500124DB5}">
      <text>
        <r>
          <rPr>
            <sz val="9"/>
            <color indexed="81"/>
            <rFont val="Tahoma"/>
            <family val="2"/>
          </rPr>
          <t>This part would display the frequency of each item, the percentages of these frequencies, and the overall total of both results.
The following data are have input examples to display the conditional formatting features.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Aaron</author>
    <author>User</author>
  </authors>
  <commentList>
    <comment ref="K6" authorId="0" shapeId="0" xr:uid="{2F2F6438-B459-4936-9482-1C8325ECC2EF}">
      <text>
        <r>
          <rPr>
            <sz val="9"/>
            <color indexed="81"/>
            <rFont val="Tahoma"/>
            <family val="2"/>
          </rPr>
          <t>The following tables support data validation to contain lists of specific and appropriate responses.</t>
        </r>
      </text>
    </comment>
    <comment ref="B60" authorId="1" shapeId="0" xr:uid="{54E6F640-E2FE-4B15-9859-C8949C72CE35}">
      <text>
        <r>
          <rPr>
            <sz val="9"/>
            <color indexed="81"/>
            <rFont val="Tahoma"/>
            <family val="2"/>
          </rPr>
          <t>This part would display the frequency of each item, the percentages of these frequencies, and the overall total of both results.
The following data are have input examples to display the conditional formatting features.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B60" authorId="0" shapeId="0" xr:uid="{6DDB7783-70A3-4E8F-877A-097378B015A8}">
      <text>
        <r>
          <rPr>
            <sz val="9"/>
            <color indexed="81"/>
            <rFont val="Tahoma"/>
            <family val="2"/>
          </rPr>
          <t>This part would display the frequency of each item, the percentages of these frequencies, and the overall total of both results.
The following data are have input examples to display the conditional formatting features.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B45" authorId="0" shapeId="0" xr:uid="{F5331D49-375F-4201-98AD-25FFE1CD33D8}">
      <text>
        <r>
          <rPr>
            <sz val="9"/>
            <color indexed="81"/>
            <rFont val="Tahoma"/>
            <family val="2"/>
          </rPr>
          <t>This part would display the frequency of each item, the percentages of these frequencies, and the overall total of both results.
The following data are have input examples to display the conditional formatting features.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DE4FC0-810D-4491-A289-E2C206C9CCE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F8B794E-9517-418F-A3BF-550A3F6C7C7F}" name="WorksheetConnection_vergara_aaroncharles_EESB01_capstone.xlsx!DataTable" type="102" refreshedVersion="7" minRefreshableVersion="5">
    <extLst>
      <ext xmlns:x15="http://schemas.microsoft.com/office/spreadsheetml/2010/11/main" uri="{DE250136-89BD-433C-8126-D09CA5730AF9}">
        <x15:connection id="DataTable">
          <x15:rangePr sourceName="_xlcn.WorksheetConnection_vergara_aaroncharles_EESB01_capstone.xlsxDataTable1"/>
        </x15:connection>
      </ext>
    </extLst>
  </connection>
  <connection id="3" xr16:uid="{EF8B794E-9517-418F-A3BF-550A3F6C7C7F}" name="WorksheetConnection_vergara_aaroncharles_EESB01_capstone.xlsx!DataTable1" type="102" refreshedVersion="8" minRefreshableVersion="5">
    <extLst>
      <ext xmlns:x15="http://schemas.microsoft.com/office/spreadsheetml/2010/11/main" uri="{DE250136-89BD-433C-8126-D09CA5730AF9}">
        <x15:connection id="DataTable-4fa3f783-4a9c-4c64-8e9c-9a6a508e56c3">
          <x15:rangePr sourceName="_xlcn.WorksheetConnection_vergara_aaroncharles_EESB01_capstone.xlsxDataTable11"/>
        </x15:connection>
      </ext>
    </extLst>
  </connection>
  <connection id="4" xr16:uid="{EF8B794E-9517-418F-A3BF-550A3F6C7C7F}" name="WorksheetConnection_vergara_aaroncharles_EESB01_capstone.xlsx!DataTable2" type="102" refreshedVersion="8" minRefreshableVersion="5">
    <extLst>
      <ext xmlns:x15="http://schemas.microsoft.com/office/spreadsheetml/2010/11/main" uri="{DE250136-89BD-433C-8126-D09CA5730AF9}">
        <x15:connection id="DataTable-aeef4340-b2ab-451f-ba3f-35bf05827a06">
          <x15:rangePr sourceName="_xlcn.WorksheetConnection_vergara_aaroncharles_EESB01_capstone.xlsxDataTable21"/>
        </x15:connection>
      </ext>
    </extLst>
  </connection>
  <connection id="5" xr16:uid="{EF8B794E-9517-418F-A3BF-550A3F6C7C7F}" name="WorksheetConnection_vergara_aaroncharles_EESB01_capstone.xlsx!DataTable3" type="102" refreshedVersion="8" minRefreshableVersion="5">
    <extLst>
      <ext xmlns:x15="http://schemas.microsoft.com/office/spreadsheetml/2010/11/main" uri="{DE250136-89BD-433C-8126-D09CA5730AF9}">
        <x15:connection id="DataTable-56a54a81-11c9-4cc7-ab1c-440b53db6189">
          <x15:rangePr sourceName="_xlcn.WorksheetConnection_vergara_aaroncharles_EESB01_capstone.xlsxDataTable31"/>
        </x15:connection>
      </ext>
    </extLst>
  </connection>
  <connection id="6" xr16:uid="{8930ECDD-C4D6-4BBD-8D02-0B72D6DFB742}" name="WorksheetConnection_vergara_aaroncharles_EESB01_capstone.xlsx!Table1" type="102" refreshedVersion="7" minRefreshableVersion="5">
    <extLst>
      <ext xmlns:x15="http://schemas.microsoft.com/office/spreadsheetml/2010/11/main" uri="{DE250136-89BD-433C-8126-D09CA5730AF9}">
        <x15:connection id="Table1">
          <x15:rangePr sourceName="_xlcn.WorksheetConnection_vergara_aaroncharles_EESB01_capstone.xlsxTable11"/>
        </x15:connection>
      </ext>
    </extLst>
  </connection>
  <connection id="7" xr16:uid="{F4BA59B4-7777-455B-B486-9989AAC017A3}" name="WorksheetConnection_vergara_aaroncharles_EESB01_capstone.xlsx!Table1[[Gender]:[Occupation (Post-COVID)]]" type="102" refreshedVersion="7" minRefreshableVersion="5">
    <extLst>
      <ext xmlns:x15="http://schemas.microsoft.com/office/spreadsheetml/2010/11/main" uri="{DE250136-89BD-433C-8126-D09CA5730AF9}">
        <x15:connection id="Table1  Gender   Occupation  Post-COVID" autoDelete="1">
          <x15:rangePr sourceName="_xlcn.WorksheetConnection_vergara_aaroncharles_EESB01_capstone.xlsxTable1GenderOccupationPostCOVID1"/>
        </x15:connection>
      </ext>
    </extLst>
  </connection>
  <connection id="8" xr16:uid="{6F175BCC-89A7-4617-AF1F-9720BC07D26D}" name="WorksheetConnection_vergara_aaroncharles_EESB01_capstone.xlsx!Table9" type="102" refreshedVersion="7" minRefreshableVersion="5">
    <extLst>
      <ext xmlns:x15="http://schemas.microsoft.com/office/spreadsheetml/2010/11/main" uri="{DE250136-89BD-433C-8126-D09CA5730AF9}">
        <x15:connection id="Table9" autoDelete="1">
          <x15:rangePr sourceName="_xlcn.WorksheetConnection_vergara_aaroncharles_EESB01_capstone.xlsxTable91"/>
        </x15:connection>
      </ext>
    </extLst>
  </connection>
  <connection id="9" xr16:uid="{268B03CA-5F7D-4FFF-9957-F7486D0B76F9}" name="WorksheetConnection_vergara_aaroncharles_EESB01_capstone2.xlsx!DataTable[[Gender]:[Q5. Post-COVID]]" type="102" refreshedVersion="8" minRefreshableVersion="5">
    <extLst>
      <ext xmlns:x15="http://schemas.microsoft.com/office/spreadsheetml/2010/11/main" uri="{DE250136-89BD-433C-8126-D09CA5730AF9}">
        <x15:connection id="DataTable  Gender   Q5  Post-COVID" autoDelete="1">
          <x15:rangePr sourceName="_xlcn.WorksheetConnection_vergara_aaroncharles_EESB01_capstone2.xlsxDataTableGenderQ5.PostCOVID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<sst xmlns="http://schemas.openxmlformats.org/spreadsheetml/2006/main" count="3094" uniqueCount="209">
  <si>
    <t>Gender</t>
  </si>
  <si>
    <t>Age</t>
  </si>
  <si>
    <t>Name (Optional)</t>
  </si>
  <si>
    <t>Occupation (student/working/etc)</t>
  </si>
  <si>
    <t>Area of Residence</t>
  </si>
  <si>
    <t>Respondent's Demographic Data</t>
  </si>
  <si>
    <t>Totals:</t>
  </si>
  <si>
    <t>Male</t>
  </si>
  <si>
    <t>Female</t>
  </si>
  <si>
    <t>Frequency</t>
  </si>
  <si>
    <t>%</t>
  </si>
  <si>
    <t>Total:</t>
  </si>
  <si>
    <t>18 or lower</t>
  </si>
  <si>
    <t>19 - 24</t>
  </si>
  <si>
    <t>25 - 29</t>
  </si>
  <si>
    <t>30 - 34</t>
  </si>
  <si>
    <t>35 - 39</t>
  </si>
  <si>
    <t>40 - 44</t>
  </si>
  <si>
    <t>45 - 49</t>
  </si>
  <si>
    <t>50 and above</t>
  </si>
  <si>
    <t>Questions</t>
  </si>
  <si>
    <t>…</t>
  </si>
  <si>
    <t>Question 2:</t>
  </si>
  <si>
    <t>Question 3:</t>
  </si>
  <si>
    <t>Question 4:</t>
  </si>
  <si>
    <t xml:space="preserve">Question 5: </t>
  </si>
  <si>
    <r>
      <t xml:space="preserve">Question 1: </t>
    </r>
    <r>
      <rPr>
        <b/>
        <i/>
        <sz val="11"/>
        <color theme="1"/>
        <rFont val="Calibri"/>
        <family val="2"/>
        <scheme val="minor"/>
      </rPr>
      <t>(e.g. Types of Transporation Used)</t>
    </r>
  </si>
  <si>
    <t>(Choices) …</t>
  </si>
  <si>
    <t>Respondents' Travel and Transportation Details (Pre-COVID)</t>
  </si>
  <si>
    <t>Respondents' Travel and Transportation Details (Post-COVID)</t>
  </si>
  <si>
    <t>Area of 
Residence</t>
  </si>
  <si>
    <t>Place 1</t>
  </si>
  <si>
    <t>Place 2</t>
  </si>
  <si>
    <t>Occupation</t>
  </si>
  <si>
    <t>Full-time</t>
  </si>
  <si>
    <t>Part-time</t>
  </si>
  <si>
    <t>Student</t>
  </si>
  <si>
    <t>Note on Additional Layout Features:</t>
  </si>
  <si>
    <t>Pre-COVID</t>
  </si>
  <si>
    <t>Post-COVID</t>
  </si>
  <si>
    <t>Q1. How far is your area of residence from your school/work place?</t>
  </si>
  <si>
    <t>School/Work 
at home</t>
  </si>
  <si>
    <t>Less than
1 km</t>
  </si>
  <si>
    <t>1 km to 
5 km</t>
  </si>
  <si>
    <t>6 km to 
10 km</t>
  </si>
  <si>
    <t>11 km to 
15 km</t>
  </si>
  <si>
    <t>16 km to 
20 km</t>
  </si>
  <si>
    <t>More than 
20 km</t>
  </si>
  <si>
    <t>None</t>
  </si>
  <si>
    <t>Tricycle</t>
  </si>
  <si>
    <t>Motorcycle</t>
  </si>
  <si>
    <t>Jeepney</t>
  </si>
  <si>
    <t>Bus</t>
  </si>
  <si>
    <t>Others</t>
  </si>
  <si>
    <t>Bike</t>
  </si>
  <si>
    <t>Just 
Walking</t>
  </si>
  <si>
    <t>Private 
Car</t>
  </si>
  <si>
    <t>Q3. How many trips you usually take to and from your school/workplace?</t>
  </si>
  <si>
    <t>1 full trip</t>
  </si>
  <si>
    <t>2-3 trips</t>
  </si>
  <si>
    <t>More than 
4 trips</t>
  </si>
  <si>
    <t>No travel 
time</t>
  </si>
  <si>
    <t>Less than 
10 mins</t>
  </si>
  <si>
    <t>10 - 30 
mins</t>
  </si>
  <si>
    <t>31 mins to 
1 hour</t>
  </si>
  <si>
    <t>1 - 2 
hours</t>
  </si>
  <si>
    <t>More than 
2 hours</t>
  </si>
  <si>
    <t>Q5. Rate your satisfaction on your travel/transportation lifestyle to and from school/work places.</t>
  </si>
  <si>
    <t>Minimal
Satisfaction</t>
  </si>
  <si>
    <t>Low
Satisfaction</t>
  </si>
  <si>
    <t>Average 
Satisfaction</t>
  </si>
  <si>
    <t>Above Average 
Satisfaction</t>
  </si>
  <si>
    <t>High 
Satisfaction</t>
  </si>
  <si>
    <t>✓</t>
  </si>
  <si>
    <t>School/Work at home</t>
  </si>
  <si>
    <t>Choices</t>
  </si>
  <si>
    <t>Less than 1 km</t>
  </si>
  <si>
    <t>1 km to 5 km</t>
  </si>
  <si>
    <t>6 km to 10 km</t>
  </si>
  <si>
    <t>11 km to 15 km</t>
  </si>
  <si>
    <t>16 km to 20 km</t>
  </si>
  <si>
    <t>More than 20 km</t>
  </si>
  <si>
    <t>Just Walking</t>
  </si>
  <si>
    <t>Private Car</t>
  </si>
  <si>
    <t>More than 4 trips</t>
  </si>
  <si>
    <t>Q4. How long does your trips to and from school/workplace is? (one-way trip)</t>
  </si>
  <si>
    <t>No travel time</t>
  </si>
  <si>
    <t>Less than 10 mins</t>
  </si>
  <si>
    <t>10 - 30 mins</t>
  </si>
  <si>
    <t>31 mins to 1 hour</t>
  </si>
  <si>
    <t>1 - 2 hours</t>
  </si>
  <si>
    <t>More than 2 hours</t>
  </si>
  <si>
    <t>Q5. Rate your satisfaction on your travel lifestyle to and from school/work places.</t>
  </si>
  <si>
    <t>Minimal Satisfaction</t>
  </si>
  <si>
    <t>Low Satisfaction</t>
  </si>
  <si>
    <t>Average Satisfaction</t>
  </si>
  <si>
    <t>Above Average Satisfaction</t>
  </si>
  <si>
    <t>High Satisfaction</t>
  </si>
  <si>
    <t>Respondents' Travel and Transportation Details (Pre-COVID and Post-COVID Responses)</t>
  </si>
  <si>
    <t>Q2. What method of transport you use the most for your school/workplace travels?</t>
  </si>
  <si>
    <t>Note</t>
  </si>
  <si>
    <t>Q1. How far do you travel from your area of residence/home/living quarters to your school/work place?</t>
  </si>
  <si>
    <t>Q4. How long does your trip to school/workplace is?  (one-way trip length)</t>
  </si>
  <si>
    <t>Lipa City</t>
  </si>
  <si>
    <t>Occupation (Pre-COVID)</t>
  </si>
  <si>
    <t>Occupation (Post-COVID)</t>
  </si>
  <si>
    <t>San Juan</t>
  </si>
  <si>
    <t>Batangas City</t>
  </si>
  <si>
    <t>Cuenca</t>
  </si>
  <si>
    <t>Jan amiel polintan</t>
  </si>
  <si>
    <t>Sherrie</t>
  </si>
  <si>
    <t>beth canonigo</t>
  </si>
  <si>
    <t>Unemployed, not looking for work</t>
  </si>
  <si>
    <t>Andy</t>
  </si>
  <si>
    <t>Ibaan</t>
  </si>
  <si>
    <t>Niejel</t>
  </si>
  <si>
    <t>Renz</t>
  </si>
  <si>
    <t>Rosario</t>
  </si>
  <si>
    <t>Unemployed, looking for work</t>
  </si>
  <si>
    <t>Alitagtag</t>
  </si>
  <si>
    <t>Russel</t>
  </si>
  <si>
    <t>Trixia</t>
  </si>
  <si>
    <t>Ace Ashley A Tubig</t>
  </si>
  <si>
    <t>Taysan</t>
  </si>
  <si>
    <t>Santa Teresita</t>
  </si>
  <si>
    <t>Tanauan</t>
  </si>
  <si>
    <t>San Jose</t>
  </si>
  <si>
    <t>Bea</t>
  </si>
  <si>
    <t>Marya Mikaela Arguelles</t>
  </si>
  <si>
    <t>Rank</t>
  </si>
  <si>
    <t>Largest</t>
  </si>
  <si>
    <t>Smallest</t>
  </si>
  <si>
    <t>Median</t>
  </si>
  <si>
    <t>VAR</t>
  </si>
  <si>
    <t>STDEV</t>
  </si>
  <si>
    <t>CORREL</t>
  </si>
  <si>
    <t>COVAR</t>
  </si>
  <si>
    <t>Q1</t>
  </si>
  <si>
    <t>Q2</t>
  </si>
  <si>
    <t>Q3</t>
  </si>
  <si>
    <t>Q4</t>
  </si>
  <si>
    <t>Q5</t>
  </si>
  <si>
    <t>Mean</t>
  </si>
  <si>
    <t xml:space="preserve">Hypothesis </t>
  </si>
  <si>
    <t>1. There is a significant positive correlation between pre-covid and post-covid impacts regarding the overall travel and transportation experiences of residents of batangas</t>
  </si>
  <si>
    <t>Q1. How far do you travel from your area of 
residence/home/living quarters to your school/work place?</t>
  </si>
  <si>
    <t>Q4. How long does your trip to school/workplace is?  
(one-way trip length)</t>
  </si>
  <si>
    <t>Q5. Rate your satisfaction on your travel/transportation lifestyle to and
 from school/work places.</t>
  </si>
  <si>
    <t>Overall Results</t>
  </si>
  <si>
    <t>#</t>
  </si>
  <si>
    <t>Grand Total</t>
  </si>
  <si>
    <t>Q1. Pre-COVID</t>
  </si>
  <si>
    <t>Q1. Post-COVID</t>
  </si>
  <si>
    <t>Q2. Pre-COVID</t>
  </si>
  <si>
    <t>Q2. Post-COVID</t>
  </si>
  <si>
    <t>Q3. Pre-COVID</t>
  </si>
  <si>
    <t>Q3. Post-COVID</t>
  </si>
  <si>
    <t>Q4. Pre-COVID</t>
  </si>
  <si>
    <t>Q4. Post-COVID</t>
  </si>
  <si>
    <t>Q5. Pre-COVID</t>
  </si>
  <si>
    <t>Q5. Post-COVID</t>
  </si>
  <si>
    <t>Age based on Gender</t>
  </si>
  <si>
    <t>2. Gender, age, area of residents, and occupation pre and post covid may have significant changes in relation to with the respondents' travel and transportation details.</t>
  </si>
  <si>
    <t>Residence based on Age and Gender</t>
  </si>
  <si>
    <t>Hypothesis:</t>
  </si>
  <si>
    <t>Result:</t>
  </si>
  <si>
    <t>Q1 to Q5 Pre-COVID and Post-COVID results have displayed moderate up to strong positive correlation, with Q3 being the lowest while Q1 having 
the highest positive correlation. From such, distance of area of residence from school/workplace has the highest direct connection to changes due to COVID while the method of transport has the lowest direct connection with changes due to COVID.</t>
  </si>
  <si>
    <t>1. There is a significant positive correlation between pre-covid and post-covid impacts regarding the overall travel and transportation experiences of residents of Batangas</t>
  </si>
  <si>
    <t># of Respondents</t>
  </si>
  <si>
    <t># of Respondents by Occupation (Pre-COVID)</t>
  </si>
  <si>
    <t># of Respondents by Occupation (Post-COVID)</t>
  </si>
  <si>
    <t># of Respondents by Area of Residence</t>
  </si>
  <si>
    <t># of Respondents by Age</t>
  </si>
  <si>
    <t>Overall Respondents by Gender, Area of Residence, and Age</t>
  </si>
  <si>
    <t xml:space="preserve"># of Respondents </t>
  </si>
  <si>
    <t>Respondents based on Gender and Pre-COVID Occupation</t>
  </si>
  <si>
    <t>Respondents based on Gender and Post-COVID Occupation</t>
  </si>
  <si>
    <t>Distance from School/Work during Pre-COVID Conditions by Pre-COVID Occupation</t>
  </si>
  <si>
    <t>Distance from School/Work during Pre-COVID Conditions by Age</t>
  </si>
  <si>
    <t>Distance by Age</t>
  </si>
  <si>
    <t>Distance by Post-COVID Occupation</t>
  </si>
  <si>
    <t>Distance by Pre-COVID Occupation</t>
  </si>
  <si>
    <t>Area of Residence by Age</t>
  </si>
  <si>
    <t>Distance by Area of Residence</t>
  </si>
  <si>
    <t>Distance from School/Work during Post-COVID Conditions by Age</t>
  </si>
  <si>
    <t xml:space="preserve"> </t>
  </si>
  <si>
    <t>Distance from School/Work during Pre-COVID Conditions by Area of Residence</t>
  </si>
  <si>
    <t>Distance from School/Work during Post-COVID Conditions by Area of Residence</t>
  </si>
  <si>
    <t>Methods of Travel Used Pre-COVID by Pre-COVID Occupation</t>
  </si>
  <si>
    <t>Mode of Transport by Pre-COVID Occupation</t>
  </si>
  <si>
    <t>Distance from School/Work during Post-COVID Conditions by Post-COVID Occupation</t>
  </si>
  <si>
    <t>Methods of Travel Used Post-COVID by Post-COVID Occupation</t>
  </si>
  <si>
    <t>Mode of Transport by Post-COVID Occupation</t>
  </si>
  <si>
    <t>Methods of Travel Used Pre-COVID by Age</t>
  </si>
  <si>
    <t>Mode of Transport by Age</t>
  </si>
  <si>
    <t>Methods of Travel Used Post-COVID by Age</t>
  </si>
  <si>
    <t>Methods of Travel Used Post-COVID by Area of Residence</t>
  </si>
  <si>
    <t>Mode of Transport by Area of Residence</t>
  </si>
  <si>
    <t>Methods of Travel Used Pre-COVID by Area of Residence</t>
  </si>
  <si>
    <t>General Demographic Results</t>
  </si>
  <si>
    <t>Results on "Q2. What method of transport you use the most for your school/workplace travels?"</t>
  </si>
  <si>
    <t>Results on "Q1. How far do you travel from your area of residence/home/living quarters to your school/work place?"</t>
  </si>
  <si>
    <t>Tables for General Demographic Results</t>
  </si>
  <si>
    <t>Tables for Question 1</t>
  </si>
  <si>
    <t>Tables for Question 2</t>
  </si>
  <si>
    <t xml:space="preserve">Using Q1 and Q2 as examples (Graphs seen in Charts Worksheet), responses on pre-COVID and post-COVID changes were compared to the demographic data of gender, age, area of residence, and pre-COVID and post-COVID occupations of the respondents. </t>
  </si>
  <si>
    <r>
      <rPr>
        <b/>
        <sz val="11"/>
        <color theme="1"/>
        <rFont val="Calibri"/>
        <family val="2"/>
        <scheme val="minor"/>
      </rPr>
      <t>For Q1, the following findings are found:</t>
    </r>
    <r>
      <rPr>
        <sz val="11"/>
        <color theme="1"/>
        <rFont val="Calibri"/>
        <family val="2"/>
        <scheme val="minor"/>
      </rPr>
      <t xml:space="preserve">
</t>
    </r>
    <r>
      <rPr>
        <b/>
        <sz val="11"/>
        <color theme="1"/>
        <rFont val="Calibri"/>
        <family val="2"/>
        <scheme val="minor"/>
      </rPr>
      <t>&gt;</t>
    </r>
    <r>
      <rPr>
        <sz val="11"/>
        <color theme="1"/>
        <rFont val="Calibri"/>
        <family val="2"/>
        <scheme val="minor"/>
      </rPr>
      <t xml:space="preserve"> Distance travelled by male and female respondents are highly varied during pre-COVID changes in terms of their occupation, with workers and students being able to travel on 1km to 5km, 11 km  to 15 km, 16 km to 20 km, and more than 20 km the most above average. However, post-COVID changes resulted to more respondents needing no distance to travel due to study or work from home measures, albeit some still have to travel, possible due to much more practical work that cannot be performed online.
</t>
    </r>
    <r>
      <rPr>
        <b/>
        <sz val="11"/>
        <color theme="1"/>
        <rFont val="Calibri"/>
        <family val="2"/>
        <scheme val="minor"/>
      </rPr>
      <t>&gt;</t>
    </r>
    <r>
      <rPr>
        <sz val="11"/>
        <color theme="1"/>
        <rFont val="Calibri"/>
        <family val="2"/>
        <scheme val="minor"/>
      </rPr>
      <t xml:space="preserve"> In terms of pre-COVID changes with respondent age, there is also a visible variation in differing distances traveled from young teenagers up to working adult age groups, due to existing face to face school or work responsibilities. However, due to post-COVID changes, the majority of the age groups don't need to travel due to transition to study or work at home responsibilities.
</t>
    </r>
    <r>
      <rPr>
        <b/>
        <sz val="11"/>
        <color theme="1"/>
        <rFont val="Calibri"/>
        <family val="2"/>
        <scheme val="minor"/>
      </rPr>
      <t>&gt;</t>
    </r>
    <r>
      <rPr>
        <sz val="11"/>
        <color theme="1"/>
        <rFont val="Calibri"/>
        <family val="2"/>
        <scheme val="minor"/>
      </rPr>
      <t xml:space="preserve"> In terms of pre-COVID changes with the respondents' area of residence, respondents from urban cities such as Batangas City and Lipa CIty are able to frequently travel more in short term distances such as 1 km to 5 km with their school/work responsibilities being nearby, while rural areas such as Alitagtag can travel much farther distances frequently (more than 20 km) towards their responsibilities. Due to post-COVID changes however, this also influenced their travel distance to none with study and work from home transition. Albeit this, there is still an above average number of respondents travelling short distances within Lipa City, which could be due to higher level education or workplaces existing within the city that require on site practice.
</t>
    </r>
    <r>
      <rPr>
        <b/>
        <sz val="11"/>
        <color theme="1"/>
        <rFont val="Calibri"/>
        <family val="2"/>
        <scheme val="minor"/>
      </rPr>
      <t>&gt;</t>
    </r>
    <r>
      <rPr>
        <sz val="11"/>
        <color theme="1"/>
        <rFont val="Calibri"/>
        <family val="2"/>
        <scheme val="minor"/>
      </rPr>
      <t xml:space="preserve"> Overall, it could be seen that due to COVID, distance travelled towards school or workplaces are significantly impacted among different occupations, age groups, and area of residence among respondents.</t>
    </r>
  </si>
  <si>
    <t>Light Red Fill = Above the Respondent Average</t>
  </si>
  <si>
    <r>
      <rPr>
        <b/>
        <sz val="11"/>
        <color theme="1"/>
        <rFont val="Calibri"/>
        <family val="2"/>
        <scheme val="minor"/>
      </rPr>
      <t>For Q2, the following findings are found:</t>
    </r>
    <r>
      <rPr>
        <sz val="11"/>
        <color theme="1"/>
        <rFont val="Calibri"/>
        <family val="2"/>
        <scheme val="minor"/>
      </rPr>
      <t xml:space="preserve">
</t>
    </r>
    <r>
      <rPr>
        <b/>
        <sz val="11"/>
        <color theme="1"/>
        <rFont val="Calibri"/>
        <family val="2"/>
        <scheme val="minor"/>
      </rPr>
      <t>&gt;</t>
    </r>
    <r>
      <rPr>
        <sz val="11"/>
        <color theme="1"/>
        <rFont val="Calibri"/>
        <family val="2"/>
        <scheme val="minor"/>
      </rPr>
      <t xml:space="preserve"> Methods of travel used during pre-COVID changes by respondents' pre-COVID occupatios has shown that male and female students and full-time workers tend to use jeepneys for travel more for both short and long distances, and students using tricycles more to travel to school. With post-COVID changes with post-COVID occupations, there is still a considerable number of use of jeepneys, particularly for full-time workers who travel to their workplaces. For students who still travel, they lean towards the use of private cars more to ensure their safety during the pandemic. For the majority of respondents, they dont use any mode of transport for school or work purposes,  most likely due to transition to study or work from home. 
</t>
    </r>
    <r>
      <rPr>
        <b/>
        <sz val="11"/>
        <color theme="1"/>
        <rFont val="Calibri"/>
        <family val="2"/>
        <scheme val="minor"/>
      </rPr>
      <t>&gt;</t>
    </r>
    <r>
      <rPr>
        <sz val="11"/>
        <color theme="1"/>
        <rFont val="Calibri"/>
        <family val="2"/>
        <scheme val="minor"/>
      </rPr>
      <t xml:space="preserve"> In terms of pre-COVID changes with respondent age, there is a fair variation of transportation methods used by different age groups, from not travelling, to just walking, to using private cars, tricycles, and jeepneys. Among these, respondents of ages 19 - 24, mainly young teens that are students, use jeepney as their main method of transport. With post-COVID changes, majority of the respondents did not have the need to use modes of transport with study or work at home responsibilities. Despite the pandemic's impact, there is still an above average amount of individuals from 19 - 24 that use jeepneys and private cars to travel to school. 
</t>
    </r>
    <r>
      <rPr>
        <b/>
        <sz val="11"/>
        <color theme="1"/>
        <rFont val="Calibri"/>
        <family val="2"/>
        <scheme val="minor"/>
      </rPr>
      <t>&gt;</t>
    </r>
    <r>
      <rPr>
        <sz val="11"/>
        <color theme="1"/>
        <rFont val="Calibri"/>
        <family val="2"/>
        <scheme val="minor"/>
      </rPr>
      <t xml:space="preserve"> In terms of pre-COVID changes with the respondents' area of residence, jeepneys are highly used in rural and urban areas, tricycles is popularly used in Lipa City, and there is a fair number of respondents that don't need to travel in rural or urban places. After post-COVID changes, majority of respondents from rural to urban areas dont need to use any mode of transport for travel. For those that do, private cars are significantly used in urban areas while jeepneys are usued among rural areas.
</t>
    </r>
    <r>
      <rPr>
        <b/>
        <sz val="11"/>
        <color theme="1"/>
        <rFont val="Calibri"/>
        <family val="2"/>
        <scheme val="minor"/>
      </rPr>
      <t>&gt;</t>
    </r>
    <r>
      <rPr>
        <sz val="11"/>
        <color theme="1"/>
        <rFont val="Calibri"/>
        <family val="2"/>
        <scheme val="minor"/>
      </rPr>
      <t xml:space="preserve"> Overall, it could be seen that due to COVID, the mode of transportation used towards school or workplace travel are significantly impacted among different occupations, age groups, and area of residence among respondents.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</si>
</sst>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b/>
      <i/>
      <sz val="11"/>
      <color theme="1"/>
      <name val="Calibri"/>
      <family val="2"/>
      <scheme val="minor"/>
    </font>
    <font>
      <sz val="9"/>
      <color indexed="81"/>
      <name val="Tahoma"/>
      <family val="2"/>
    </font>
    <font>
      <sz val="8"/>
      <color rgb="FF202122"/>
      <name val="Arial"/>
      <family val="2"/>
    </font>
    <font>
      <sz val="10"/>
      <color rgb="FF000000"/>
      <name val="Arial"/>
      <family val="2"/>
    </font>
    <font>
      <sz val="8"/>
      <color theme="1"/>
      <name val="Calibri"/>
      <family val="2"/>
      <scheme val="minor"/>
    </font>
    <font>
      <b/>
      <sz val="11"/>
      <color theme="0"/>
      <name val="Calibri"/>
      <family val="2"/>
      <scheme val="minor"/>
    </font>
    <font>
      <sz val="11"/>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theme="3"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9" tint="0.79998168889431442"/>
        <bgColor indexed="64"/>
      </patternFill>
    </fill>
  </fills>
  <borders count="8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Dashed">
        <color indexed="64"/>
      </left>
      <right style="mediumDashed">
        <color indexed="64"/>
      </right>
      <top style="mediumDashed">
        <color indexed="64"/>
      </top>
      <bottom style="mediumDashed">
        <color indexed="64"/>
      </bottom>
      <diagonal/>
    </border>
    <border>
      <left/>
      <right/>
      <top style="mediumDashed">
        <color indexed="64"/>
      </top>
      <bottom style="mediumDashed">
        <color indexed="64"/>
      </bottom>
      <diagonal/>
    </border>
    <border>
      <left style="mediumDashed">
        <color indexed="64"/>
      </left>
      <right style="mediumDashed">
        <color indexed="64"/>
      </right>
      <top style="mediumDashed">
        <color indexed="64"/>
      </top>
      <bottom/>
      <diagonal/>
    </border>
    <border>
      <left style="mediumDashed">
        <color indexed="64"/>
      </left>
      <right style="mediumDashed">
        <color indexed="64"/>
      </right>
      <top/>
      <bottom style="mediumDashed">
        <color indexed="64"/>
      </bottom>
      <diagonal/>
    </border>
    <border>
      <left/>
      <right/>
      <top style="mediumDashed">
        <color indexed="64"/>
      </top>
      <bottom/>
      <diagonal/>
    </border>
    <border>
      <left style="mediumDashed">
        <color indexed="64"/>
      </left>
      <right style="mediumDashed">
        <color indexed="64"/>
      </right>
      <top/>
      <bottom/>
      <diagonal/>
    </border>
    <border>
      <left/>
      <right style="medium">
        <color auto="1"/>
      </right>
      <top/>
      <bottom/>
      <diagonal/>
    </border>
    <border>
      <left/>
      <right/>
      <top style="medium">
        <color auto="1"/>
      </top>
      <bottom style="medium">
        <color indexed="64"/>
      </bottom>
      <diagonal/>
    </border>
    <border>
      <left/>
      <right style="medium">
        <color auto="1"/>
      </right>
      <top style="medium">
        <color auto="1"/>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auto="1"/>
      </left>
      <right/>
      <top style="medium">
        <color auto="1"/>
      </top>
      <bottom style="medium">
        <color indexed="64"/>
      </bottom>
      <diagonal/>
    </border>
    <border>
      <left style="medium">
        <color auto="1"/>
      </left>
      <right style="thin">
        <color indexed="64"/>
      </right>
      <top/>
      <bottom style="medium">
        <color auto="1"/>
      </bottom>
      <diagonal/>
    </border>
    <border>
      <left style="medium">
        <color auto="1"/>
      </left>
      <right style="thin">
        <color indexed="64"/>
      </right>
      <top/>
      <bottom style="thin">
        <color indexed="64"/>
      </bottom>
      <diagonal/>
    </border>
    <border>
      <left/>
      <right style="medium">
        <color auto="1"/>
      </right>
      <top style="medium">
        <color indexed="64"/>
      </top>
      <bottom style="thin">
        <color indexed="64"/>
      </bottom>
      <diagonal/>
    </border>
    <border>
      <left/>
      <right style="mediumDashed">
        <color indexed="64"/>
      </right>
      <top/>
      <bottom/>
      <diagonal/>
    </border>
    <border>
      <left style="mediumDashed">
        <color indexed="64"/>
      </left>
      <right style="mediumDashed">
        <color indexed="64"/>
      </right>
      <top style="medium">
        <color auto="1"/>
      </top>
      <bottom style="mediumDashed">
        <color indexed="64"/>
      </bottom>
      <diagonal/>
    </border>
    <border>
      <left/>
      <right/>
      <top style="medium">
        <color indexed="64"/>
      </top>
      <bottom style="mediumDashed">
        <color indexed="64"/>
      </bottom>
      <diagonal/>
    </border>
    <border>
      <left style="thin">
        <color indexed="64"/>
      </left>
      <right/>
      <top style="medium">
        <color indexed="64"/>
      </top>
      <bottom style="medium">
        <color indexed="64"/>
      </bottom>
      <diagonal/>
    </border>
    <border>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medium">
        <color indexed="64"/>
      </bottom>
      <diagonal/>
    </border>
    <border>
      <left/>
      <right style="medium">
        <color auto="1"/>
      </right>
      <top style="thin">
        <color auto="1"/>
      </top>
      <bottom style="medium">
        <color indexed="64"/>
      </bottom>
      <diagonal/>
    </border>
    <border>
      <left/>
      <right style="medium">
        <color auto="1"/>
      </right>
      <top/>
      <bottom style="thin">
        <color auto="1"/>
      </bottom>
      <diagonal/>
    </border>
    <border>
      <left style="mediumDashed">
        <color indexed="64"/>
      </left>
      <right/>
      <top style="mediumDashed">
        <color indexed="64"/>
      </top>
      <bottom style="mediumDashed">
        <color indexed="64"/>
      </bottom>
      <diagonal/>
    </border>
    <border>
      <left/>
      <right style="mediumDashed">
        <color indexed="64"/>
      </right>
      <top style="mediumDashed">
        <color indexed="64"/>
      </top>
      <bottom style="mediumDashed">
        <color indexed="64"/>
      </bottom>
      <diagonal/>
    </border>
    <border>
      <left style="mediumDashed">
        <color indexed="64"/>
      </left>
      <right/>
      <top style="mediumDashed">
        <color indexed="64"/>
      </top>
      <bottom/>
      <diagonal/>
    </border>
    <border>
      <left/>
      <right style="mediumDashed">
        <color indexed="64"/>
      </right>
      <top style="mediumDashed">
        <color indexed="64"/>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style="mediumDashed">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top/>
      <bottom style="medium">
        <color auto="1"/>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auto="1"/>
      </top>
      <bottom style="medium">
        <color indexed="64"/>
      </bottom>
      <diagonal/>
    </border>
    <border>
      <left style="medium">
        <color auto="1"/>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auto="1"/>
      </right>
      <top style="medium">
        <color indexed="64"/>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Dashed">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DashDotDot">
        <color auto="1"/>
      </left>
      <right style="mediumDashDotDot">
        <color auto="1"/>
      </right>
      <top style="mediumDashDotDot">
        <color auto="1"/>
      </top>
      <bottom style="mediumDashDotDot">
        <color auto="1"/>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medium">
        <color auto="1"/>
      </left>
      <right style="thin">
        <color indexed="64"/>
      </right>
      <top style="thin">
        <color indexed="64"/>
      </top>
      <bottom/>
      <diagonal/>
    </border>
    <border>
      <left style="medium">
        <color auto="1"/>
      </left>
      <right style="thin">
        <color indexed="64"/>
      </right>
      <top/>
      <bottom/>
      <diagonal/>
    </border>
    <border>
      <left style="thin">
        <color indexed="64"/>
      </left>
      <right style="thin">
        <color indexed="64"/>
      </right>
      <top style="thin">
        <color indexed="64"/>
      </top>
      <bottom/>
      <diagonal/>
    </border>
    <border>
      <left style="thin">
        <color indexed="64"/>
      </left>
      <right style="medium">
        <color auto="1"/>
      </right>
      <top style="thin">
        <color auto="1"/>
      </top>
      <bottom/>
      <diagonal/>
    </border>
    <border>
      <left style="thin">
        <color indexed="64"/>
      </left>
      <right style="medium">
        <color auto="1"/>
      </right>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auto="1"/>
      </left>
      <right/>
      <top/>
      <bottom/>
      <diagonal/>
    </border>
    <border>
      <left style="thin">
        <color auto="1"/>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Dashed">
        <color indexed="64"/>
      </left>
      <right style="mediumDashed">
        <color indexed="64"/>
      </right>
      <top style="medium">
        <color auto="1"/>
      </top>
      <bottom/>
      <diagonal/>
    </border>
    <border>
      <left style="thin">
        <color indexed="64"/>
      </left>
      <right/>
      <top style="thin">
        <color indexed="64"/>
      </top>
      <bottom style="medium">
        <color indexed="64"/>
      </bottom>
      <diagonal/>
    </border>
    <border>
      <left style="medium">
        <color auto="1"/>
      </left>
      <right style="medium">
        <color auto="1"/>
      </right>
      <top style="medium">
        <color auto="1"/>
      </top>
      <bottom style="medium">
        <color auto="1"/>
      </bottom>
      <diagonal/>
    </border>
    <border>
      <left style="thin">
        <color indexed="64"/>
      </left>
      <right/>
      <top style="medium">
        <color indexed="64"/>
      </top>
      <bottom style="thin">
        <color indexed="64"/>
      </bottom>
      <diagonal/>
    </border>
    <border>
      <left/>
      <right style="thin">
        <color indexed="64"/>
      </right>
      <top style="medium">
        <color indexed="64"/>
      </top>
      <bottom/>
      <diagonal/>
    </border>
    <border>
      <left/>
      <right style="thin">
        <color indexed="64"/>
      </right>
      <top/>
      <bottom/>
      <diagonal/>
    </border>
    <border>
      <left style="thin">
        <color indexed="64"/>
      </left>
      <right/>
      <top style="thin">
        <color indexed="64"/>
      </top>
      <bottom/>
      <diagonal/>
    </border>
    <border>
      <left style="medium">
        <color indexed="64"/>
      </left>
      <right/>
      <top style="thin">
        <color indexed="64"/>
      </top>
      <bottom/>
      <diagonal/>
    </border>
    <border>
      <left style="thin">
        <color theme="4" tint="0.39997558519241921"/>
      </left>
      <right/>
      <top style="thin">
        <color theme="4" tint="0.39997558519241921"/>
      </top>
      <bottom/>
      <diagonal/>
    </border>
    <border>
      <left style="thin">
        <color indexed="64"/>
      </left>
      <right/>
      <top style="medium">
        <color indexed="64"/>
      </top>
      <bottom/>
      <diagonal/>
    </border>
  </borders>
  <cellStyleXfs count="1">
    <xf numFmtId="0" fontId="0" fillId="0" borderId="0"/>
  </cellStyleXfs>
  <cellXfs count="497">
    <xf numFmtId="0" fontId="0" fillId="0" borderId="0" xfId="0"/>
    <xf numFmtId="0" fontId="0" fillId="0" borderId="0" xfId="0" applyAlignment="1"/>
    <xf numFmtId="0" fontId="0" fillId="0" borderId="0" xfId="0" applyBorder="1" applyAlignment="1">
      <alignment horizontal="center"/>
    </xf>
    <xf numFmtId="0" fontId="0" fillId="0" borderId="0" xfId="0" applyBorder="1"/>
    <xf numFmtId="0" fontId="0" fillId="0" borderId="2" xfId="0" applyBorder="1" applyAlignment="1">
      <alignment horizontal="center"/>
    </xf>
    <xf numFmtId="0" fontId="0" fillId="0" borderId="2" xfId="0" applyBorder="1"/>
    <xf numFmtId="0" fontId="0" fillId="2" borderId="2" xfId="0" applyFill="1" applyBorder="1"/>
    <xf numFmtId="0" fontId="0" fillId="0" borderId="4" xfId="0" applyBorder="1"/>
    <xf numFmtId="0" fontId="0" fillId="0" borderId="0" xfId="0" applyFill="1"/>
    <xf numFmtId="0" fontId="0" fillId="0" borderId="0" xfId="0" applyFill="1" applyBorder="1"/>
    <xf numFmtId="0" fontId="0" fillId="0" borderId="0" xfId="0" applyFill="1" applyBorder="1" applyAlignment="1"/>
    <xf numFmtId="0" fontId="0" fillId="0" borderId="10" xfId="0" applyBorder="1" applyAlignment="1">
      <alignment horizontal="center"/>
    </xf>
    <xf numFmtId="0" fontId="1" fillId="0" borderId="13" xfId="0" applyFont="1" applyBorder="1" applyAlignment="1">
      <alignment horizontal="center"/>
    </xf>
    <xf numFmtId="0" fontId="0" fillId="0" borderId="14" xfId="0" applyBorder="1"/>
    <xf numFmtId="0" fontId="1" fillId="2" borderId="16" xfId="0" applyFont="1" applyFill="1" applyBorder="1" applyAlignment="1">
      <alignment horizontal="center"/>
    </xf>
    <xf numFmtId="0" fontId="1" fillId="0" borderId="16" xfId="0" applyFont="1" applyBorder="1" applyAlignment="1">
      <alignment horizontal="center"/>
    </xf>
    <xf numFmtId="0" fontId="0" fillId="0" borderId="17" xfId="0" applyBorder="1"/>
    <xf numFmtId="0" fontId="1" fillId="2" borderId="18" xfId="0" applyFont="1" applyFill="1" applyBorder="1" applyAlignment="1">
      <alignment horizontal="center"/>
    </xf>
    <xf numFmtId="0" fontId="0" fillId="2" borderId="19" xfId="0" applyFill="1" applyBorder="1"/>
    <xf numFmtId="0" fontId="1" fillId="2" borderId="21" xfId="0" applyFont="1" applyFill="1" applyBorder="1" applyAlignment="1">
      <alignment horizontal="center"/>
    </xf>
    <xf numFmtId="0" fontId="1" fillId="2" borderId="22" xfId="0" applyFont="1" applyFill="1" applyBorder="1" applyAlignment="1">
      <alignment horizontal="center"/>
    </xf>
    <xf numFmtId="0" fontId="1" fillId="2" borderId="23" xfId="0" applyFont="1" applyFill="1" applyBorder="1" applyAlignment="1">
      <alignment horizontal="center"/>
    </xf>
    <xf numFmtId="0" fontId="1" fillId="4" borderId="12" xfId="0" applyFont="1" applyFill="1" applyBorder="1" applyAlignment="1">
      <alignment horizontal="center"/>
    </xf>
    <xf numFmtId="0" fontId="1" fillId="4" borderId="21" xfId="0" applyFont="1" applyFill="1" applyBorder="1" applyAlignment="1">
      <alignment horizontal="center"/>
    </xf>
    <xf numFmtId="0" fontId="1" fillId="4" borderId="23" xfId="0" applyFont="1" applyFill="1" applyBorder="1" applyAlignment="1">
      <alignment horizontal="center"/>
    </xf>
    <xf numFmtId="0" fontId="0" fillId="0" borderId="14" xfId="0" applyBorder="1" applyAlignment="1">
      <alignment horizontal="center"/>
    </xf>
    <xf numFmtId="0" fontId="0" fillId="0" borderId="27" xfId="0" applyBorder="1" applyAlignment="1">
      <alignment horizontal="center"/>
    </xf>
    <xf numFmtId="0" fontId="0" fillId="0" borderId="28" xfId="0" applyFill="1" applyBorder="1"/>
    <xf numFmtId="0" fontId="1" fillId="5" borderId="29" xfId="0" applyFont="1" applyFill="1" applyBorder="1" applyAlignment="1">
      <alignment horizontal="center"/>
    </xf>
    <xf numFmtId="0" fontId="0" fillId="0" borderId="3" xfId="0" applyBorder="1" applyAlignment="1">
      <alignment horizontal="center"/>
    </xf>
    <xf numFmtId="0" fontId="0" fillId="0" borderId="7" xfId="0" applyBorder="1"/>
    <xf numFmtId="0" fontId="0" fillId="0" borderId="19" xfId="0" applyBorder="1" applyAlignment="1">
      <alignment horizontal="center"/>
    </xf>
    <xf numFmtId="0" fontId="1" fillId="0" borderId="0" xfId="0" applyFont="1" applyBorder="1" applyAlignment="1">
      <alignment horizontal="center"/>
    </xf>
    <xf numFmtId="0" fontId="0" fillId="0" borderId="30" xfId="0" applyBorder="1" applyAlignment="1">
      <alignment horizontal="center"/>
    </xf>
    <xf numFmtId="0" fontId="1" fillId="0" borderId="0" xfId="0" applyFont="1" applyFill="1" applyBorder="1" applyAlignment="1">
      <alignment horizontal="center" vertical="center"/>
    </xf>
    <xf numFmtId="0" fontId="0" fillId="0" borderId="15" xfId="0" applyBorder="1" applyAlignment="1">
      <alignment horizontal="center"/>
    </xf>
    <xf numFmtId="0" fontId="1" fillId="2" borderId="31" xfId="0" applyFont="1" applyFill="1" applyBorder="1" applyAlignment="1">
      <alignment horizontal="center"/>
    </xf>
    <xf numFmtId="0" fontId="1" fillId="0" borderId="0" xfId="0" applyFont="1" applyFill="1" applyBorder="1" applyAlignment="1">
      <alignment horizontal="center"/>
    </xf>
    <xf numFmtId="0" fontId="1" fillId="0" borderId="0" xfId="0" applyFont="1" applyFill="1" applyBorder="1" applyAlignment="1"/>
    <xf numFmtId="0" fontId="0" fillId="0" borderId="0" xfId="0" applyFill="1" applyAlignment="1">
      <alignment horizontal="center"/>
    </xf>
    <xf numFmtId="0" fontId="0" fillId="0" borderId="13" xfId="0" applyBorder="1" applyAlignment="1">
      <alignment horizontal="center"/>
    </xf>
    <xf numFmtId="0" fontId="0" fillId="0" borderId="16" xfId="0" applyBorder="1" applyAlignment="1">
      <alignment horizontal="center"/>
    </xf>
    <xf numFmtId="0" fontId="0" fillId="0" borderId="16" xfId="0" applyFill="1" applyBorder="1" applyAlignment="1">
      <alignment horizontal="center"/>
    </xf>
    <xf numFmtId="0" fontId="0" fillId="0" borderId="18" xfId="0" applyFill="1" applyBorder="1" applyAlignment="1">
      <alignment horizontal="center"/>
    </xf>
    <xf numFmtId="0" fontId="0" fillId="0" borderId="19" xfId="0" applyBorder="1"/>
    <xf numFmtId="0" fontId="0" fillId="0" borderId="20" xfId="0" applyBorder="1"/>
    <xf numFmtId="0" fontId="0" fillId="0" borderId="8" xfId="0" applyFont="1" applyBorder="1" applyAlignment="1"/>
    <xf numFmtId="0" fontId="0" fillId="0" borderId="8" xfId="0" applyBorder="1" applyAlignment="1"/>
    <xf numFmtId="0" fontId="1" fillId="4" borderId="21" xfId="0" applyFont="1" applyFill="1" applyBorder="1" applyAlignment="1">
      <alignment horizontal="center" wrapText="1"/>
    </xf>
    <xf numFmtId="0" fontId="0" fillId="0" borderId="13" xfId="0" applyFont="1" applyBorder="1" applyAlignment="1">
      <alignment horizontal="center"/>
    </xf>
    <xf numFmtId="0" fontId="0" fillId="0" borderId="25" xfId="0" applyFont="1" applyBorder="1" applyAlignment="1">
      <alignment horizontal="center"/>
    </xf>
    <xf numFmtId="0" fontId="0" fillId="0" borderId="16" xfId="0" applyFont="1" applyBorder="1" applyAlignment="1">
      <alignment horizontal="center"/>
    </xf>
    <xf numFmtId="0" fontId="0" fillId="0" borderId="26" xfId="0" applyFont="1" applyBorder="1" applyAlignment="1">
      <alignment horizontal="center"/>
    </xf>
    <xf numFmtId="0" fontId="0" fillId="0" borderId="16" xfId="0" applyBorder="1" applyAlignment="1">
      <alignment horizontal="center"/>
    </xf>
    <xf numFmtId="0" fontId="0" fillId="0" borderId="2" xfId="0" applyBorder="1" applyAlignment="1">
      <alignment horizontal="center"/>
    </xf>
    <xf numFmtId="0" fontId="0" fillId="0" borderId="17"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1" fillId="0" borderId="13" xfId="0" applyFont="1" applyBorder="1" applyAlignment="1">
      <alignment horizontal="center"/>
    </xf>
    <xf numFmtId="0" fontId="0" fillId="0" borderId="33" xfId="0" applyBorder="1" applyAlignment="1">
      <alignment horizontal="center"/>
    </xf>
    <xf numFmtId="0" fontId="0" fillId="0" borderId="19" xfId="0" applyBorder="1" applyAlignment="1">
      <alignment horizontal="center"/>
    </xf>
    <xf numFmtId="0" fontId="0" fillId="0" borderId="2" xfId="0" applyBorder="1" applyAlignment="1">
      <alignment horizontal="center"/>
    </xf>
    <xf numFmtId="9" fontId="0" fillId="0" borderId="27" xfId="0" applyNumberFormat="1" applyBorder="1" applyAlignment="1">
      <alignment horizontal="center"/>
    </xf>
    <xf numFmtId="9" fontId="0" fillId="0" borderId="20" xfId="0" applyNumberFormat="1" applyBorder="1" applyAlignment="1">
      <alignment horizontal="center"/>
    </xf>
    <xf numFmtId="0" fontId="0" fillId="0" borderId="7" xfId="0" applyBorder="1" applyAlignment="1">
      <alignment horizontal="center"/>
    </xf>
    <xf numFmtId="9" fontId="0" fillId="0" borderId="4" xfId="0" applyNumberFormat="1" applyBorder="1" applyAlignment="1">
      <alignment horizontal="center"/>
    </xf>
    <xf numFmtId="9" fontId="0" fillId="0" borderId="15" xfId="0" applyNumberFormat="1" applyBorder="1" applyAlignment="1">
      <alignment horizontal="center"/>
    </xf>
    <xf numFmtId="0" fontId="0" fillId="0" borderId="47" xfId="0" applyBorder="1" applyAlignment="1"/>
    <xf numFmtId="0" fontId="0" fillId="0" borderId="13" xfId="0" applyBorder="1"/>
    <xf numFmtId="0" fontId="0" fillId="0" borderId="15" xfId="0" applyBorder="1"/>
    <xf numFmtId="0" fontId="0" fillId="0" borderId="16" xfId="0" applyBorder="1"/>
    <xf numFmtId="0" fontId="0" fillId="7" borderId="16" xfId="0" applyFill="1" applyBorder="1"/>
    <xf numFmtId="0" fontId="0" fillId="7" borderId="2" xfId="0" applyFill="1" applyBorder="1"/>
    <xf numFmtId="0" fontId="0" fillId="7" borderId="17" xfId="0" applyFill="1" applyBorder="1"/>
    <xf numFmtId="0" fontId="0" fillId="7" borderId="18" xfId="0" applyFill="1" applyBorder="1"/>
    <xf numFmtId="0" fontId="0" fillId="7" borderId="19" xfId="0" applyFill="1" applyBorder="1"/>
    <xf numFmtId="0" fontId="0" fillId="7" borderId="20" xfId="0" applyFill="1" applyBorder="1"/>
    <xf numFmtId="0" fontId="4" fillId="0" borderId="0" xfId="0" applyFont="1"/>
    <xf numFmtId="0" fontId="1" fillId="0" borderId="0" xfId="0" applyFont="1" applyFill="1" applyBorder="1" applyAlignment="1">
      <alignment wrapText="1"/>
    </xf>
    <xf numFmtId="9" fontId="0" fillId="0" borderId="33" xfId="0" applyNumberFormat="1" applyBorder="1" applyAlignment="1">
      <alignment horizontal="center"/>
    </xf>
    <xf numFmtId="9" fontId="0" fillId="0" borderId="10" xfId="0" applyNumberFormat="1" applyBorder="1" applyAlignment="1">
      <alignment horizontal="center"/>
    </xf>
    <xf numFmtId="0" fontId="1" fillId="7" borderId="21" xfId="0" applyFont="1" applyFill="1" applyBorder="1" applyAlignment="1">
      <alignment horizontal="center"/>
    </xf>
    <xf numFmtId="0" fontId="1" fillId="7" borderId="23" xfId="0" applyFont="1" applyFill="1" applyBorder="1" applyAlignment="1">
      <alignment horizontal="center"/>
    </xf>
    <xf numFmtId="0" fontId="1" fillId="7" borderId="50" xfId="0" applyFont="1" applyFill="1" applyBorder="1" applyAlignment="1">
      <alignment horizontal="center"/>
    </xf>
    <xf numFmtId="0" fontId="0" fillId="0" borderId="14" xfId="0" applyFont="1" applyFill="1" applyBorder="1" applyAlignment="1">
      <alignment horizontal="center"/>
    </xf>
    <xf numFmtId="9" fontId="0" fillId="0" borderId="14" xfId="0" applyNumberFormat="1" applyFont="1" applyFill="1" applyBorder="1" applyAlignment="1">
      <alignment horizontal="center"/>
    </xf>
    <xf numFmtId="9" fontId="0" fillId="0" borderId="15" xfId="0" applyNumberFormat="1" applyFont="1" applyFill="1" applyBorder="1" applyAlignment="1">
      <alignment horizontal="center"/>
    </xf>
    <xf numFmtId="9" fontId="0" fillId="0" borderId="2" xfId="0" applyNumberFormat="1" applyBorder="1" applyAlignment="1">
      <alignment horizontal="center"/>
    </xf>
    <xf numFmtId="9" fontId="0" fillId="0" borderId="17" xfId="0" applyNumberFormat="1" applyBorder="1" applyAlignment="1">
      <alignment horizontal="center"/>
    </xf>
    <xf numFmtId="9" fontId="0" fillId="0" borderId="19" xfId="0" applyNumberFormat="1"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9" fontId="0" fillId="0" borderId="23" xfId="0" applyNumberFormat="1" applyBorder="1" applyAlignment="1">
      <alignment horizontal="center"/>
    </xf>
    <xf numFmtId="9" fontId="0" fillId="0" borderId="50" xfId="0" applyNumberFormat="1" applyBorder="1" applyAlignment="1">
      <alignment horizontal="center"/>
    </xf>
    <xf numFmtId="9" fontId="0" fillId="0" borderId="14" xfId="0" applyNumberFormat="1" applyBorder="1" applyAlignment="1">
      <alignment horizontal="center"/>
    </xf>
    <xf numFmtId="0" fontId="0" fillId="0" borderId="21" xfId="0" applyBorder="1" applyAlignment="1">
      <alignment horizontal="center"/>
    </xf>
    <xf numFmtId="0" fontId="1" fillId="5" borderId="59" xfId="0" applyFont="1" applyFill="1" applyBorder="1" applyAlignment="1">
      <alignment horizontal="center"/>
    </xf>
    <xf numFmtId="0" fontId="0" fillId="0" borderId="19" xfId="0" applyBorder="1" applyAlignment="1">
      <alignment horizontal="center"/>
    </xf>
    <xf numFmtId="0" fontId="0" fillId="0" borderId="16" xfId="0" applyBorder="1" applyAlignment="1">
      <alignment horizontal="center"/>
    </xf>
    <xf numFmtId="0" fontId="0" fillId="0" borderId="2" xfId="0" applyBorder="1" applyAlignment="1">
      <alignment horizontal="center"/>
    </xf>
    <xf numFmtId="0" fontId="1" fillId="0" borderId="13" xfId="0" applyFont="1" applyBorder="1" applyAlignment="1">
      <alignment horizontal="center"/>
    </xf>
    <xf numFmtId="0" fontId="1" fillId="2" borderId="18" xfId="0" applyFont="1" applyFill="1"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4" xfId="0" applyFont="1" applyFill="1" applyBorder="1" applyAlignment="1">
      <alignment horizontal="center"/>
    </xf>
    <xf numFmtId="0" fontId="0" fillId="0" borderId="48" xfId="0" applyBorder="1" applyAlignment="1">
      <alignment horizontal="center"/>
    </xf>
    <xf numFmtId="9" fontId="0" fillId="0" borderId="36" xfId="0" applyNumberFormat="1" applyBorder="1" applyAlignment="1">
      <alignment horizontal="center"/>
    </xf>
    <xf numFmtId="0" fontId="5" fillId="0" borderId="0" xfId="0" applyFont="1"/>
    <xf numFmtId="0" fontId="0" fillId="0" borderId="18" xfId="0" applyFont="1" applyBorder="1" applyAlignment="1">
      <alignment horizontal="center"/>
    </xf>
    <xf numFmtId="0" fontId="0" fillId="0" borderId="42" xfId="0" applyBorder="1" applyAlignment="1">
      <alignment horizontal="center"/>
    </xf>
    <xf numFmtId="0" fontId="0" fillId="0" borderId="67" xfId="0" applyBorder="1"/>
    <xf numFmtId="0" fontId="0" fillId="7" borderId="68" xfId="0" applyFill="1" applyBorder="1"/>
    <xf numFmtId="0" fontId="0" fillId="0" borderId="68" xfId="0" applyBorder="1"/>
    <xf numFmtId="0" fontId="0" fillId="7" borderId="69" xfId="0" applyFill="1" applyBorder="1"/>
    <xf numFmtId="0" fontId="0" fillId="0" borderId="45" xfId="0" applyBorder="1"/>
    <xf numFmtId="17" fontId="0" fillId="0" borderId="0" xfId="0" applyNumberFormat="1"/>
    <xf numFmtId="0" fontId="6" fillId="2" borderId="2" xfId="0" applyFont="1" applyFill="1" applyBorder="1"/>
    <xf numFmtId="0" fontId="0" fillId="0" borderId="46" xfId="0" applyBorder="1" applyAlignment="1">
      <alignment horizontal="center"/>
    </xf>
    <xf numFmtId="0" fontId="0" fillId="0" borderId="0" xfId="0" applyAlignment="1">
      <alignment vertical="center"/>
    </xf>
    <xf numFmtId="0" fontId="0" fillId="0" borderId="0" xfId="0" applyAlignment="1">
      <alignment horizontal="center"/>
    </xf>
    <xf numFmtId="0" fontId="0" fillId="0" borderId="72" xfId="0" applyBorder="1"/>
    <xf numFmtId="9" fontId="0" fillId="0" borderId="0" xfId="0" applyNumberFormat="1" applyBorder="1" applyAlignment="1">
      <alignment horizontal="center"/>
    </xf>
    <xf numFmtId="9" fontId="0" fillId="0" borderId="4" xfId="0" applyNumberFormat="1" applyBorder="1" applyAlignment="1">
      <alignment horizontal="center" vertical="center"/>
    </xf>
    <xf numFmtId="0" fontId="1" fillId="5" borderId="76" xfId="0" applyFont="1" applyFill="1" applyBorder="1" applyAlignment="1">
      <alignment horizontal="center" vertical="center"/>
    </xf>
    <xf numFmtId="0" fontId="0" fillId="0" borderId="9" xfId="0" applyBorder="1" applyAlignment="1">
      <alignment horizontal="center" vertical="center"/>
    </xf>
    <xf numFmtId="9" fontId="0" fillId="0" borderId="6" xfId="0" applyNumberFormat="1" applyBorder="1" applyAlignment="1">
      <alignment horizontal="center" vertical="center"/>
    </xf>
    <xf numFmtId="0" fontId="1" fillId="5" borderId="4" xfId="0" applyFont="1" applyFill="1" applyBorder="1" applyAlignment="1">
      <alignment horizontal="center"/>
    </xf>
    <xf numFmtId="0" fontId="1" fillId="5" borderId="76" xfId="0" applyFont="1" applyFill="1" applyBorder="1" applyAlignment="1">
      <alignment horizontal="center"/>
    </xf>
    <xf numFmtId="0" fontId="0" fillId="0" borderId="9" xfId="0" applyBorder="1" applyAlignment="1">
      <alignment horizontal="center"/>
    </xf>
    <xf numFmtId="9" fontId="0" fillId="0" borderId="6" xfId="0" applyNumberFormat="1" applyBorder="1" applyAlignment="1">
      <alignment horizontal="center"/>
    </xf>
    <xf numFmtId="9" fontId="0" fillId="0" borderId="52" xfId="0" applyNumberFormat="1" applyBorder="1" applyAlignment="1">
      <alignment horizontal="center"/>
    </xf>
    <xf numFmtId="0" fontId="1" fillId="4" borderId="46" xfId="0" applyFont="1" applyFill="1" applyBorder="1" applyAlignment="1">
      <alignment horizontal="center"/>
    </xf>
    <xf numFmtId="9" fontId="0" fillId="0" borderId="48" xfId="0" applyNumberFormat="1" applyBorder="1" applyAlignment="1">
      <alignment horizontal="center"/>
    </xf>
    <xf numFmtId="9" fontId="0" fillId="0" borderId="77" xfId="0" applyNumberFormat="1" applyBorder="1" applyAlignment="1">
      <alignment horizontal="center"/>
    </xf>
    <xf numFmtId="0" fontId="0" fillId="0" borderId="55" xfId="0" applyBorder="1" applyAlignment="1">
      <alignment horizontal="center"/>
    </xf>
    <xf numFmtId="0" fontId="0" fillId="0" borderId="49" xfId="0" applyBorder="1" applyAlignment="1">
      <alignment horizontal="center"/>
    </xf>
    <xf numFmtId="0" fontId="1" fillId="4" borderId="45" xfId="0" applyFont="1" applyFill="1" applyBorder="1" applyAlignment="1">
      <alignment horizontal="center"/>
    </xf>
    <xf numFmtId="0" fontId="1" fillId="4" borderId="50" xfId="0" applyFont="1" applyFill="1" applyBorder="1" applyAlignment="1">
      <alignment horizontal="center" vertical="center"/>
    </xf>
    <xf numFmtId="0" fontId="0" fillId="0" borderId="46" xfId="0" applyBorder="1" applyAlignment="1">
      <alignment horizontal="center" vertical="center"/>
    </xf>
    <xf numFmtId="0" fontId="0" fillId="0" borderId="55" xfId="0" applyBorder="1" applyAlignment="1">
      <alignment horizontal="center" vertical="center"/>
    </xf>
    <xf numFmtId="0" fontId="0" fillId="0" borderId="58" xfId="0" applyBorder="1" applyAlignment="1">
      <alignment horizontal="center" vertical="center"/>
    </xf>
    <xf numFmtId="9" fontId="0" fillId="0" borderId="64" xfId="0" applyNumberFormat="1" applyBorder="1" applyAlignment="1">
      <alignment horizontal="center"/>
    </xf>
    <xf numFmtId="9" fontId="0" fillId="0" borderId="73" xfId="0" applyNumberFormat="1" applyBorder="1" applyAlignment="1">
      <alignment horizontal="center"/>
    </xf>
    <xf numFmtId="0" fontId="0" fillId="0" borderId="17" xfId="0" applyBorder="1" applyAlignment="1">
      <alignment horizontal="center" vertical="center"/>
    </xf>
    <xf numFmtId="0" fontId="0" fillId="0" borderId="0" xfId="0" applyFont="1" applyFill="1" applyBorder="1" applyAlignment="1">
      <alignment horizontal="center"/>
    </xf>
    <xf numFmtId="0" fontId="0" fillId="0" borderId="0" xfId="0" quotePrefix="1" applyAlignment="1"/>
    <xf numFmtId="0" fontId="0" fillId="0" borderId="0" xfId="0" applyAlignment="1">
      <alignment horizontal="left"/>
    </xf>
    <xf numFmtId="0" fontId="0" fillId="0" borderId="33"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6" xfId="0" applyBorder="1" applyAlignment="1">
      <alignment horizontal="center"/>
    </xf>
    <xf numFmtId="0" fontId="0" fillId="0" borderId="2" xfId="0" applyBorder="1" applyAlignment="1">
      <alignment horizontal="center"/>
    </xf>
    <xf numFmtId="0" fontId="0" fillId="0" borderId="17"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4" xfId="0" applyFont="1" applyFill="1" applyBorder="1" applyAlignment="1">
      <alignment horizontal="center"/>
    </xf>
    <xf numFmtId="0" fontId="0" fillId="0" borderId="15" xfId="0" applyBorder="1" applyAlignment="1">
      <alignment horizontal="center"/>
    </xf>
    <xf numFmtId="0" fontId="0" fillId="0" borderId="61" xfId="0" applyBorder="1" applyAlignment="1">
      <alignment horizontal="center"/>
    </xf>
    <xf numFmtId="0" fontId="0" fillId="0" borderId="0" xfId="0" applyAlignment="1">
      <alignment horizontal="center" vertical="center"/>
    </xf>
    <xf numFmtId="0" fontId="0" fillId="0" borderId="0" xfId="0" applyFill="1" applyBorder="1" applyAlignment="1">
      <alignment horizontal="center"/>
    </xf>
    <xf numFmtId="0" fontId="0" fillId="0" borderId="14" xfId="0" applyBorder="1" applyAlignment="1">
      <alignment horizontal="center"/>
    </xf>
    <xf numFmtId="0" fontId="0" fillId="0" borderId="14" xfId="0" applyFont="1" applyFill="1" applyBorder="1" applyAlignment="1">
      <alignment horizontal="center"/>
    </xf>
    <xf numFmtId="0" fontId="0" fillId="0" borderId="0" xfId="0" applyFont="1" applyFill="1" applyBorder="1" applyAlignment="1"/>
    <xf numFmtId="0" fontId="0" fillId="0" borderId="0" xfId="0" applyBorder="1" applyAlignment="1"/>
    <xf numFmtId="0" fontId="0" fillId="0" borderId="0" xfId="0" applyBorder="1" applyAlignment="1">
      <alignment wrapText="1"/>
    </xf>
    <xf numFmtId="0" fontId="0" fillId="0" borderId="0" xfId="0" applyBorder="1" applyAlignment="1">
      <alignment vertical="center"/>
    </xf>
    <xf numFmtId="0" fontId="0" fillId="0" borderId="2" xfId="0" applyBorder="1" applyAlignment="1">
      <alignment horizontal="center"/>
    </xf>
    <xf numFmtId="0" fontId="1" fillId="0" borderId="13" xfId="0" applyFont="1" applyBorder="1" applyAlignment="1">
      <alignment horizontal="center"/>
    </xf>
    <xf numFmtId="0" fontId="1" fillId="2" borderId="18" xfId="0" applyFont="1" applyFill="1" applyBorder="1" applyAlignment="1">
      <alignment horizontal="center"/>
    </xf>
    <xf numFmtId="0" fontId="0" fillId="0" borderId="14" xfId="0" applyBorder="1" applyAlignment="1">
      <alignment horizontal="center"/>
    </xf>
    <xf numFmtId="0" fontId="0" fillId="2" borderId="2" xfId="0" applyFill="1" applyBorder="1" applyAlignment="1">
      <alignment horizontal="center"/>
    </xf>
    <xf numFmtId="0" fontId="0" fillId="0" borderId="16" xfId="0" applyBorder="1" applyAlignment="1">
      <alignment horizontal="center"/>
    </xf>
    <xf numFmtId="0" fontId="0" fillId="0" borderId="2" xfId="0" applyBorder="1" applyAlignment="1">
      <alignment horizontal="center"/>
    </xf>
    <xf numFmtId="0" fontId="0" fillId="0" borderId="17" xfId="0" applyBorder="1" applyAlignment="1">
      <alignment horizontal="center"/>
    </xf>
    <xf numFmtId="0" fontId="0" fillId="0" borderId="33"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0" fillId="0" borderId="14" xfId="0" applyFont="1" applyFill="1" applyBorder="1" applyAlignment="1">
      <alignment horizontal="center"/>
    </xf>
    <xf numFmtId="0" fontId="1" fillId="7" borderId="31" xfId="0" applyFont="1" applyFill="1" applyBorder="1" applyAlignment="1">
      <alignment horizontal="center"/>
    </xf>
    <xf numFmtId="0" fontId="0" fillId="0" borderId="61" xfId="0" applyBorder="1" applyAlignment="1">
      <alignment horizontal="center"/>
    </xf>
    <xf numFmtId="0" fontId="0" fillId="0" borderId="15"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0" fontId="0" fillId="0" borderId="48" xfId="0" applyBorder="1" applyAlignment="1">
      <alignment horizontal="center"/>
    </xf>
    <xf numFmtId="0" fontId="1" fillId="0" borderId="72" xfId="0" applyFont="1" applyFill="1" applyBorder="1" applyAlignment="1">
      <alignment horizontal="center"/>
    </xf>
    <xf numFmtId="0" fontId="0" fillId="0" borderId="10" xfId="0" applyBorder="1"/>
    <xf numFmtId="0" fontId="0" fillId="0" borderId="58" xfId="0" applyBorder="1"/>
    <xf numFmtId="0" fontId="0" fillId="0" borderId="51" xfId="0" applyBorder="1" applyAlignment="1">
      <alignment horizontal="center"/>
    </xf>
    <xf numFmtId="0" fontId="0" fillId="0" borderId="52" xfId="0" applyBorder="1" applyAlignment="1">
      <alignment horizontal="center"/>
    </xf>
    <xf numFmtId="0" fontId="0" fillId="0" borderId="80" xfId="0" applyBorder="1" applyAlignment="1">
      <alignment horizontal="center"/>
    </xf>
    <xf numFmtId="0" fontId="0" fillId="0" borderId="48" xfId="0" applyFont="1" applyFill="1" applyBorder="1" applyAlignment="1">
      <alignment horizontal="center"/>
    </xf>
    <xf numFmtId="0" fontId="0" fillId="0" borderId="12" xfId="0" applyBorder="1"/>
    <xf numFmtId="0" fontId="0" fillId="0" borderId="23" xfId="0" applyBorder="1"/>
    <xf numFmtId="0" fontId="0" fillId="0" borderId="81" xfId="0" applyBorder="1"/>
    <xf numFmtId="0" fontId="0" fillId="0" borderId="27" xfId="0" applyBorder="1"/>
    <xf numFmtId="0" fontId="0" fillId="0" borderId="33" xfId="0" applyBorder="1"/>
    <xf numFmtId="0" fontId="0" fillId="0" borderId="47" xfId="0" applyBorder="1"/>
    <xf numFmtId="0" fontId="0" fillId="0" borderId="61" xfId="0" applyBorder="1"/>
    <xf numFmtId="0" fontId="0" fillId="0" borderId="79" xfId="0" applyBorder="1"/>
    <xf numFmtId="0" fontId="0" fillId="0" borderId="3" xfId="0" applyBorder="1"/>
    <xf numFmtId="0" fontId="0" fillId="0" borderId="54" xfId="0" applyBorder="1"/>
    <xf numFmtId="0" fontId="0" fillId="0" borderId="22" xfId="0" applyBorder="1"/>
    <xf numFmtId="0" fontId="0" fillId="0" borderId="55" xfId="0" applyBorder="1"/>
    <xf numFmtId="0" fontId="1" fillId="7" borderId="51" xfId="0" applyFont="1" applyFill="1" applyBorder="1" applyAlignment="1">
      <alignment horizontal="center"/>
    </xf>
    <xf numFmtId="0" fontId="1" fillId="7" borderId="52" xfId="0" applyFont="1" applyFill="1" applyBorder="1" applyAlignment="1">
      <alignment horizontal="center"/>
    </xf>
    <xf numFmtId="0" fontId="1" fillId="7" borderId="53" xfId="0" applyFont="1" applyFill="1" applyBorder="1" applyAlignment="1">
      <alignment horizontal="center"/>
    </xf>
    <xf numFmtId="0" fontId="1" fillId="3" borderId="24" xfId="0" applyFont="1" applyFill="1" applyBorder="1" applyAlignment="1"/>
    <xf numFmtId="0" fontId="0" fillId="3" borderId="11" xfId="0" applyFill="1" applyBorder="1"/>
    <xf numFmtId="0" fontId="0" fillId="3" borderId="12" xfId="0" applyFill="1" applyBorder="1"/>
    <xf numFmtId="0" fontId="0" fillId="3" borderId="11" xfId="0" applyFill="1" applyBorder="1" applyAlignment="1">
      <alignment vertical="center"/>
    </xf>
    <xf numFmtId="0" fontId="1" fillId="7" borderId="74" xfId="0" applyFont="1" applyFill="1" applyBorder="1" applyAlignment="1">
      <alignment horizontal="left"/>
    </xf>
    <xf numFmtId="0" fontId="1" fillId="7" borderId="75" xfId="0" applyFont="1" applyFill="1" applyBorder="1" applyAlignment="1">
      <alignment horizontal="left"/>
    </xf>
    <xf numFmtId="0" fontId="0" fillId="0" borderId="0" xfId="0" pivotButton="1"/>
    <xf numFmtId="0" fontId="0" fillId="0" borderId="0" xfId="0" applyNumberFormat="1"/>
    <xf numFmtId="0" fontId="0" fillId="0" borderId="0" xfId="0" applyAlignment="1">
      <alignment horizontal="left" indent="1"/>
    </xf>
    <xf numFmtId="0" fontId="7" fillId="9" borderId="84" xfId="0" applyFont="1" applyFill="1" applyBorder="1" applyAlignment="1">
      <alignment horizontal="center"/>
    </xf>
    <xf numFmtId="0" fontId="7" fillId="9" borderId="44" xfId="0" applyFont="1" applyFill="1" applyBorder="1" applyAlignment="1">
      <alignment horizontal="center"/>
    </xf>
    <xf numFmtId="0" fontId="7" fillId="9" borderId="85" xfId="0" applyFont="1" applyFill="1" applyBorder="1" applyAlignment="1">
      <alignment horizontal="center"/>
    </xf>
    <xf numFmtId="0" fontId="7" fillId="9" borderId="53" xfId="0" applyFont="1" applyFill="1" applyBorder="1" applyAlignment="1">
      <alignment horizontal="center"/>
    </xf>
    <xf numFmtId="0" fontId="1" fillId="8" borderId="44" xfId="0" applyFont="1" applyFill="1" applyBorder="1" applyAlignment="1">
      <alignment horizontal="center"/>
    </xf>
    <xf numFmtId="0" fontId="0" fillId="8" borderId="85" xfId="0" applyFont="1" applyFill="1" applyBorder="1"/>
    <xf numFmtId="0" fontId="0" fillId="8" borderId="85" xfId="0" applyFont="1" applyFill="1" applyBorder="1" applyAlignment="1">
      <alignment horizontal="center"/>
    </xf>
    <xf numFmtId="0" fontId="0" fillId="8" borderId="53" xfId="0" applyFont="1" applyFill="1" applyBorder="1" applyAlignment="1">
      <alignment horizontal="center"/>
    </xf>
    <xf numFmtId="0" fontId="1" fillId="0" borderId="83" xfId="0" applyFont="1" applyBorder="1" applyAlignment="1">
      <alignment horizontal="center"/>
    </xf>
    <xf numFmtId="0" fontId="0" fillId="0" borderId="82" xfId="0" applyFont="1" applyBorder="1"/>
    <xf numFmtId="0" fontId="0" fillId="0" borderId="82" xfId="0" applyFont="1" applyBorder="1" applyAlignment="1">
      <alignment horizontal="center"/>
    </xf>
    <xf numFmtId="0" fontId="0" fillId="0" borderId="65" xfId="0" applyFont="1" applyBorder="1" applyAlignment="1">
      <alignment horizontal="center"/>
    </xf>
    <xf numFmtId="0" fontId="1" fillId="8" borderId="83" xfId="0" applyFont="1" applyFill="1" applyBorder="1" applyAlignment="1">
      <alignment horizontal="center"/>
    </xf>
    <xf numFmtId="0" fontId="0" fillId="8" borderId="82" xfId="0" applyFont="1" applyFill="1" applyBorder="1"/>
    <xf numFmtId="0" fontId="0" fillId="8" borderId="82" xfId="0" applyFont="1" applyFill="1" applyBorder="1" applyAlignment="1">
      <alignment horizontal="center"/>
    </xf>
    <xf numFmtId="0" fontId="0" fillId="8" borderId="65" xfId="0" applyFont="1" applyFill="1" applyBorder="1" applyAlignment="1">
      <alignment horizontal="center"/>
    </xf>
    <xf numFmtId="0" fontId="5" fillId="0" borderId="82" xfId="0" applyFont="1" applyBorder="1"/>
    <xf numFmtId="0" fontId="0" fillId="0" borderId="82" xfId="0" applyFont="1" applyBorder="1" applyAlignment="1">
      <alignment horizontal="center" wrapText="1"/>
    </xf>
    <xf numFmtId="0" fontId="6" fillId="0" borderId="82" xfId="0" applyFont="1" applyBorder="1"/>
    <xf numFmtId="0" fontId="7" fillId="9" borderId="44" xfId="0" applyFont="1" applyFill="1" applyBorder="1" applyAlignment="1">
      <alignment horizontal="center" wrapText="1"/>
    </xf>
    <xf numFmtId="0" fontId="7" fillId="9" borderId="45" xfId="0" applyFont="1" applyFill="1" applyBorder="1" applyAlignment="1">
      <alignment horizontal="center" wrapText="1"/>
    </xf>
    <xf numFmtId="0" fontId="0" fillId="8" borderId="44" xfId="0" applyFont="1" applyFill="1" applyBorder="1" applyAlignment="1">
      <alignment horizontal="center"/>
    </xf>
    <xf numFmtId="0" fontId="0" fillId="0" borderId="83" xfId="0" applyFont="1" applyBorder="1" applyAlignment="1">
      <alignment horizontal="center"/>
    </xf>
    <xf numFmtId="0" fontId="0" fillId="8" borderId="83" xfId="0" applyFont="1" applyFill="1" applyBorder="1" applyAlignment="1">
      <alignment horizontal="center"/>
    </xf>
    <xf numFmtId="0" fontId="0" fillId="0" borderId="0" xfId="0" applyAlignment="1">
      <alignment horizontal="left"/>
    </xf>
    <xf numFmtId="0" fontId="0" fillId="0" borderId="0" xfId="0" applyAlignment="1">
      <alignment horizontal="left"/>
    </xf>
    <xf numFmtId="0" fontId="0" fillId="0" borderId="0" xfId="0" applyAlignment="1">
      <alignment horizontal="left" indent="2"/>
    </xf>
    <xf numFmtId="0" fontId="0" fillId="0" borderId="0" xfId="0" applyAlignment="1">
      <alignment horizontal="left"/>
    </xf>
    <xf numFmtId="0" fontId="0" fillId="0" borderId="0" xfId="0" applyAlignment="1">
      <alignment horizontal="left"/>
    </xf>
    <xf numFmtId="0" fontId="0" fillId="10" borderId="0" xfId="0" applyFill="1"/>
    <xf numFmtId="0" fontId="0" fillId="10" borderId="0" xfId="0" applyNumberFormat="1" applyFill="1"/>
    <xf numFmtId="0" fontId="0" fillId="12" borderId="0" xfId="0" applyFill="1"/>
    <xf numFmtId="0" fontId="0" fillId="0" borderId="0" xfId="0" applyAlignment="1">
      <alignment horizontal="left"/>
    </xf>
    <xf numFmtId="0" fontId="0" fillId="13" borderId="0" xfId="0" applyFill="1"/>
    <xf numFmtId="0" fontId="0" fillId="0" borderId="0" xfId="0" applyAlignment="1">
      <alignment horizontal="left"/>
    </xf>
    <xf numFmtId="0" fontId="1" fillId="3" borderId="37" xfId="0" applyFont="1" applyFill="1" applyBorder="1" applyAlignment="1">
      <alignment horizontal="center"/>
    </xf>
    <xf numFmtId="0" fontId="1" fillId="3" borderId="5" xfId="0" applyFont="1" applyFill="1" applyBorder="1" applyAlignment="1">
      <alignment horizontal="center"/>
    </xf>
    <xf numFmtId="0" fontId="1" fillId="3" borderId="38" xfId="0" applyFont="1" applyFill="1" applyBorder="1" applyAlignment="1">
      <alignment horizontal="center"/>
    </xf>
    <xf numFmtId="0" fontId="0" fillId="3" borderId="5" xfId="0" applyFill="1" applyBorder="1" applyAlignment="1">
      <alignment horizontal="center"/>
    </xf>
    <xf numFmtId="0" fontId="0" fillId="3" borderId="38" xfId="0" applyFill="1" applyBorder="1" applyAlignment="1">
      <alignment horizontal="center"/>
    </xf>
    <xf numFmtId="0" fontId="1" fillId="2" borderId="24" xfId="0" applyFont="1" applyFill="1" applyBorder="1" applyAlignment="1">
      <alignment horizontal="center"/>
    </xf>
    <xf numFmtId="0" fontId="1" fillId="2" borderId="11" xfId="0" applyFont="1" applyFill="1" applyBorder="1" applyAlignment="1">
      <alignment horizontal="center"/>
    </xf>
    <xf numFmtId="0" fontId="1" fillId="2" borderId="12" xfId="0" applyFont="1" applyFill="1" applyBorder="1" applyAlignment="1">
      <alignment horizontal="center"/>
    </xf>
    <xf numFmtId="0" fontId="1" fillId="0" borderId="13" xfId="0" applyFont="1" applyBorder="1" applyAlignment="1">
      <alignment horizontal="center"/>
    </xf>
    <xf numFmtId="0" fontId="1" fillId="0" borderId="14" xfId="0" applyFont="1" applyBorder="1" applyAlignment="1">
      <alignment horizontal="center"/>
    </xf>
    <xf numFmtId="0" fontId="1" fillId="0" borderId="15" xfId="0" applyFont="1" applyBorder="1" applyAlignment="1">
      <alignment horizontal="center"/>
    </xf>
    <xf numFmtId="0" fontId="0" fillId="0" borderId="1" xfId="0" applyBorder="1" applyAlignment="1">
      <alignment horizontal="center"/>
    </xf>
    <xf numFmtId="0" fontId="0" fillId="0" borderId="36" xfId="0" applyBorder="1" applyAlignment="1">
      <alignment horizontal="center"/>
    </xf>
    <xf numFmtId="0" fontId="1" fillId="6" borderId="16" xfId="0" applyFont="1" applyFill="1" applyBorder="1" applyAlignment="1">
      <alignment horizontal="left"/>
    </xf>
    <xf numFmtId="0" fontId="1" fillId="6" borderId="2" xfId="0" applyFont="1" applyFill="1" applyBorder="1" applyAlignment="1">
      <alignment horizontal="left"/>
    </xf>
    <xf numFmtId="0" fontId="1" fillId="6" borderId="17" xfId="0" applyFont="1" applyFill="1" applyBorder="1" applyAlignment="1">
      <alignment horizontal="left"/>
    </xf>
    <xf numFmtId="0" fontId="0" fillId="2" borderId="32" xfId="0" applyFill="1" applyBorder="1" applyAlignment="1">
      <alignment horizontal="center"/>
    </xf>
    <xf numFmtId="0" fontId="0" fillId="2" borderId="33" xfId="0" applyFill="1" applyBorder="1" applyAlignment="1">
      <alignment horizontal="center"/>
    </xf>
    <xf numFmtId="0" fontId="0" fillId="0" borderId="16" xfId="0" applyBorder="1" applyAlignment="1">
      <alignment horizontal="center"/>
    </xf>
    <xf numFmtId="0" fontId="0" fillId="0" borderId="2" xfId="0" applyBorder="1" applyAlignment="1">
      <alignment horizontal="center"/>
    </xf>
    <xf numFmtId="0" fontId="0" fillId="0" borderId="2" xfId="0" applyFont="1" applyBorder="1" applyAlignment="1">
      <alignment horizontal="center"/>
    </xf>
    <xf numFmtId="0" fontId="0" fillId="0" borderId="17" xfId="0" applyBorder="1" applyAlignment="1">
      <alignment horizontal="center"/>
    </xf>
    <xf numFmtId="0" fontId="0" fillId="0" borderId="32" xfId="0" applyBorder="1" applyAlignment="1">
      <alignment horizontal="center"/>
    </xf>
    <xf numFmtId="0" fontId="0" fillId="0" borderId="33" xfId="0" applyBorder="1" applyAlignment="1">
      <alignment horizontal="center"/>
    </xf>
    <xf numFmtId="0" fontId="0" fillId="3" borderId="37" xfId="0" applyFill="1"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19" xfId="0" applyFont="1" applyBorder="1" applyAlignment="1">
      <alignment horizontal="center"/>
    </xf>
    <xf numFmtId="0" fontId="0" fillId="0" borderId="20" xfId="0" applyBorder="1" applyAlignment="1">
      <alignment horizontal="center"/>
    </xf>
    <xf numFmtId="0" fontId="0" fillId="0" borderId="0" xfId="0" applyAlignment="1">
      <alignment horizontal="left"/>
    </xf>
    <xf numFmtId="0" fontId="0" fillId="2" borderId="34" xfId="0" applyFill="1" applyBorder="1" applyAlignment="1">
      <alignment horizontal="center"/>
    </xf>
    <xf numFmtId="0" fontId="0" fillId="2" borderId="35" xfId="0" applyFill="1" applyBorder="1" applyAlignment="1">
      <alignment horizontal="center"/>
    </xf>
    <xf numFmtId="0" fontId="1" fillId="3" borderId="6" xfId="0" applyFont="1" applyFill="1" applyBorder="1" applyAlignment="1">
      <alignment horizontal="center" vertical="center"/>
    </xf>
    <xf numFmtId="0" fontId="1" fillId="3" borderId="9" xfId="0" applyFont="1" applyFill="1" applyBorder="1" applyAlignment="1">
      <alignment horizontal="center" vertical="center"/>
    </xf>
    <xf numFmtId="0" fontId="1" fillId="3" borderId="7" xfId="0" applyFont="1" applyFill="1" applyBorder="1" applyAlignment="1">
      <alignment horizontal="center" vertical="center"/>
    </xf>
    <xf numFmtId="0" fontId="1" fillId="5" borderId="24" xfId="0" applyFont="1"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0" fillId="0" borderId="13" xfId="0" applyBorder="1" applyAlignment="1">
      <alignment horizontal="center" wrapText="1"/>
    </xf>
    <xf numFmtId="0" fontId="0" fillId="0" borderId="14" xfId="0" applyBorder="1" applyAlignment="1">
      <alignment horizontal="center"/>
    </xf>
    <xf numFmtId="0" fontId="1" fillId="3" borderId="24" xfId="0" applyFont="1" applyFill="1" applyBorder="1" applyAlignment="1">
      <alignment horizontal="left"/>
    </xf>
    <xf numFmtId="0" fontId="1" fillId="3" borderId="11" xfId="0" applyFont="1" applyFill="1" applyBorder="1" applyAlignment="1">
      <alignment horizontal="left"/>
    </xf>
    <xf numFmtId="0" fontId="1" fillId="3" borderId="12" xfId="0" applyFont="1" applyFill="1" applyBorder="1" applyAlignment="1">
      <alignment horizontal="left"/>
    </xf>
    <xf numFmtId="0" fontId="0" fillId="0" borderId="13" xfId="0" applyBorder="1" applyAlignment="1">
      <alignment horizontal="center"/>
    </xf>
    <xf numFmtId="0" fontId="0" fillId="0" borderId="16" xfId="0" applyBorder="1" applyAlignment="1">
      <alignment horizontal="center" vertical="center"/>
    </xf>
    <xf numFmtId="0" fontId="0" fillId="0" borderId="2"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1" fillId="7" borderId="44" xfId="0" applyFont="1" applyFill="1" applyBorder="1" applyAlignment="1">
      <alignment horizontal="center" vertical="center"/>
    </xf>
    <xf numFmtId="0" fontId="1" fillId="7" borderId="45" xfId="0" applyFont="1" applyFill="1" applyBorder="1" applyAlignment="1">
      <alignment horizontal="center" vertical="center"/>
    </xf>
    <xf numFmtId="0" fontId="1" fillId="7" borderId="46" xfId="0" applyFont="1" applyFill="1" applyBorder="1" applyAlignment="1">
      <alignment horizontal="center" vertical="center"/>
    </xf>
    <xf numFmtId="0" fontId="1" fillId="7" borderId="57" xfId="0" applyFont="1" applyFill="1" applyBorder="1" applyAlignment="1">
      <alignment horizontal="center" vertical="center"/>
    </xf>
    <xf numFmtId="0" fontId="1" fillId="7" borderId="47" xfId="0" applyFont="1" applyFill="1" applyBorder="1" applyAlignment="1">
      <alignment horizontal="center" vertical="center"/>
    </xf>
    <xf numFmtId="0" fontId="1" fillId="7" borderId="58" xfId="0" applyFont="1" applyFill="1" applyBorder="1" applyAlignment="1">
      <alignment horizontal="center" vertical="center"/>
    </xf>
    <xf numFmtId="0" fontId="0" fillId="0" borderId="16" xfId="0" applyBorder="1" applyAlignment="1">
      <alignment horizontal="center" wrapText="1"/>
    </xf>
    <xf numFmtId="0" fontId="1" fillId="3" borderId="57" xfId="0" applyFont="1" applyFill="1" applyBorder="1" applyAlignment="1">
      <alignment horizontal="left"/>
    </xf>
    <xf numFmtId="0" fontId="1" fillId="3" borderId="47" xfId="0" applyFont="1" applyFill="1" applyBorder="1" applyAlignment="1">
      <alignment horizontal="left"/>
    </xf>
    <xf numFmtId="0" fontId="1" fillId="3" borderId="58" xfId="0" applyFont="1" applyFill="1" applyBorder="1" applyAlignment="1">
      <alignment horizontal="left"/>
    </xf>
    <xf numFmtId="0" fontId="1" fillId="7" borderId="24" xfId="0" applyFont="1" applyFill="1" applyBorder="1" applyAlignment="1">
      <alignment horizontal="center"/>
    </xf>
    <xf numFmtId="0" fontId="1" fillId="7" borderId="11" xfId="0" applyFont="1" applyFill="1" applyBorder="1" applyAlignment="1">
      <alignment horizontal="center"/>
    </xf>
    <xf numFmtId="0" fontId="1" fillId="7" borderId="12" xfId="0" applyFont="1" applyFill="1" applyBorder="1" applyAlignment="1">
      <alignment horizontal="center"/>
    </xf>
    <xf numFmtId="0" fontId="0" fillId="0" borderId="13" xfId="0" applyFont="1" applyFill="1" applyBorder="1" applyAlignment="1">
      <alignment horizontal="center"/>
    </xf>
    <xf numFmtId="0" fontId="0" fillId="0" borderId="14" xfId="0" applyFont="1" applyFill="1" applyBorder="1" applyAlignment="1">
      <alignment horizontal="center"/>
    </xf>
    <xf numFmtId="0" fontId="1" fillId="6" borderId="24" xfId="0" applyFont="1" applyFill="1" applyBorder="1" applyAlignment="1">
      <alignment horizontal="center"/>
    </xf>
    <xf numFmtId="0" fontId="1" fillId="6" borderId="11" xfId="0" applyFont="1" applyFill="1" applyBorder="1" applyAlignment="1">
      <alignment horizontal="center"/>
    </xf>
    <xf numFmtId="0" fontId="1" fillId="6" borderId="12" xfId="0" applyFont="1" applyFill="1" applyBorder="1" applyAlignment="1">
      <alignment horizontal="center"/>
    </xf>
    <xf numFmtId="0" fontId="1" fillId="2" borderId="52" xfId="0" applyFont="1" applyFill="1" applyBorder="1" applyAlignment="1">
      <alignment horizontal="center"/>
    </xf>
    <xf numFmtId="0" fontId="1" fillId="2" borderId="54" xfId="0" applyFont="1" applyFill="1" applyBorder="1" applyAlignment="1">
      <alignment horizontal="center"/>
    </xf>
    <xf numFmtId="0" fontId="1" fillId="2" borderId="53" xfId="0" applyFont="1" applyFill="1" applyBorder="1" applyAlignment="1">
      <alignment horizontal="center"/>
    </xf>
    <xf numFmtId="0" fontId="1" fillId="2" borderId="55" xfId="0" applyFont="1" applyFill="1" applyBorder="1" applyAlignment="1">
      <alignment horizontal="center"/>
    </xf>
    <xf numFmtId="0" fontId="1" fillId="2" borderId="51" xfId="0" applyFont="1" applyFill="1" applyBorder="1" applyAlignment="1">
      <alignment horizontal="center"/>
    </xf>
    <xf numFmtId="0" fontId="1" fillId="2" borderId="25" xfId="0" applyFont="1" applyFill="1" applyBorder="1" applyAlignment="1">
      <alignment horizontal="center"/>
    </xf>
    <xf numFmtId="0" fontId="1" fillId="2" borderId="52" xfId="0" applyFont="1" applyFill="1" applyBorder="1" applyAlignment="1">
      <alignment horizontal="center" wrapText="1"/>
    </xf>
    <xf numFmtId="0" fontId="1" fillId="2" borderId="60" xfId="0" applyFont="1" applyFill="1" applyBorder="1" applyAlignment="1">
      <alignment horizontal="center" wrapText="1"/>
    </xf>
    <xf numFmtId="0" fontId="1" fillId="2" borderId="18" xfId="0" applyFont="1" applyFill="1" applyBorder="1" applyAlignment="1">
      <alignment horizontal="center"/>
    </xf>
    <xf numFmtId="0" fontId="1" fillId="2" borderId="48" xfId="0" applyFont="1" applyFill="1" applyBorder="1" applyAlignment="1">
      <alignment horizontal="center" wrapText="1"/>
    </xf>
    <xf numFmtId="0" fontId="1" fillId="2" borderId="19" xfId="0" applyFont="1" applyFill="1" applyBorder="1" applyAlignment="1">
      <alignment horizontal="center"/>
    </xf>
    <xf numFmtId="0" fontId="1" fillId="2" borderId="49" xfId="0" applyFont="1" applyFill="1" applyBorder="1" applyAlignment="1">
      <alignment horizontal="center" wrapText="1"/>
    </xf>
    <xf numFmtId="0" fontId="1" fillId="2" borderId="20" xfId="0" applyFont="1" applyFill="1" applyBorder="1" applyAlignment="1">
      <alignment horizontal="center"/>
    </xf>
    <xf numFmtId="0" fontId="1" fillId="6" borderId="21" xfId="0" applyFont="1" applyFill="1" applyBorder="1" applyAlignment="1">
      <alignment horizontal="center"/>
    </xf>
    <xf numFmtId="0" fontId="1" fillId="6" borderId="23" xfId="0" applyFont="1" applyFill="1" applyBorder="1" applyAlignment="1">
      <alignment horizontal="center"/>
    </xf>
    <xf numFmtId="0" fontId="1" fillId="6" borderId="50" xfId="0" applyFont="1" applyFill="1" applyBorder="1" applyAlignment="1">
      <alignment horizontal="center"/>
    </xf>
    <xf numFmtId="0" fontId="1" fillId="2" borderId="51" xfId="0" applyFont="1" applyFill="1" applyBorder="1" applyAlignment="1">
      <alignment horizontal="center" wrapText="1"/>
    </xf>
    <xf numFmtId="0" fontId="1" fillId="2" borderId="53" xfId="0" applyFont="1" applyFill="1" applyBorder="1" applyAlignment="1">
      <alignment horizontal="center" wrapText="1"/>
    </xf>
    <xf numFmtId="0" fontId="1" fillId="2" borderId="54" xfId="0" applyFont="1" applyFill="1" applyBorder="1" applyAlignment="1">
      <alignment horizontal="center" wrapText="1"/>
    </xf>
    <xf numFmtId="0" fontId="1" fillId="3" borderId="39"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40" xfId="0" applyFont="1" applyFill="1" applyBorder="1" applyAlignment="1">
      <alignment horizontal="center" vertical="center"/>
    </xf>
    <xf numFmtId="0" fontId="1" fillId="3" borderId="56" xfId="0" applyFont="1" applyFill="1" applyBorder="1" applyAlignment="1">
      <alignment horizontal="center" vertical="center"/>
    </xf>
    <xf numFmtId="0" fontId="1" fillId="3" borderId="0" xfId="0" applyFont="1" applyFill="1" applyBorder="1" applyAlignment="1">
      <alignment horizontal="center" vertical="center"/>
    </xf>
    <xf numFmtId="0" fontId="1" fillId="3" borderId="28" xfId="0" applyFont="1" applyFill="1" applyBorder="1" applyAlignment="1">
      <alignment horizontal="center" vertical="center"/>
    </xf>
    <xf numFmtId="0" fontId="1" fillId="3" borderId="41" xfId="0" applyFont="1" applyFill="1" applyBorder="1" applyAlignment="1">
      <alignment horizontal="center" vertical="center"/>
    </xf>
    <xf numFmtId="0" fontId="1" fillId="3" borderId="42" xfId="0" applyFont="1" applyFill="1" applyBorder="1" applyAlignment="1">
      <alignment horizontal="center" vertical="center"/>
    </xf>
    <xf numFmtId="0" fontId="1" fillId="3" borderId="43" xfId="0" applyFont="1" applyFill="1" applyBorder="1" applyAlignment="1">
      <alignment horizontal="center" vertical="center"/>
    </xf>
    <xf numFmtId="0" fontId="1" fillId="6" borderId="44" xfId="0" applyFont="1" applyFill="1" applyBorder="1" applyAlignment="1">
      <alignment horizontal="center"/>
    </xf>
    <xf numFmtId="0" fontId="1" fillId="6" borderId="45" xfId="0" applyFont="1" applyFill="1" applyBorder="1" applyAlignment="1">
      <alignment horizontal="center"/>
    </xf>
    <xf numFmtId="0" fontId="1" fillId="6" borderId="46" xfId="0" applyFont="1" applyFill="1" applyBorder="1" applyAlignment="1">
      <alignment horizontal="center"/>
    </xf>
    <xf numFmtId="0" fontId="0" fillId="2" borderId="2" xfId="0" applyFill="1" applyBorder="1" applyAlignment="1">
      <alignment horizontal="center"/>
    </xf>
    <xf numFmtId="0" fontId="0" fillId="2" borderId="17" xfId="0" applyFill="1" applyBorder="1" applyAlignment="1">
      <alignment horizontal="center"/>
    </xf>
    <xf numFmtId="0" fontId="0" fillId="2" borderId="19" xfId="0" applyFill="1" applyBorder="1" applyAlignment="1">
      <alignment horizontal="center"/>
    </xf>
    <xf numFmtId="0" fontId="0" fillId="2" borderId="20" xfId="0" applyFill="1" applyBorder="1" applyAlignment="1">
      <alignment horizontal="center"/>
    </xf>
    <xf numFmtId="0" fontId="1" fillId="7" borderId="31" xfId="0" applyFont="1" applyFill="1" applyBorder="1" applyAlignment="1">
      <alignment horizontal="center"/>
    </xf>
    <xf numFmtId="0" fontId="1" fillId="7" borderId="22" xfId="0" applyFont="1" applyFill="1" applyBorder="1" applyAlignment="1">
      <alignment horizontal="center"/>
    </xf>
    <xf numFmtId="0" fontId="0" fillId="2" borderId="2" xfId="0" applyFill="1" applyBorder="1" applyAlignment="1">
      <alignment horizontal="center" wrapText="1"/>
    </xf>
    <xf numFmtId="0" fontId="0" fillId="2" borderId="61" xfId="0" applyFill="1" applyBorder="1" applyAlignment="1">
      <alignment horizontal="center"/>
    </xf>
    <xf numFmtId="0" fontId="0" fillId="2" borderId="68" xfId="0" applyFill="1" applyBorder="1" applyAlignment="1">
      <alignment horizontal="center"/>
    </xf>
    <xf numFmtId="0" fontId="0" fillId="0" borderId="61" xfId="0" applyBorder="1" applyAlignment="1">
      <alignment horizontal="center"/>
    </xf>
    <xf numFmtId="0" fontId="0" fillId="0" borderId="68" xfId="0" applyBorder="1" applyAlignment="1">
      <alignment horizontal="center"/>
    </xf>
    <xf numFmtId="0" fontId="0" fillId="0" borderId="15" xfId="0" applyBorder="1" applyAlignment="1">
      <alignment horizontal="center"/>
    </xf>
    <xf numFmtId="0" fontId="1" fillId="4" borderId="51" xfId="0" applyFont="1" applyFill="1" applyBorder="1" applyAlignment="1">
      <alignment horizontal="center" vertical="center" wrapText="1"/>
    </xf>
    <xf numFmtId="0" fontId="1" fillId="4" borderId="25" xfId="0" applyFont="1" applyFill="1" applyBorder="1" applyAlignment="1">
      <alignment horizontal="center" vertical="center" wrapText="1"/>
    </xf>
    <xf numFmtId="0" fontId="1" fillId="4" borderId="52" xfId="0" applyFont="1" applyFill="1" applyBorder="1" applyAlignment="1">
      <alignment horizontal="center" vertical="center"/>
    </xf>
    <xf numFmtId="0" fontId="1" fillId="4" borderId="54"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5" xfId="0" applyFont="1" applyFill="1" applyBorder="1" applyAlignment="1">
      <alignment horizontal="center" vertical="center"/>
    </xf>
    <xf numFmtId="0" fontId="0" fillId="0" borderId="62" xfId="0" applyFont="1" applyBorder="1" applyAlignment="1">
      <alignment horizontal="center" wrapText="1"/>
    </xf>
    <xf numFmtId="0" fontId="0" fillId="0" borderId="63" xfId="0" applyFont="1" applyBorder="1" applyAlignment="1">
      <alignment horizontal="center" wrapText="1"/>
    </xf>
    <xf numFmtId="0" fontId="0" fillId="0" borderId="26" xfId="0" applyFont="1" applyBorder="1" applyAlignment="1">
      <alignment horizontal="center" wrapText="1"/>
    </xf>
    <xf numFmtId="0" fontId="0" fillId="0" borderId="64" xfId="0" applyBorder="1" applyAlignment="1">
      <alignment horizontal="center" vertical="center"/>
    </xf>
    <xf numFmtId="0" fontId="0" fillId="0" borderId="3" xfId="0" applyBorder="1" applyAlignment="1">
      <alignment horizontal="center" vertical="center"/>
    </xf>
    <xf numFmtId="0" fontId="0" fillId="0" borderId="48" xfId="0" applyBorder="1" applyAlignment="1">
      <alignment horizontal="center" vertical="center"/>
    </xf>
    <xf numFmtId="9" fontId="0" fillId="0" borderId="65" xfId="0" applyNumberFormat="1" applyBorder="1" applyAlignment="1">
      <alignment horizontal="center" vertical="center"/>
    </xf>
    <xf numFmtId="9" fontId="0" fillId="0" borderId="66" xfId="0" applyNumberFormat="1" applyBorder="1" applyAlignment="1">
      <alignment horizontal="center" vertical="center"/>
    </xf>
    <xf numFmtId="9" fontId="0" fillId="0" borderId="49" xfId="0" applyNumberFormat="1" applyBorder="1" applyAlignment="1">
      <alignment horizontal="center" vertical="center"/>
    </xf>
    <xf numFmtId="0" fontId="0" fillId="0" borderId="62" xfId="0" applyFont="1" applyBorder="1" applyAlignment="1">
      <alignment horizontal="center" vertical="center" wrapText="1"/>
    </xf>
    <xf numFmtId="0" fontId="0" fillId="0" borderId="63"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79" xfId="0" applyBorder="1" applyAlignment="1">
      <alignment horizontal="center"/>
    </xf>
    <xf numFmtId="0" fontId="0" fillId="0" borderId="67" xfId="0" applyBorder="1" applyAlignment="1">
      <alignment horizontal="center"/>
    </xf>
    <xf numFmtId="0" fontId="0" fillId="0" borderId="27" xfId="0" applyBorder="1" applyAlignment="1">
      <alignment horizontal="center"/>
    </xf>
    <xf numFmtId="0" fontId="1" fillId="7" borderId="78" xfId="0" applyFont="1" applyFill="1" applyBorder="1" applyAlignment="1">
      <alignment horizontal="center" vertical="center" wrapText="1"/>
    </xf>
    <xf numFmtId="0" fontId="1" fillId="7" borderId="78" xfId="0" applyFont="1" applyFill="1" applyBorder="1" applyAlignment="1">
      <alignment horizontal="center" vertical="center"/>
    </xf>
    <xf numFmtId="0" fontId="1" fillId="7" borderId="78" xfId="0" applyFont="1" applyFill="1" applyBorder="1" applyAlignment="1">
      <alignment horizontal="center" wrapText="1"/>
    </xf>
    <xf numFmtId="0" fontId="0" fillId="2" borderId="16" xfId="0" applyFill="1" applyBorder="1" applyAlignment="1">
      <alignment horizontal="center"/>
    </xf>
    <xf numFmtId="0" fontId="0" fillId="2" borderId="61" xfId="0" applyFill="1" applyBorder="1" applyAlignment="1">
      <alignment horizontal="center" wrapText="1"/>
    </xf>
    <xf numFmtId="0" fontId="0" fillId="2" borderId="18"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1" fillId="3" borderId="44" xfId="0" applyFont="1" applyFill="1" applyBorder="1" applyAlignment="1">
      <alignment horizontal="center"/>
    </xf>
    <xf numFmtId="0" fontId="1" fillId="3" borderId="45" xfId="0" applyFont="1" applyFill="1" applyBorder="1" applyAlignment="1">
      <alignment horizontal="center"/>
    </xf>
    <xf numFmtId="0" fontId="0" fillId="0" borderId="4" xfId="0" applyBorder="1" applyAlignment="1">
      <alignment horizontal="center"/>
    </xf>
    <xf numFmtId="0" fontId="0" fillId="2" borderId="77" xfId="0" applyFill="1" applyBorder="1" applyAlignment="1">
      <alignment horizontal="center"/>
    </xf>
    <xf numFmtId="0" fontId="0" fillId="2" borderId="69" xfId="0" applyFill="1" applyBorder="1" applyAlignment="1">
      <alignment horizontal="center"/>
    </xf>
    <xf numFmtId="0" fontId="0" fillId="0" borderId="26" xfId="0" applyBorder="1" applyAlignment="1">
      <alignment horizontal="center"/>
    </xf>
    <xf numFmtId="0" fontId="0" fillId="0" borderId="48" xfId="0" applyBorder="1" applyAlignment="1">
      <alignment horizontal="center"/>
    </xf>
    <xf numFmtId="0" fontId="1" fillId="5" borderId="44" xfId="0" applyFont="1" applyFill="1" applyBorder="1" applyAlignment="1">
      <alignment horizontal="center"/>
    </xf>
    <xf numFmtId="0" fontId="0" fillId="5" borderId="45" xfId="0" applyFill="1" applyBorder="1" applyAlignment="1">
      <alignment horizontal="center"/>
    </xf>
    <xf numFmtId="0" fontId="0" fillId="5" borderId="46" xfId="0" applyFill="1" applyBorder="1" applyAlignment="1">
      <alignment horizontal="center"/>
    </xf>
    <xf numFmtId="0" fontId="0" fillId="3" borderId="24" xfId="0" applyFont="1" applyFill="1" applyBorder="1" applyAlignment="1">
      <alignment horizontal="center"/>
    </xf>
    <xf numFmtId="0" fontId="0" fillId="3" borderId="11" xfId="0" applyFont="1" applyFill="1" applyBorder="1" applyAlignment="1">
      <alignment horizontal="center"/>
    </xf>
    <xf numFmtId="0" fontId="0" fillId="3" borderId="12" xfId="0" applyFont="1" applyFill="1" applyBorder="1" applyAlignment="1">
      <alignment horizontal="center"/>
    </xf>
    <xf numFmtId="0" fontId="1" fillId="3" borderId="24" xfId="0" applyFont="1" applyFill="1" applyBorder="1" applyAlignment="1">
      <alignment horizontal="center"/>
    </xf>
    <xf numFmtId="0" fontId="1" fillId="3" borderId="11" xfId="0" applyFont="1" applyFill="1" applyBorder="1" applyAlignment="1">
      <alignment horizontal="center"/>
    </xf>
    <xf numFmtId="0" fontId="1" fillId="3" borderId="12" xfId="0" applyFont="1" applyFill="1" applyBorder="1" applyAlignment="1">
      <alignment horizontal="center"/>
    </xf>
    <xf numFmtId="0" fontId="0" fillId="0" borderId="4" xfId="0" applyBorder="1" applyAlignment="1">
      <alignment horizontal="center" vertical="center"/>
    </xf>
    <xf numFmtId="9" fontId="0" fillId="0" borderId="64" xfId="0" applyNumberFormat="1" applyBorder="1" applyAlignment="1">
      <alignment horizontal="center" vertical="center"/>
    </xf>
    <xf numFmtId="9" fontId="0" fillId="0" borderId="3" xfId="0" applyNumberFormat="1" applyBorder="1" applyAlignment="1">
      <alignment horizontal="center" vertical="center"/>
    </xf>
    <xf numFmtId="9" fontId="0" fillId="0" borderId="48" xfId="0" applyNumberFormat="1"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0" borderId="49" xfId="0" applyBorder="1" applyAlignment="1">
      <alignment horizontal="center" vertical="center"/>
    </xf>
    <xf numFmtId="0" fontId="1" fillId="4" borderId="46" xfId="0" applyFont="1" applyFill="1" applyBorder="1" applyAlignment="1">
      <alignment horizontal="center" vertical="center"/>
    </xf>
    <xf numFmtId="0" fontId="1" fillId="4" borderId="58" xfId="0" applyFont="1" applyFill="1" applyBorder="1" applyAlignment="1">
      <alignment horizontal="center" vertical="center"/>
    </xf>
    <xf numFmtId="0" fontId="0" fillId="0" borderId="15" xfId="0" applyBorder="1" applyAlignment="1">
      <alignment horizontal="center" vertical="center"/>
    </xf>
    <xf numFmtId="0" fontId="0" fillId="0" borderId="20" xfId="0" applyBorder="1" applyAlignment="1">
      <alignment horizontal="center" vertical="center"/>
    </xf>
    <xf numFmtId="0" fontId="0" fillId="0" borderId="67" xfId="0" applyBorder="1" applyAlignment="1">
      <alignment horizontal="center" vertical="center"/>
    </xf>
    <xf numFmtId="0" fontId="0" fillId="0" borderId="69" xfId="0" applyBorder="1" applyAlignment="1">
      <alignment horizontal="center" vertical="center"/>
    </xf>
    <xf numFmtId="0" fontId="0" fillId="0" borderId="14" xfId="0" applyBorder="1" applyAlignment="1">
      <alignment horizontal="center" vertical="center"/>
    </xf>
    <xf numFmtId="0" fontId="1" fillId="4" borderId="70" xfId="0" applyFont="1" applyFill="1" applyBorder="1" applyAlignment="1">
      <alignment horizontal="center" vertical="center"/>
    </xf>
    <xf numFmtId="0" fontId="1" fillId="4" borderId="71" xfId="0" applyFont="1" applyFill="1" applyBorder="1" applyAlignment="1">
      <alignment horizontal="center" vertical="center"/>
    </xf>
    <xf numFmtId="0" fontId="1" fillId="7" borderId="12" xfId="0" applyFont="1" applyFill="1" applyBorder="1" applyAlignment="1">
      <alignment horizontal="center" wrapText="1"/>
    </xf>
    <xf numFmtId="0" fontId="0" fillId="0" borderId="26" xfId="0" applyBorder="1" applyAlignment="1">
      <alignment horizontal="center" wrapText="1"/>
    </xf>
    <xf numFmtId="0" fontId="0" fillId="0" borderId="0" xfId="0" applyAlignment="1">
      <alignment horizontal="center" vertical="center"/>
    </xf>
    <xf numFmtId="0" fontId="1" fillId="3" borderId="24" xfId="0" applyFont="1" applyFill="1" applyBorder="1" applyAlignment="1">
      <alignment horizontal="center" vertical="center"/>
    </xf>
    <xf numFmtId="0" fontId="1" fillId="3" borderId="11" xfId="0" applyFont="1" applyFill="1" applyBorder="1" applyAlignment="1">
      <alignment horizontal="center" vertical="center"/>
    </xf>
    <xf numFmtId="0" fontId="1" fillId="3" borderId="12" xfId="0" applyFont="1" applyFill="1" applyBorder="1" applyAlignment="1">
      <alignment horizontal="center" vertical="center"/>
    </xf>
    <xf numFmtId="0" fontId="0" fillId="0" borderId="49" xfId="0" applyBorder="1" applyAlignment="1">
      <alignment horizontal="center"/>
    </xf>
    <xf numFmtId="0" fontId="0" fillId="0" borderId="60" xfId="0" applyBorder="1" applyAlignment="1">
      <alignment horizontal="center"/>
    </xf>
    <xf numFmtId="0" fontId="1" fillId="10" borderId="2" xfId="0" applyFont="1" applyFill="1" applyBorder="1" applyAlignment="1">
      <alignment horizontal="center"/>
    </xf>
    <xf numFmtId="0" fontId="1" fillId="13" borderId="2" xfId="0" applyFont="1" applyFill="1" applyBorder="1" applyAlignment="1">
      <alignment horizontal="center"/>
    </xf>
    <xf numFmtId="0" fontId="0" fillId="13" borderId="2" xfId="0" applyFill="1" applyBorder="1" applyAlignment="1">
      <alignment horizontal="center"/>
    </xf>
    <xf numFmtId="0" fontId="0" fillId="10" borderId="2" xfId="0" applyFill="1" applyBorder="1" applyAlignment="1">
      <alignment horizontal="center"/>
    </xf>
    <xf numFmtId="0" fontId="0" fillId="0" borderId="2" xfId="0" quotePrefix="1" applyBorder="1" applyAlignment="1">
      <alignment horizontal="center"/>
    </xf>
    <xf numFmtId="0" fontId="0" fillId="11" borderId="2" xfId="0" applyFill="1" applyBorder="1" applyAlignment="1">
      <alignment horizontal="left" vertical="center"/>
    </xf>
    <xf numFmtId="0" fontId="1" fillId="7" borderId="44" xfId="0" applyFont="1" applyFill="1" applyBorder="1" applyAlignment="1">
      <alignment horizontal="center" vertical="center" wrapText="1"/>
    </xf>
    <xf numFmtId="0" fontId="1" fillId="7" borderId="45" xfId="0" applyFont="1" applyFill="1" applyBorder="1" applyAlignment="1">
      <alignment horizontal="center" vertical="center" wrapText="1"/>
    </xf>
    <xf numFmtId="0" fontId="1" fillId="7" borderId="72" xfId="0" applyFont="1" applyFill="1" applyBorder="1" applyAlignment="1">
      <alignment horizontal="center" vertical="center" wrapText="1"/>
    </xf>
    <xf numFmtId="0" fontId="1" fillId="7" borderId="0" xfId="0" applyFont="1" applyFill="1" applyBorder="1" applyAlignment="1">
      <alignment horizontal="center" vertical="center" wrapText="1"/>
    </xf>
    <xf numFmtId="0" fontId="1" fillId="7" borderId="57" xfId="0" applyFont="1" applyFill="1" applyBorder="1" applyAlignment="1">
      <alignment horizontal="center" vertical="center" wrapText="1"/>
    </xf>
    <xf numFmtId="0" fontId="1" fillId="7" borderId="47" xfId="0" applyFont="1" applyFill="1" applyBorder="1" applyAlignment="1">
      <alignment horizontal="center" vertical="center" wrapText="1"/>
    </xf>
    <xf numFmtId="0" fontId="1" fillId="7" borderId="46" xfId="0" applyFont="1" applyFill="1" applyBorder="1" applyAlignment="1">
      <alignment horizontal="center" vertical="center" wrapText="1"/>
    </xf>
    <xf numFmtId="0" fontId="1" fillId="7" borderId="10" xfId="0" applyFont="1" applyFill="1" applyBorder="1" applyAlignment="1">
      <alignment horizontal="center" vertical="center" wrapText="1"/>
    </xf>
    <xf numFmtId="0" fontId="1" fillId="7" borderId="58" xfId="0" applyFont="1" applyFill="1" applyBorder="1" applyAlignment="1">
      <alignment horizontal="center" vertical="center" wrapText="1"/>
    </xf>
    <xf numFmtId="0" fontId="1" fillId="12" borderId="2" xfId="0" applyFont="1" applyFill="1" applyBorder="1" applyAlignment="1">
      <alignment horizontal="center"/>
    </xf>
    <xf numFmtId="0" fontId="0" fillId="12" borderId="2" xfId="0" applyFill="1" applyBorder="1" applyAlignment="1">
      <alignment horizontal="center"/>
    </xf>
    <xf numFmtId="0" fontId="0" fillId="0" borderId="2" xfId="0" applyFont="1" applyFill="1" applyBorder="1" applyAlignment="1"/>
    <xf numFmtId="0" fontId="0" fillId="0" borderId="2" xfId="0" applyBorder="1" applyAlignment="1"/>
    <xf numFmtId="0" fontId="0" fillId="0" borderId="2" xfId="0" applyBorder="1" applyAlignment="1">
      <alignment wrapText="1"/>
    </xf>
    <xf numFmtId="0" fontId="0" fillId="0" borderId="2" xfId="0" applyBorder="1" applyAlignment="1">
      <alignment vertical="center"/>
    </xf>
    <xf numFmtId="0" fontId="1" fillId="3" borderId="21" xfId="0" applyFont="1" applyFill="1" applyBorder="1" applyAlignment="1">
      <alignment horizontal="center"/>
    </xf>
    <xf numFmtId="0" fontId="0" fillId="3" borderId="23" xfId="0" applyFill="1" applyBorder="1" applyAlignment="1">
      <alignment horizontal="center"/>
    </xf>
    <xf numFmtId="0" fontId="0" fillId="3" borderId="50" xfId="0" applyFill="1" applyBorder="1" applyAlignment="1">
      <alignment horizontal="center"/>
    </xf>
    <xf numFmtId="0" fontId="1" fillId="4" borderId="24" xfId="0" applyFont="1" applyFill="1" applyBorder="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1" fillId="14" borderId="21" xfId="0" applyFont="1" applyFill="1" applyBorder="1" applyAlignment="1">
      <alignment horizontal="center"/>
    </xf>
    <xf numFmtId="0" fontId="0" fillId="14" borderId="23" xfId="0" applyFill="1" applyBorder="1" applyAlignment="1">
      <alignment horizontal="center"/>
    </xf>
    <xf numFmtId="0" fontId="0" fillId="14" borderId="50" xfId="0" applyFill="1" applyBorder="1" applyAlignment="1">
      <alignment horizontal="center"/>
    </xf>
    <xf numFmtId="0" fontId="0" fillId="3" borderId="11" xfId="0" applyFill="1" applyBorder="1" applyAlignment="1">
      <alignment horizontal="center"/>
    </xf>
    <xf numFmtId="0" fontId="0" fillId="3" borderId="12" xfId="0" applyFill="1" applyBorder="1" applyAlignment="1">
      <alignment horizontal="center"/>
    </xf>
    <xf numFmtId="0" fontId="1" fillId="4" borderId="21" xfId="0" applyFont="1" applyFill="1" applyBorder="1" applyAlignment="1">
      <alignment horizontal="center" wrapText="1"/>
    </xf>
    <xf numFmtId="0" fontId="0" fillId="4" borderId="23" xfId="0" applyFill="1" applyBorder="1" applyAlignment="1">
      <alignment horizontal="center"/>
    </xf>
    <xf numFmtId="0" fontId="0" fillId="4" borderId="50" xfId="0" applyFill="1" applyBorder="1" applyAlignment="1">
      <alignment horizontal="center"/>
    </xf>
    <xf numFmtId="0" fontId="0" fillId="11" borderId="64" xfId="0" applyFill="1" applyBorder="1" applyAlignment="1">
      <alignment horizontal="left" vertical="center"/>
    </xf>
    <xf numFmtId="0" fontId="0" fillId="0" borderId="3" xfId="0" quotePrefix="1" applyBorder="1" applyAlignment="1">
      <alignment horizontal="center"/>
    </xf>
    <xf numFmtId="0" fontId="1" fillId="10" borderId="78" xfId="0" applyFont="1" applyFill="1" applyBorder="1"/>
    <xf numFmtId="0" fontId="1" fillId="6" borderId="78" xfId="0" applyFont="1" applyFill="1" applyBorder="1"/>
    <xf numFmtId="0" fontId="0" fillId="11" borderId="48" xfId="0" applyFont="1" applyFill="1" applyBorder="1" applyAlignment="1">
      <alignment horizontal="left" vertical="center" wrapText="1"/>
    </xf>
    <xf numFmtId="0" fontId="0" fillId="11" borderId="0" xfId="0" applyFont="1" applyFill="1" applyBorder="1" applyAlignment="1">
      <alignment horizontal="center" vertical="center" wrapText="1"/>
    </xf>
    <xf numFmtId="0" fontId="0" fillId="4" borderId="0" xfId="0" applyFont="1" applyFill="1" applyBorder="1" applyAlignment="1">
      <alignment horizontal="left" vertical="center" wrapText="1"/>
    </xf>
    <xf numFmtId="0" fontId="0" fillId="14" borderId="0" xfId="0" applyFont="1" applyFill="1" applyBorder="1" applyAlignment="1">
      <alignment horizontal="left" vertical="center" wrapText="1"/>
    </xf>
    <xf numFmtId="0" fontId="1" fillId="6" borderId="70" xfId="0" applyFont="1" applyFill="1" applyBorder="1"/>
    <xf numFmtId="0" fontId="0" fillId="11" borderId="44" xfId="0" applyFont="1" applyFill="1" applyBorder="1" applyAlignment="1">
      <alignment horizontal="center" vertical="center" wrapText="1"/>
    </xf>
    <xf numFmtId="0" fontId="0" fillId="11" borderId="45" xfId="0" applyFont="1" applyFill="1" applyBorder="1" applyAlignment="1">
      <alignment horizontal="center" vertical="center" wrapText="1"/>
    </xf>
    <xf numFmtId="0" fontId="0" fillId="11" borderId="46" xfId="0" applyFont="1" applyFill="1" applyBorder="1" applyAlignment="1">
      <alignment horizontal="center" vertical="center" wrapText="1"/>
    </xf>
    <xf numFmtId="0" fontId="0" fillId="11" borderId="72" xfId="0" applyFont="1" applyFill="1" applyBorder="1" applyAlignment="1">
      <alignment horizontal="center" vertical="center" wrapText="1"/>
    </xf>
    <xf numFmtId="0" fontId="0" fillId="11" borderId="10" xfId="0" applyFont="1" applyFill="1" applyBorder="1" applyAlignment="1">
      <alignment horizontal="center" vertical="center" wrapText="1"/>
    </xf>
    <xf numFmtId="0" fontId="0" fillId="4" borderId="72" xfId="0" applyFont="1" applyFill="1" applyBorder="1" applyAlignment="1">
      <alignment horizontal="left" vertical="center" wrapText="1"/>
    </xf>
    <xf numFmtId="0" fontId="0" fillId="4" borderId="10" xfId="0" applyFont="1" applyFill="1" applyBorder="1" applyAlignment="1">
      <alignment horizontal="left" vertical="center" wrapText="1"/>
    </xf>
    <xf numFmtId="0" fontId="0" fillId="4" borderId="57" xfId="0" applyFont="1" applyFill="1" applyBorder="1" applyAlignment="1">
      <alignment horizontal="left" vertical="center" wrapText="1"/>
    </xf>
    <xf numFmtId="0" fontId="0" fillId="4" borderId="47" xfId="0" applyFont="1" applyFill="1" applyBorder="1" applyAlignment="1">
      <alignment horizontal="left" vertical="center" wrapText="1"/>
    </xf>
    <xf numFmtId="0" fontId="0" fillId="4" borderId="58" xfId="0" applyFont="1" applyFill="1" applyBorder="1" applyAlignment="1">
      <alignment horizontal="left" vertical="center" wrapText="1"/>
    </xf>
    <xf numFmtId="0" fontId="0" fillId="11" borderId="57" xfId="0" applyFont="1" applyFill="1" applyBorder="1" applyAlignment="1">
      <alignment horizontal="center" vertical="center" wrapText="1"/>
    </xf>
    <xf numFmtId="0" fontId="0" fillId="11" borderId="47" xfId="0" applyFont="1" applyFill="1" applyBorder="1" applyAlignment="1">
      <alignment horizontal="center" vertical="center" wrapText="1"/>
    </xf>
    <xf numFmtId="0" fontId="0" fillId="11" borderId="58" xfId="0" applyFont="1" applyFill="1" applyBorder="1" applyAlignment="1">
      <alignment horizontal="center" vertical="center" wrapText="1"/>
    </xf>
    <xf numFmtId="0" fontId="0" fillId="14" borderId="44" xfId="0" applyFont="1" applyFill="1" applyBorder="1" applyAlignment="1">
      <alignment horizontal="left" vertical="center" wrapText="1"/>
    </xf>
    <xf numFmtId="0" fontId="0" fillId="14" borderId="45" xfId="0" applyFont="1" applyFill="1" applyBorder="1" applyAlignment="1">
      <alignment horizontal="left" vertical="center" wrapText="1"/>
    </xf>
    <xf numFmtId="0" fontId="0" fillId="14" borderId="46" xfId="0" applyFont="1" applyFill="1" applyBorder="1" applyAlignment="1">
      <alignment horizontal="left" vertical="center" wrapText="1"/>
    </xf>
    <xf numFmtId="0" fontId="0" fillId="14" borderId="72" xfId="0" applyFont="1" applyFill="1" applyBorder="1" applyAlignment="1">
      <alignment horizontal="left" vertical="center" wrapText="1"/>
    </xf>
    <xf numFmtId="0" fontId="0" fillId="14" borderId="10" xfId="0" applyFont="1" applyFill="1" applyBorder="1" applyAlignment="1">
      <alignment horizontal="left" vertical="center" wrapText="1"/>
    </xf>
    <xf numFmtId="0" fontId="0" fillId="14" borderId="57" xfId="0" applyFont="1" applyFill="1" applyBorder="1" applyAlignment="1">
      <alignment horizontal="left" vertical="center" wrapText="1"/>
    </xf>
    <xf numFmtId="0" fontId="0" fillId="14" borderId="47" xfId="0" applyFont="1" applyFill="1" applyBorder="1" applyAlignment="1">
      <alignment horizontal="left" vertical="center" wrapText="1"/>
    </xf>
    <xf numFmtId="0" fontId="0" fillId="14" borderId="58" xfId="0" applyFont="1" applyFill="1" applyBorder="1" applyAlignment="1">
      <alignment horizontal="left" vertical="center" wrapText="1"/>
    </xf>
    <xf numFmtId="0" fontId="8" fillId="3" borderId="12" xfId="0" applyFont="1" applyFill="1" applyBorder="1" applyAlignment="1">
      <alignment horizontal="center"/>
    </xf>
    <xf numFmtId="0" fontId="9" fillId="3" borderId="24" xfId="0" applyFont="1" applyFill="1" applyBorder="1" applyAlignment="1">
      <alignment horizontal="center"/>
    </xf>
  </cellXfs>
  <cellStyles count="1">
    <cellStyle name="Normal" xfId="0" builtinId="0"/>
  </cellStyles>
  <dxfs count="3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medium">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medium">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medium">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medium">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medium">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medium">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medium">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medium">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medium">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medium">
          <color auto="1"/>
        </right>
        <top style="thin">
          <color auto="1"/>
        </top>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medium">
          <color indexed="64"/>
        </left>
        <right/>
        <top style="thin">
          <color indexed="64"/>
        </top>
        <bottom/>
        <vertical/>
        <horizontal/>
      </border>
    </dxf>
    <dxf>
      <border outline="0">
        <right style="medium">
          <color indexed="64"/>
        </right>
        <bottom style="medium">
          <color indexed="64"/>
        </bottom>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ivotCacheDefinition" Target="pivotCache/pivotCacheDefinition19.xml"/><Relationship Id="rId39" Type="http://schemas.openxmlformats.org/officeDocument/2006/relationships/sheetMetadata" Target="metadata.xml"/><Relationship Id="rId21" Type="http://schemas.openxmlformats.org/officeDocument/2006/relationships/pivotCacheDefinition" Target="pivotCache/pivotCacheDefinition14.xml"/><Relationship Id="rId34" Type="http://schemas.openxmlformats.org/officeDocument/2006/relationships/pivotTable" Target="pivotTables/pivotTable5.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ivotCacheDefinition" Target="pivotCache/pivotCacheDefinition2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pivotTable" Target="pivotTables/pivotTable3.xml"/><Relationship Id="rId37" Type="http://schemas.openxmlformats.org/officeDocument/2006/relationships/styles" Target="style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5" Type="http://schemas.openxmlformats.org/officeDocument/2006/relationships/worksheet" Target="worksheets/sheet5.xml"/><Relationship Id="rId19" Type="http://schemas.openxmlformats.org/officeDocument/2006/relationships/pivotCacheDefinition" Target="pivotCache/pivotCacheDefinition1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Table" Target="pivotTables/pivotTable1.xml"/><Relationship Id="rId35" Type="http://schemas.openxmlformats.org/officeDocument/2006/relationships/theme" Target="theme/theme1.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8" Type="http://schemas.openxmlformats.org/officeDocument/2006/relationships/pivotCacheDefinition" Target="pivotCache/pivotCacheDefinition1.xml"/><Relationship Id="rId51"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pivotTable" Target="pivotTables/pivotTable4.xml"/><Relationship Id="rId38" Type="http://schemas.openxmlformats.org/officeDocument/2006/relationships/sharedStrings" Target="sharedStrings.xml"/><Relationship Id="rId46" Type="http://schemas.openxmlformats.org/officeDocument/2006/relationships/customXml" Target="../customXml/item5.xml"/><Relationship Id="rId59" Type="http://schemas.openxmlformats.org/officeDocument/2006/relationships/customXml" Target="../customXml/item18.xml"/><Relationship Id="rId20" Type="http://schemas.openxmlformats.org/officeDocument/2006/relationships/pivotCacheDefinition" Target="pivotCache/pivotCacheDefinition13.xml"/><Relationship Id="rId41" Type="http://schemas.openxmlformats.org/officeDocument/2006/relationships/calcChain" Target="calcChain.xml"/><Relationship Id="rId54"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connections" Target="connection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3.xml"/><Relationship Id="rId31" Type="http://schemas.openxmlformats.org/officeDocument/2006/relationships/pivotTable" Target="pivotTables/pivotTable2.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sz="1400" b="0" i="0" baseline="0">
                <a:effectLst/>
              </a:rPr>
              <a:t>Overall Respondents by Gender, Area of Residence, and Age</a:t>
            </a:r>
            <a:endParaRPr lang="en-PH"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Female</c:v>
          </c:tx>
          <c:spPr>
            <a:solidFill>
              <a:schemeClr val="accent1"/>
            </a:solidFill>
            <a:ln>
              <a:noFill/>
            </a:ln>
            <a:effectLst/>
          </c:spPr>
          <c:invertIfNegative val="0"/>
          <c:cat>
            <c:strLit>
              <c:ptCount val="20"/>
              <c:pt idx="0">
                <c:v>Alitagtag
19 - 24</c:v>
              </c:pt>
              <c:pt idx="1">
                <c:v>Batangas City
19 - 24</c:v>
              </c:pt>
              <c:pt idx="2">
                <c:v>Lipa City
19 - 24</c:v>
              </c:pt>
              <c:pt idx="3">
                <c:v>San Jose
19 - 24</c:v>
              </c:pt>
              <c:pt idx="4">
                <c:v>San Juan
19 - 24</c:v>
              </c:pt>
              <c:pt idx="5">
                <c:v>Santa Teresita
19 - 24</c:v>
              </c:pt>
              <c:pt idx="6">
                <c:v>Taysan
19 - 24</c:v>
              </c:pt>
              <c:pt idx="7">
                <c:v>Batangas City
25 - 29</c:v>
              </c:pt>
              <c:pt idx="8">
                <c:v>Cuenca
25 - 29</c:v>
              </c:pt>
              <c:pt idx="9">
                <c:v>Ibaan
25 - 29</c:v>
              </c:pt>
              <c:pt idx="10">
                <c:v>Lipa City
25 - 29</c:v>
              </c:pt>
              <c:pt idx="11">
                <c:v>Rosario
30 - 34</c:v>
              </c:pt>
              <c:pt idx="12">
                <c:v>Tanauan
30 - 34</c:v>
              </c:pt>
              <c:pt idx="13">
                <c:v>Ibaan
35 - 39</c:v>
              </c:pt>
              <c:pt idx="14">
                <c:v>Lipa City
35 - 39</c:v>
              </c:pt>
              <c:pt idx="15">
                <c:v>Alitagtag
40 - 44</c:v>
              </c:pt>
              <c:pt idx="16">
                <c:v>Lipa City
40 - 44</c:v>
              </c:pt>
              <c:pt idx="17">
                <c:v>Cuenca
45 - 49</c:v>
              </c:pt>
              <c:pt idx="18">
                <c:v>Lipa City
45 - 49</c:v>
              </c:pt>
              <c:pt idx="19">
                <c:v>Rosario
45 - 49</c:v>
              </c:pt>
            </c:strLit>
          </c:cat>
          <c:val>
            <c:numLit>
              <c:formatCode>General</c:formatCode>
              <c:ptCount val="20"/>
              <c:pt idx="0">
                <c:v>1</c:v>
              </c:pt>
              <c:pt idx="1">
                <c:v>4</c:v>
              </c:pt>
              <c:pt idx="2">
                <c:v>1</c:v>
              </c:pt>
              <c:pt idx="7">
                <c:v>1</c:v>
              </c:pt>
              <c:pt idx="9">
                <c:v>1</c:v>
              </c:pt>
              <c:pt idx="10">
                <c:v>2</c:v>
              </c:pt>
              <c:pt idx="11">
                <c:v>1</c:v>
              </c:pt>
              <c:pt idx="12">
                <c:v>2</c:v>
              </c:pt>
              <c:pt idx="14">
                <c:v>1</c:v>
              </c:pt>
              <c:pt idx="15">
                <c:v>1</c:v>
              </c:pt>
              <c:pt idx="16">
                <c:v>1</c:v>
              </c:pt>
              <c:pt idx="18">
                <c:v>1</c:v>
              </c:pt>
            </c:numLit>
          </c:val>
          <c:extLst>
            <c:ext xmlns:c16="http://schemas.microsoft.com/office/drawing/2014/chart" uri="{C3380CC4-5D6E-409C-BE32-E72D297353CC}">
              <c16:uniqueId val="{00000000-1E87-45D3-8EB4-044BD8B7EFF3}"/>
            </c:ext>
          </c:extLst>
        </c:ser>
        <c:ser>
          <c:idx val="1"/>
          <c:order val="1"/>
          <c:tx>
            <c:v>Male</c:v>
          </c:tx>
          <c:spPr>
            <a:solidFill>
              <a:schemeClr val="accent2"/>
            </a:solidFill>
            <a:ln>
              <a:noFill/>
            </a:ln>
            <a:effectLst/>
          </c:spPr>
          <c:invertIfNegative val="0"/>
          <c:cat>
            <c:strLit>
              <c:ptCount val="20"/>
              <c:pt idx="0">
                <c:v>Alitagtag
19 - 24</c:v>
              </c:pt>
              <c:pt idx="1">
                <c:v>Batangas City
19 - 24</c:v>
              </c:pt>
              <c:pt idx="2">
                <c:v>Lipa City
19 - 24</c:v>
              </c:pt>
              <c:pt idx="3">
                <c:v>San Jose
19 - 24</c:v>
              </c:pt>
              <c:pt idx="4">
                <c:v>San Juan
19 - 24</c:v>
              </c:pt>
              <c:pt idx="5">
                <c:v>Santa Teresita
19 - 24</c:v>
              </c:pt>
              <c:pt idx="6">
                <c:v>Taysan
19 - 24</c:v>
              </c:pt>
              <c:pt idx="7">
                <c:v>Batangas City
25 - 29</c:v>
              </c:pt>
              <c:pt idx="8">
                <c:v>Cuenca
25 - 29</c:v>
              </c:pt>
              <c:pt idx="9">
                <c:v>Ibaan
25 - 29</c:v>
              </c:pt>
              <c:pt idx="10">
                <c:v>Lipa City
25 - 29</c:v>
              </c:pt>
              <c:pt idx="11">
                <c:v>Rosario
30 - 34</c:v>
              </c:pt>
              <c:pt idx="12">
                <c:v>Tanauan
30 - 34</c:v>
              </c:pt>
              <c:pt idx="13">
                <c:v>Ibaan
35 - 39</c:v>
              </c:pt>
              <c:pt idx="14">
                <c:v>Lipa City
35 - 39</c:v>
              </c:pt>
              <c:pt idx="15">
                <c:v>Alitagtag
40 - 44</c:v>
              </c:pt>
              <c:pt idx="16">
                <c:v>Lipa City
40 - 44</c:v>
              </c:pt>
              <c:pt idx="17">
                <c:v>Cuenca
45 - 49</c:v>
              </c:pt>
              <c:pt idx="18">
                <c:v>Lipa City
45 - 49</c:v>
              </c:pt>
              <c:pt idx="19">
                <c:v>Rosario
45 - 49</c:v>
              </c:pt>
            </c:strLit>
          </c:cat>
          <c:val>
            <c:numLit>
              <c:formatCode>General</c:formatCode>
              <c:ptCount val="20"/>
              <c:pt idx="0">
                <c:v>2</c:v>
              </c:pt>
              <c:pt idx="1">
                <c:v>1</c:v>
              </c:pt>
              <c:pt idx="2">
                <c:v>5</c:v>
              </c:pt>
              <c:pt idx="3">
                <c:v>1</c:v>
              </c:pt>
              <c:pt idx="4">
                <c:v>1</c:v>
              </c:pt>
              <c:pt idx="5">
                <c:v>1</c:v>
              </c:pt>
              <c:pt idx="6">
                <c:v>1</c:v>
              </c:pt>
              <c:pt idx="8">
                <c:v>1</c:v>
              </c:pt>
              <c:pt idx="10">
                <c:v>1</c:v>
              </c:pt>
              <c:pt idx="13">
                <c:v>1</c:v>
              </c:pt>
              <c:pt idx="16">
                <c:v>1</c:v>
              </c:pt>
              <c:pt idx="17">
                <c:v>1</c:v>
              </c:pt>
              <c:pt idx="19">
                <c:v>1</c:v>
              </c:pt>
            </c:numLit>
          </c:val>
          <c:extLst>
            <c:ext xmlns:c16="http://schemas.microsoft.com/office/drawing/2014/chart" uri="{C3380CC4-5D6E-409C-BE32-E72D297353CC}">
              <c16:uniqueId val="{00000001-1E87-45D3-8EB4-044BD8B7EFF3}"/>
            </c:ext>
          </c:extLst>
        </c:ser>
        <c:dLbls>
          <c:showLegendKey val="0"/>
          <c:showVal val="0"/>
          <c:showCatName val="0"/>
          <c:showSerName val="0"/>
          <c:showPercent val="0"/>
          <c:showBubbleSize val="0"/>
        </c:dLbls>
        <c:gapWidth val="219"/>
        <c:overlap val="-27"/>
        <c:axId val="1871041440"/>
        <c:axId val="1871042272"/>
      </c:barChart>
      <c:catAx>
        <c:axId val="18710414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Area of Residence</a:t>
                </a:r>
                <a:r>
                  <a:rPr lang="en-PH" baseline="0"/>
                  <a:t> by Age</a:t>
                </a:r>
                <a:endParaRPr lang="en-PH"/>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042272"/>
        <c:crosses val="autoZero"/>
        <c:auto val="1"/>
        <c:lblAlgn val="ctr"/>
        <c:lblOffset val="100"/>
        <c:noMultiLvlLbl val="0"/>
        <c:extLst>
          <c:ext xmlns:c15="http://schemas.microsoft.com/office/drawing/2012/chart" uri="{F40574EE-89B7-4290-83BB-5DA773EAF853}">
            <c15:numFmt c:formatCode="General" c:sourceLinked="1"/>
          </c:ext>
        </c:extLst>
      </c:catAx>
      <c:valAx>
        <c:axId val="1871042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04144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[vergara_aaroncharles_EESB01_capstone.xlsx]PivotChartTable1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Respondents based on Gender</a:t>
            </a:r>
            <a:r>
              <a:rPr lang="en-PH" baseline="0"/>
              <a:t> and Pre-COVID Occupation</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Female</c:v>
          </c:tx>
          <c:spPr>
            <a:solidFill>
              <a:schemeClr val="accent1"/>
            </a:solidFill>
            <a:ln>
              <a:noFill/>
            </a:ln>
            <a:effectLst/>
          </c:spPr>
          <c:invertIfNegative val="0"/>
          <c:cat>
            <c:strLit>
              <c:ptCount val="5"/>
              <c:pt idx="0">
                <c:v>Full-time</c:v>
              </c:pt>
              <c:pt idx="1">
                <c:v>Part-time</c:v>
              </c:pt>
              <c:pt idx="2">
                <c:v>Student</c:v>
              </c:pt>
              <c:pt idx="3">
                <c:v>Unemployed, looking for work</c:v>
              </c:pt>
              <c:pt idx="4">
                <c:v>Unemployed, not looking for work</c:v>
              </c:pt>
            </c:strLit>
          </c:cat>
          <c:val>
            <c:numLit>
              <c:formatCode>General</c:formatCode>
              <c:ptCount val="5"/>
              <c:pt idx="0">
                <c:v>7</c:v>
              </c:pt>
              <c:pt idx="1">
                <c:v>1</c:v>
              </c:pt>
              <c:pt idx="2">
                <c:v>4</c:v>
              </c:pt>
              <c:pt idx="3">
                <c:v>3</c:v>
              </c:pt>
              <c:pt idx="4">
                <c:v>2</c:v>
              </c:pt>
            </c:numLit>
          </c:val>
          <c:extLst>
            <c:ext xmlns:c16="http://schemas.microsoft.com/office/drawing/2014/chart" uri="{C3380CC4-5D6E-409C-BE32-E72D297353CC}">
              <c16:uniqueId val="{00000000-B0EE-4C0D-9E95-B9D39DF0270E}"/>
            </c:ext>
          </c:extLst>
        </c:ser>
        <c:ser>
          <c:idx val="1"/>
          <c:order val="1"/>
          <c:tx>
            <c:v>Male</c:v>
          </c:tx>
          <c:spPr>
            <a:solidFill>
              <a:schemeClr val="accent2"/>
            </a:solidFill>
            <a:ln>
              <a:noFill/>
            </a:ln>
            <a:effectLst/>
          </c:spPr>
          <c:invertIfNegative val="0"/>
          <c:cat>
            <c:strLit>
              <c:ptCount val="5"/>
              <c:pt idx="0">
                <c:v>Full-time</c:v>
              </c:pt>
              <c:pt idx="1">
                <c:v>Part-time</c:v>
              </c:pt>
              <c:pt idx="2">
                <c:v>Student</c:v>
              </c:pt>
              <c:pt idx="3">
                <c:v>Unemployed, looking for work</c:v>
              </c:pt>
              <c:pt idx="4">
                <c:v>Unemployed, not looking for work</c:v>
              </c:pt>
            </c:strLit>
          </c:cat>
          <c:val>
            <c:numLit>
              <c:formatCode>General</c:formatCode>
              <c:ptCount val="5"/>
              <c:pt idx="0">
                <c:v>5</c:v>
              </c:pt>
              <c:pt idx="1">
                <c:v>1</c:v>
              </c:pt>
              <c:pt idx="2">
                <c:v>11</c:v>
              </c:pt>
              <c:pt idx="4">
                <c:v>1</c:v>
              </c:pt>
            </c:numLit>
          </c:val>
          <c:extLst>
            <c:ext xmlns:c16="http://schemas.microsoft.com/office/drawing/2014/chart" uri="{C3380CC4-5D6E-409C-BE32-E72D297353CC}">
              <c16:uniqueId val="{00000001-B0EE-4C0D-9E95-B9D39DF0270E}"/>
            </c:ext>
          </c:extLst>
        </c:ser>
        <c:dLbls>
          <c:showLegendKey val="0"/>
          <c:showVal val="0"/>
          <c:showCatName val="0"/>
          <c:showSerName val="0"/>
          <c:showPercent val="0"/>
          <c:showBubbleSize val="0"/>
        </c:dLbls>
        <c:gapWidth val="219"/>
        <c:overlap val="-27"/>
        <c:axId val="2098689568"/>
        <c:axId val="2098684576"/>
      </c:barChart>
      <c:catAx>
        <c:axId val="2098689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Pre-COVID Occupations of Respondents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684576"/>
        <c:crosses val="autoZero"/>
        <c:auto val="1"/>
        <c:lblAlgn val="ctr"/>
        <c:lblOffset val="100"/>
        <c:noMultiLvlLbl val="0"/>
        <c:extLst>
          <c:ext xmlns:c15="http://schemas.microsoft.com/office/drawing/2012/chart" uri="{F40574EE-89B7-4290-83BB-5DA773EAF853}">
            <c15:numFmt c:formatCode="General" c:sourceLinked="1"/>
          </c:ext>
        </c:extLst>
      </c:catAx>
      <c:valAx>
        <c:axId val="2098684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6895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[vergara_aaroncharles_EESB01_capstone.xlsx]PivotChartTable2</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Respondents based on Gender and Post-COVID</a:t>
            </a:r>
            <a:r>
              <a:rPr lang="en-PH" baseline="0"/>
              <a:t> Occupation</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Female</c:v>
          </c:tx>
          <c:spPr>
            <a:solidFill>
              <a:schemeClr val="accent1"/>
            </a:solidFill>
            <a:ln>
              <a:noFill/>
            </a:ln>
            <a:effectLst/>
          </c:spPr>
          <c:invertIfNegative val="0"/>
          <c:cat>
            <c:strLit>
              <c:ptCount val="5"/>
              <c:pt idx="0">
                <c:v>Full-time</c:v>
              </c:pt>
              <c:pt idx="1">
                <c:v>Part-time</c:v>
              </c:pt>
              <c:pt idx="2">
                <c:v>Student</c:v>
              </c:pt>
              <c:pt idx="3">
                <c:v>Unemployed, looking for work</c:v>
              </c:pt>
              <c:pt idx="4">
                <c:v>Unemployed, not looking for work</c:v>
              </c:pt>
            </c:strLit>
          </c:cat>
          <c:val>
            <c:numLit>
              <c:formatCode>General</c:formatCode>
              <c:ptCount val="5"/>
              <c:pt idx="0">
                <c:v>9</c:v>
              </c:pt>
              <c:pt idx="1">
                <c:v>1</c:v>
              </c:pt>
              <c:pt idx="2">
                <c:v>4</c:v>
              </c:pt>
              <c:pt idx="3">
                <c:v>2</c:v>
              </c:pt>
              <c:pt idx="4">
                <c:v>1</c:v>
              </c:pt>
            </c:numLit>
          </c:val>
          <c:extLst>
            <c:ext xmlns:c16="http://schemas.microsoft.com/office/drawing/2014/chart" uri="{C3380CC4-5D6E-409C-BE32-E72D297353CC}">
              <c16:uniqueId val="{00000000-438B-4E9B-A436-2D15C2683475}"/>
            </c:ext>
          </c:extLst>
        </c:ser>
        <c:ser>
          <c:idx val="1"/>
          <c:order val="1"/>
          <c:tx>
            <c:v>Male</c:v>
          </c:tx>
          <c:spPr>
            <a:solidFill>
              <a:schemeClr val="accent2"/>
            </a:solidFill>
            <a:ln>
              <a:noFill/>
            </a:ln>
            <a:effectLst/>
          </c:spPr>
          <c:invertIfNegative val="0"/>
          <c:cat>
            <c:strLit>
              <c:ptCount val="5"/>
              <c:pt idx="0">
                <c:v>Full-time</c:v>
              </c:pt>
              <c:pt idx="1">
                <c:v>Part-time</c:v>
              </c:pt>
              <c:pt idx="2">
                <c:v>Student</c:v>
              </c:pt>
              <c:pt idx="3">
                <c:v>Unemployed, looking for work</c:v>
              </c:pt>
              <c:pt idx="4">
                <c:v>Unemployed, not looking for work</c:v>
              </c:pt>
            </c:strLit>
          </c:cat>
          <c:val>
            <c:numLit>
              <c:formatCode>General</c:formatCode>
              <c:ptCount val="5"/>
              <c:pt idx="0">
                <c:v>5</c:v>
              </c:pt>
              <c:pt idx="1">
                <c:v>2</c:v>
              </c:pt>
              <c:pt idx="2">
                <c:v>10</c:v>
              </c:pt>
              <c:pt idx="3">
                <c:v>1</c:v>
              </c:pt>
            </c:numLit>
          </c:val>
          <c:extLst>
            <c:ext xmlns:c16="http://schemas.microsoft.com/office/drawing/2014/chart" uri="{C3380CC4-5D6E-409C-BE32-E72D297353CC}">
              <c16:uniqueId val="{00000001-438B-4E9B-A436-2D15C2683475}"/>
            </c:ext>
          </c:extLst>
        </c:ser>
        <c:dLbls>
          <c:showLegendKey val="0"/>
          <c:showVal val="0"/>
          <c:showCatName val="0"/>
          <c:showSerName val="0"/>
          <c:showPercent val="0"/>
          <c:showBubbleSize val="0"/>
        </c:dLbls>
        <c:gapWidth val="219"/>
        <c:overlap val="-27"/>
        <c:axId val="245719984"/>
        <c:axId val="245724560"/>
      </c:barChart>
      <c:catAx>
        <c:axId val="2457199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Post-COVID Occupations</a:t>
                </a:r>
                <a:r>
                  <a:rPr lang="en-PH" baseline="0"/>
                  <a:t> of Respondents</a:t>
                </a:r>
                <a:endParaRPr lang="en-PH"/>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724560"/>
        <c:crosses val="autoZero"/>
        <c:auto val="1"/>
        <c:lblAlgn val="ctr"/>
        <c:lblOffset val="100"/>
        <c:noMultiLvlLbl val="0"/>
        <c:extLst>
          <c:ext xmlns:c15="http://schemas.microsoft.com/office/drawing/2012/chart" uri="{F40574EE-89B7-4290-83BB-5DA773EAF853}">
            <c15:numFmt c:formatCode="General" c:sourceLinked="1"/>
          </c:ext>
        </c:extLst>
      </c:catAx>
      <c:valAx>
        <c:axId val="245724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7199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[vergara_aaroncharles_EESB01_capstone.xlsx]PivotChartTable3</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Distance from School/Work</a:t>
            </a:r>
            <a:r>
              <a:rPr lang="en-PH" baseline="0"/>
              <a:t> during Pre-COVID Conditions by </a:t>
            </a:r>
            <a:r>
              <a:rPr lang="en-PH" sz="1400" b="0" i="0" u="none" strike="noStrike" baseline="0">
                <a:effectLst/>
              </a:rPr>
              <a:t>Area of Residence </a:t>
            </a:r>
            <a:r>
              <a:rPr lang="en-PH"/>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Female</c:v>
          </c:tx>
          <c:spPr>
            <a:solidFill>
              <a:schemeClr val="accent1"/>
            </a:solidFill>
            <a:ln>
              <a:noFill/>
            </a:ln>
            <a:effectLst/>
          </c:spPr>
          <c:invertIfNegative val="0"/>
          <c:cat>
            <c:strLit>
              <c:ptCount val="23"/>
              <c:pt idx="0">
                <c:v>Batangas City
1 km to 5 km</c:v>
              </c:pt>
              <c:pt idx="1">
                <c:v>Lipa City
1 km to 5 km</c:v>
              </c:pt>
              <c:pt idx="2">
                <c:v>Rosario
1 km to 5 km</c:v>
              </c:pt>
              <c:pt idx="3">
                <c:v>Alitagtag
11 km to 15 km</c:v>
              </c:pt>
              <c:pt idx="4">
                <c:v>Batangas City
11 km to 15 km</c:v>
              </c:pt>
              <c:pt idx="5">
                <c:v>Taysan
11 km to 15 km</c:v>
              </c:pt>
              <c:pt idx="6">
                <c:v>Batangas City
16 km to 20 km</c:v>
              </c:pt>
              <c:pt idx="7">
                <c:v>Rosario
16 km to 20 km</c:v>
              </c:pt>
              <c:pt idx="8">
                <c:v>Tanauan
16 km to 20 km</c:v>
              </c:pt>
              <c:pt idx="9">
                <c:v>Lipa City
6 km to 10 km</c:v>
              </c:pt>
              <c:pt idx="10">
                <c:v>Ibaan
Less than 1 km</c:v>
              </c:pt>
              <c:pt idx="11">
                <c:v>Lipa City
Less than 1 km</c:v>
              </c:pt>
              <c:pt idx="12">
                <c:v>San Juan
Less than 1 km</c:v>
              </c:pt>
              <c:pt idx="13">
                <c:v>Alitagtag
More than 20 km</c:v>
              </c:pt>
              <c:pt idx="14">
                <c:v>Cuenca
More than 20 km</c:v>
              </c:pt>
              <c:pt idx="15">
                <c:v>Lipa City
More than 20 km</c:v>
              </c:pt>
              <c:pt idx="16">
                <c:v>San Jose
More than 20 km</c:v>
              </c:pt>
              <c:pt idx="17">
                <c:v>Alitagtag
School/Work at home</c:v>
              </c:pt>
              <c:pt idx="18">
                <c:v>Cuenca
School/Work at home</c:v>
              </c:pt>
              <c:pt idx="19">
                <c:v>Ibaan
School/Work at home</c:v>
              </c:pt>
              <c:pt idx="20">
                <c:v>Lipa City
School/Work at home</c:v>
              </c:pt>
              <c:pt idx="21">
                <c:v>Santa Teresita
School/Work at home</c:v>
              </c:pt>
              <c:pt idx="22">
                <c:v>Tanauan
School/Work at home</c:v>
              </c:pt>
            </c:strLit>
          </c:cat>
          <c:val>
            <c:numLit>
              <c:formatCode>General</c:formatCode>
              <c:ptCount val="23"/>
              <c:pt idx="0">
                <c:v>3</c:v>
              </c:pt>
              <c:pt idx="1">
                <c:v>1</c:v>
              </c:pt>
              <c:pt idx="2">
                <c:v>1</c:v>
              </c:pt>
              <c:pt idx="4">
                <c:v>1</c:v>
              </c:pt>
              <c:pt idx="6">
                <c:v>1</c:v>
              </c:pt>
              <c:pt idx="8">
                <c:v>1</c:v>
              </c:pt>
              <c:pt idx="9">
                <c:v>1</c:v>
              </c:pt>
              <c:pt idx="10">
                <c:v>1</c:v>
              </c:pt>
              <c:pt idx="13">
                <c:v>1</c:v>
              </c:pt>
              <c:pt idx="15">
                <c:v>1</c:v>
              </c:pt>
              <c:pt idx="17">
                <c:v>1</c:v>
              </c:pt>
              <c:pt idx="20">
                <c:v>3</c:v>
              </c:pt>
              <c:pt idx="22">
                <c:v>1</c:v>
              </c:pt>
            </c:numLit>
          </c:val>
          <c:extLst>
            <c:ext xmlns:c16="http://schemas.microsoft.com/office/drawing/2014/chart" uri="{C3380CC4-5D6E-409C-BE32-E72D297353CC}">
              <c16:uniqueId val="{00000000-2C30-43CF-817F-C89FA36DC1E4}"/>
            </c:ext>
          </c:extLst>
        </c:ser>
        <c:ser>
          <c:idx val="1"/>
          <c:order val="1"/>
          <c:tx>
            <c:v>Male</c:v>
          </c:tx>
          <c:spPr>
            <a:solidFill>
              <a:schemeClr val="accent2"/>
            </a:solidFill>
            <a:ln>
              <a:noFill/>
            </a:ln>
            <a:effectLst/>
          </c:spPr>
          <c:invertIfNegative val="0"/>
          <c:cat>
            <c:strLit>
              <c:ptCount val="23"/>
              <c:pt idx="0">
                <c:v>Batangas City
1 km to 5 km</c:v>
              </c:pt>
              <c:pt idx="1">
                <c:v>Lipa City
1 km to 5 km</c:v>
              </c:pt>
              <c:pt idx="2">
                <c:v>Rosario
1 km to 5 km</c:v>
              </c:pt>
              <c:pt idx="3">
                <c:v>Alitagtag
11 km to 15 km</c:v>
              </c:pt>
              <c:pt idx="4">
                <c:v>Batangas City
11 km to 15 km</c:v>
              </c:pt>
              <c:pt idx="5">
                <c:v>Taysan
11 km to 15 km</c:v>
              </c:pt>
              <c:pt idx="6">
                <c:v>Batangas City
16 km to 20 km</c:v>
              </c:pt>
              <c:pt idx="7">
                <c:v>Rosario
16 km to 20 km</c:v>
              </c:pt>
              <c:pt idx="8">
                <c:v>Tanauan
16 km to 20 km</c:v>
              </c:pt>
              <c:pt idx="9">
                <c:v>Lipa City
6 km to 10 km</c:v>
              </c:pt>
              <c:pt idx="10">
                <c:v>Ibaan
Less than 1 km</c:v>
              </c:pt>
              <c:pt idx="11">
                <c:v>Lipa City
Less than 1 km</c:v>
              </c:pt>
              <c:pt idx="12">
                <c:v>San Juan
Less than 1 km</c:v>
              </c:pt>
              <c:pt idx="13">
                <c:v>Alitagtag
More than 20 km</c:v>
              </c:pt>
              <c:pt idx="14">
                <c:v>Cuenca
More than 20 km</c:v>
              </c:pt>
              <c:pt idx="15">
                <c:v>Lipa City
More than 20 km</c:v>
              </c:pt>
              <c:pt idx="16">
                <c:v>San Jose
More than 20 km</c:v>
              </c:pt>
              <c:pt idx="17">
                <c:v>Alitagtag
School/Work at home</c:v>
              </c:pt>
              <c:pt idx="18">
                <c:v>Cuenca
School/Work at home</c:v>
              </c:pt>
              <c:pt idx="19">
                <c:v>Ibaan
School/Work at home</c:v>
              </c:pt>
              <c:pt idx="20">
                <c:v>Lipa City
School/Work at home</c:v>
              </c:pt>
              <c:pt idx="21">
                <c:v>Santa Teresita
School/Work at home</c:v>
              </c:pt>
              <c:pt idx="22">
                <c:v>Tanauan
School/Work at home</c:v>
              </c:pt>
            </c:strLit>
          </c:cat>
          <c:val>
            <c:numLit>
              <c:formatCode>General</c:formatCode>
              <c:ptCount val="23"/>
              <c:pt idx="0">
                <c:v>1</c:v>
              </c:pt>
              <c:pt idx="1">
                <c:v>3</c:v>
              </c:pt>
              <c:pt idx="3">
                <c:v>1</c:v>
              </c:pt>
              <c:pt idx="5">
                <c:v>1</c:v>
              </c:pt>
              <c:pt idx="7">
                <c:v>1</c:v>
              </c:pt>
              <c:pt idx="9">
                <c:v>1</c:v>
              </c:pt>
              <c:pt idx="11">
                <c:v>1</c:v>
              </c:pt>
              <c:pt idx="12">
                <c:v>1</c:v>
              </c:pt>
              <c:pt idx="13">
                <c:v>1</c:v>
              </c:pt>
              <c:pt idx="14">
                <c:v>1</c:v>
              </c:pt>
              <c:pt idx="15">
                <c:v>1</c:v>
              </c:pt>
              <c:pt idx="16">
                <c:v>1</c:v>
              </c:pt>
              <c:pt idx="18">
                <c:v>1</c:v>
              </c:pt>
              <c:pt idx="19">
                <c:v>1</c:v>
              </c:pt>
              <c:pt idx="20">
                <c:v>1</c:v>
              </c:pt>
              <c:pt idx="21">
                <c:v>1</c:v>
              </c:pt>
            </c:numLit>
          </c:val>
          <c:extLst>
            <c:ext xmlns:c16="http://schemas.microsoft.com/office/drawing/2014/chart" uri="{C3380CC4-5D6E-409C-BE32-E72D297353CC}">
              <c16:uniqueId val="{00000029-2C30-43CF-817F-C89FA36DC1E4}"/>
            </c:ext>
          </c:extLst>
        </c:ser>
        <c:dLbls>
          <c:showLegendKey val="0"/>
          <c:showVal val="0"/>
          <c:showCatName val="0"/>
          <c:showSerName val="0"/>
          <c:showPercent val="0"/>
          <c:showBubbleSize val="0"/>
        </c:dLbls>
        <c:gapWidth val="219"/>
        <c:overlap val="-27"/>
        <c:axId val="119047616"/>
        <c:axId val="119039296"/>
      </c:barChart>
      <c:catAx>
        <c:axId val="1190476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Distance by</a:t>
                </a:r>
                <a:r>
                  <a:rPr lang="en-PH" baseline="0"/>
                  <a:t> </a:t>
                </a:r>
                <a:r>
                  <a:rPr lang="en-PH"/>
                  <a:t>Area of Residence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39296"/>
        <c:crosses val="autoZero"/>
        <c:auto val="1"/>
        <c:lblAlgn val="ctr"/>
        <c:lblOffset val="100"/>
        <c:noMultiLvlLbl val="0"/>
        <c:extLst>
          <c:ext xmlns:c15="http://schemas.microsoft.com/office/drawing/2012/chart" uri="{F40574EE-89B7-4290-83BB-5DA773EAF853}">
            <c15:numFmt c:formatCode="General" c:sourceLinked="1"/>
          </c:ext>
        </c:extLst>
      </c:catAx>
      <c:valAx>
        <c:axId val="119039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47616"/>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[vergara_aaroncharles_EESB01_capstone.xlsx]PivotChartTable4</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Distance</a:t>
            </a:r>
            <a:r>
              <a:rPr lang="en-PH" baseline="0"/>
              <a:t> from School/Work during Post-COVID Conditions by </a:t>
            </a:r>
            <a:r>
              <a:rPr lang="en-PH" sz="1400" b="0" i="0" u="none" strike="noStrike" baseline="0">
                <a:effectLst/>
              </a:rPr>
              <a:t>Area of Residence </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Female</c:v>
          </c:tx>
          <c:spPr>
            <a:solidFill>
              <a:schemeClr val="accent1"/>
            </a:solidFill>
            <a:ln>
              <a:noFill/>
            </a:ln>
            <a:effectLst/>
          </c:spPr>
          <c:invertIfNegative val="0"/>
          <c:cat>
            <c:strLit>
              <c:ptCount val="20"/>
              <c:pt idx="0">
                <c:v>Lipa City
1 km to 5 km</c:v>
              </c:pt>
              <c:pt idx="1">
                <c:v>Batangas City
11 km to 15 km</c:v>
              </c:pt>
              <c:pt idx="2">
                <c:v>Taysan
11 km to 15 km</c:v>
              </c:pt>
              <c:pt idx="3">
                <c:v>Rosario
16 km to 20 km</c:v>
              </c:pt>
              <c:pt idx="4">
                <c:v>Tanauan
16 km to 20 km</c:v>
              </c:pt>
              <c:pt idx="5">
                <c:v>Ibaan
6 km to 10 km</c:v>
              </c:pt>
              <c:pt idx="6">
                <c:v>Alitagtag
Less than 1 km</c:v>
              </c:pt>
              <c:pt idx="7">
                <c:v>Alitagtag
More than 20 km</c:v>
              </c:pt>
              <c:pt idx="8">
                <c:v>Cuenca
More than 20 km</c:v>
              </c:pt>
              <c:pt idx="9">
                <c:v>Lipa City
More than 20 km</c:v>
              </c:pt>
              <c:pt idx="10">
                <c:v>San Jose
More than 20 km</c:v>
              </c:pt>
              <c:pt idx="11">
                <c:v>Alitagtag
School/Work at home</c:v>
              </c:pt>
              <c:pt idx="12">
                <c:v>Batangas City
School/Work at home</c:v>
              </c:pt>
              <c:pt idx="13">
                <c:v>Cuenca
School/Work at home</c:v>
              </c:pt>
              <c:pt idx="14">
                <c:v>Ibaan
School/Work at home</c:v>
              </c:pt>
              <c:pt idx="15">
                <c:v>Lipa City
School/Work at home</c:v>
              </c:pt>
              <c:pt idx="16">
                <c:v>Rosario
School/Work at home</c:v>
              </c:pt>
              <c:pt idx="17">
                <c:v>San Juan
School/Work at home</c:v>
              </c:pt>
              <c:pt idx="18">
                <c:v>Santa Teresita
School/Work at home</c:v>
              </c:pt>
              <c:pt idx="19">
                <c:v>Tanauan
School/Work at home</c:v>
              </c:pt>
            </c:strLit>
          </c:cat>
          <c:val>
            <c:numLit>
              <c:formatCode>General</c:formatCode>
              <c:ptCount val="20"/>
              <c:pt idx="0">
                <c:v>1</c:v>
              </c:pt>
              <c:pt idx="1">
                <c:v>1</c:v>
              </c:pt>
              <c:pt idx="4">
                <c:v>1</c:v>
              </c:pt>
              <c:pt idx="5">
                <c:v>1</c:v>
              </c:pt>
              <c:pt idx="6">
                <c:v>1</c:v>
              </c:pt>
              <c:pt idx="9">
                <c:v>1</c:v>
              </c:pt>
              <c:pt idx="11">
                <c:v>1</c:v>
              </c:pt>
              <c:pt idx="12">
                <c:v>4</c:v>
              </c:pt>
              <c:pt idx="15">
                <c:v>4</c:v>
              </c:pt>
              <c:pt idx="16">
                <c:v>1</c:v>
              </c:pt>
              <c:pt idx="19">
                <c:v>1</c:v>
              </c:pt>
            </c:numLit>
          </c:val>
          <c:extLst>
            <c:ext xmlns:c16="http://schemas.microsoft.com/office/drawing/2014/chart" uri="{C3380CC4-5D6E-409C-BE32-E72D297353CC}">
              <c16:uniqueId val="{00000000-1FA7-4F70-8DE4-AEDA3B528108}"/>
            </c:ext>
          </c:extLst>
        </c:ser>
        <c:ser>
          <c:idx val="1"/>
          <c:order val="1"/>
          <c:tx>
            <c:v>Male</c:v>
          </c:tx>
          <c:spPr>
            <a:solidFill>
              <a:schemeClr val="accent2"/>
            </a:solidFill>
            <a:ln>
              <a:noFill/>
            </a:ln>
            <a:effectLst/>
          </c:spPr>
          <c:invertIfNegative val="0"/>
          <c:cat>
            <c:strLit>
              <c:ptCount val="20"/>
              <c:pt idx="0">
                <c:v>Lipa City
1 km to 5 km</c:v>
              </c:pt>
              <c:pt idx="1">
                <c:v>Batangas City
11 km to 15 km</c:v>
              </c:pt>
              <c:pt idx="2">
                <c:v>Taysan
11 km to 15 km</c:v>
              </c:pt>
              <c:pt idx="3">
                <c:v>Rosario
16 km to 20 km</c:v>
              </c:pt>
              <c:pt idx="4">
                <c:v>Tanauan
16 km to 20 km</c:v>
              </c:pt>
              <c:pt idx="5">
                <c:v>Ibaan
6 km to 10 km</c:v>
              </c:pt>
              <c:pt idx="6">
                <c:v>Alitagtag
Less than 1 km</c:v>
              </c:pt>
              <c:pt idx="7">
                <c:v>Alitagtag
More than 20 km</c:v>
              </c:pt>
              <c:pt idx="8">
                <c:v>Cuenca
More than 20 km</c:v>
              </c:pt>
              <c:pt idx="9">
                <c:v>Lipa City
More than 20 km</c:v>
              </c:pt>
              <c:pt idx="10">
                <c:v>San Jose
More than 20 km</c:v>
              </c:pt>
              <c:pt idx="11">
                <c:v>Alitagtag
School/Work at home</c:v>
              </c:pt>
              <c:pt idx="12">
                <c:v>Batangas City
School/Work at home</c:v>
              </c:pt>
              <c:pt idx="13">
                <c:v>Cuenca
School/Work at home</c:v>
              </c:pt>
              <c:pt idx="14">
                <c:v>Ibaan
School/Work at home</c:v>
              </c:pt>
              <c:pt idx="15">
                <c:v>Lipa City
School/Work at home</c:v>
              </c:pt>
              <c:pt idx="16">
                <c:v>Rosario
School/Work at home</c:v>
              </c:pt>
              <c:pt idx="17">
                <c:v>San Juan
School/Work at home</c:v>
              </c:pt>
              <c:pt idx="18">
                <c:v>Santa Teresita
School/Work at home</c:v>
              </c:pt>
              <c:pt idx="19">
                <c:v>Tanauan
School/Work at home</c:v>
              </c:pt>
            </c:strLit>
          </c:cat>
          <c:val>
            <c:numLit>
              <c:formatCode>General</c:formatCode>
              <c:ptCount val="20"/>
              <c:pt idx="0">
                <c:v>3</c:v>
              </c:pt>
              <c:pt idx="2">
                <c:v>1</c:v>
              </c:pt>
              <c:pt idx="3">
                <c:v>1</c:v>
              </c:pt>
              <c:pt idx="7">
                <c:v>1</c:v>
              </c:pt>
              <c:pt idx="8">
                <c:v>1</c:v>
              </c:pt>
              <c:pt idx="10">
                <c:v>1</c:v>
              </c:pt>
              <c:pt idx="11">
                <c:v>1</c:v>
              </c:pt>
              <c:pt idx="12">
                <c:v>1</c:v>
              </c:pt>
              <c:pt idx="13">
                <c:v>1</c:v>
              </c:pt>
              <c:pt idx="14">
                <c:v>1</c:v>
              </c:pt>
              <c:pt idx="15">
                <c:v>4</c:v>
              </c:pt>
              <c:pt idx="17">
                <c:v>1</c:v>
              </c:pt>
              <c:pt idx="18">
                <c:v>1</c:v>
              </c:pt>
            </c:numLit>
          </c:val>
          <c:extLst>
            <c:ext xmlns:c16="http://schemas.microsoft.com/office/drawing/2014/chart" uri="{C3380CC4-5D6E-409C-BE32-E72D297353CC}">
              <c16:uniqueId val="{00000001-1FA7-4F70-8DE4-AEDA3B528108}"/>
            </c:ext>
          </c:extLst>
        </c:ser>
        <c:dLbls>
          <c:showLegendKey val="0"/>
          <c:showVal val="0"/>
          <c:showCatName val="0"/>
          <c:showSerName val="0"/>
          <c:showPercent val="0"/>
          <c:showBubbleSize val="0"/>
        </c:dLbls>
        <c:gapWidth val="219"/>
        <c:overlap val="-27"/>
        <c:axId val="245689200"/>
        <c:axId val="245690448"/>
      </c:barChart>
      <c:catAx>
        <c:axId val="245689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Distance by Area of</a:t>
                </a:r>
                <a:r>
                  <a:rPr lang="en-PH" baseline="0"/>
                  <a:t> Residence</a:t>
                </a:r>
                <a:endParaRPr lang="en-PH"/>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90448"/>
        <c:crosses val="autoZero"/>
        <c:auto val="1"/>
        <c:lblAlgn val="ctr"/>
        <c:lblOffset val="100"/>
        <c:noMultiLvlLbl val="0"/>
        <c:extLst>
          <c:ext xmlns:c15="http://schemas.microsoft.com/office/drawing/2012/chart" uri="{F40574EE-89B7-4290-83BB-5DA773EAF853}">
            <c15:numFmt c:formatCode="General" c:sourceLinked="1"/>
          </c:ext>
        </c:extLst>
      </c:catAx>
      <c:valAx>
        <c:axId val="245690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 of Respondents</a:t>
                </a:r>
              </a:p>
            </c:rich>
          </c:tx>
          <c:layout>
            <c:manualLayout>
              <c:xMode val="edge"/>
              <c:yMode val="edge"/>
              <c:x val="1.6881520366400289E-2"/>
              <c:y val="0.324620963641434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920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[vergara_aaroncharles_EESB01_capstone.xlsx]PivotChartTable5</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[vergara_aaroncharles_EESB01_capstone.xlsx]Week-5!PivotTable17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Methods of Travel Used</a:t>
            </a:r>
            <a:r>
              <a:rPr lang="en-PH" baseline="0"/>
              <a:t> Pre-COVID by Age</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'Week-5'!$AC$110:$AC$111</c:f>
              <c:strCache>
                <c:ptCount val="1"/>
                <c:pt idx="0">
                  <c:v>Female</c:v>
                </c:pt>
              </c:strCache>
            </c:strRef>
          </c:tx>
          <c:spPr>
            <a:solidFill>
              <a:schemeClr val="accent1"/>
            </a:solidFill>
            <a:ln>
              <a:noFill/>
            </a:ln>
            <a:effectLst/>
          </c:spPr>
          <c:invertIfNegative val="0"/>
          <c:cat>
            <c:multiLvlStrRef>
              <c:f>'Week-5'!$AB$112:$AB$140</c:f>
              <c:multiLvlStrCache>
                <c:ptCount val="20"/>
                <c:lvl>
                  <c:pt idx="0">
                    <c:v>40 - 44</c:v>
                  </c:pt>
                  <c:pt idx="1">
                    <c:v>19 - 24</c:v>
                  </c:pt>
                  <c:pt idx="2">
                    <c:v>19 - 24</c:v>
                  </c:pt>
                  <c:pt idx="3">
                    <c:v>25 - 29</c:v>
                  </c:pt>
                  <c:pt idx="4">
                    <c:v>30 - 34</c:v>
                  </c:pt>
                  <c:pt idx="5">
                    <c:v>45 - 49</c:v>
                  </c:pt>
                  <c:pt idx="6">
                    <c:v>19 - 24</c:v>
                  </c:pt>
                  <c:pt idx="7">
                    <c:v>25 - 29</c:v>
                  </c:pt>
                  <c:pt idx="8">
                    <c:v>30 - 34</c:v>
                  </c:pt>
                  <c:pt idx="9">
                    <c:v>19 - 24</c:v>
                  </c:pt>
                  <c:pt idx="10">
                    <c:v>25 - 29</c:v>
                  </c:pt>
                  <c:pt idx="11">
                    <c:v>30 - 34</c:v>
                  </c:pt>
                  <c:pt idx="12">
                    <c:v>35 - 39</c:v>
                  </c:pt>
                  <c:pt idx="13">
                    <c:v>40 - 44</c:v>
                  </c:pt>
                  <c:pt idx="14">
                    <c:v>45 - 49</c:v>
                  </c:pt>
                  <c:pt idx="15">
                    <c:v>19 - 24</c:v>
                  </c:pt>
                  <c:pt idx="16">
                    <c:v>25 - 29</c:v>
                  </c:pt>
                  <c:pt idx="17">
                    <c:v>19 - 24</c:v>
                  </c:pt>
                  <c:pt idx="18">
                    <c:v>25 - 29</c:v>
                  </c:pt>
                  <c:pt idx="19">
                    <c:v>40 - 44</c:v>
                  </c:pt>
                </c:lvl>
                <c:lvl>
                  <c:pt idx="0">
                    <c:v>Bike</c:v>
                  </c:pt>
                  <c:pt idx="1">
                    <c:v>Bus</c:v>
                  </c:pt>
                  <c:pt idx="2">
                    <c:v>Jeepney</c:v>
                  </c:pt>
                  <c:pt idx="6">
                    <c:v>Just Walking</c:v>
                  </c:pt>
                  <c:pt idx="8">
                    <c:v>Motorcycle</c:v>
                  </c:pt>
                  <c:pt idx="9">
                    <c:v>None</c:v>
                  </c:pt>
                  <c:pt idx="15">
                    <c:v>Private Car</c:v>
                  </c:pt>
                  <c:pt idx="17">
                    <c:v>Tricycle</c:v>
                  </c:pt>
                </c:lvl>
              </c:multiLvlStrCache>
            </c:multiLvlStrRef>
          </c:cat>
          <c:val>
            <c:numRef>
              <c:f>'Week-5'!$AC$112:$AC$140</c:f>
              <c:numCache>
                <c:formatCode>General</c:formatCode>
                <c:ptCount val="20"/>
                <c:pt idx="1">
                  <c:v>1</c:v>
                </c:pt>
                <c:pt idx="2">
                  <c:v>3</c:v>
                </c:pt>
                <c:pt idx="4">
                  <c:v>1</c:v>
                </c:pt>
                <c:pt idx="6">
                  <c:v>1</c:v>
                </c:pt>
                <c:pt idx="7">
                  <c:v>1</c:v>
                </c:pt>
                <c:pt idx="8">
                  <c:v>1</c:v>
                </c:pt>
                <c:pt idx="10">
                  <c:v>1</c:v>
                </c:pt>
                <c:pt idx="11">
                  <c:v>1</c:v>
                </c:pt>
                <c:pt idx="12">
                  <c:v>1</c:v>
                </c:pt>
                <c:pt idx="13">
                  <c:v>1</c:v>
                </c:pt>
                <c:pt idx="14">
                  <c:v>1</c:v>
                </c:pt>
                <c:pt idx="15">
                  <c:v>1</c:v>
                </c:pt>
                <c:pt idx="16">
                  <c:v>1</c:v>
                </c:pt>
                <c:pt idx="18">
                  <c:v>1</c:v>
                </c:pt>
                <c:pt idx="19">
                  <c:v>1</c:v>
                </c:pt>
              </c:numCache>
            </c:numRef>
          </c:val>
          <c:extLst>
            <c:ext xmlns:c16="http://schemas.microsoft.com/office/drawing/2014/chart" uri="{C3380CC4-5D6E-409C-BE32-E72D297353CC}">
              <c16:uniqueId val="{00000000-F010-405D-A947-EDE60B96CF0A}"/>
            </c:ext>
          </c:extLst>
        </c:ser>
        <c:ser>
          <c:idx val="1"/>
          <c:order val="1"/>
          <c:tx>
            <c:strRef>
              <c:f>'Week-5'!$AD$110:$AD$111</c:f>
              <c:strCache>
                <c:ptCount val="1"/>
                <c:pt idx="0">
                  <c:v>Male</c:v>
                </c:pt>
              </c:strCache>
            </c:strRef>
          </c:tx>
          <c:spPr>
            <a:solidFill>
              <a:schemeClr val="accent2"/>
            </a:solidFill>
            <a:ln>
              <a:noFill/>
            </a:ln>
            <a:effectLst/>
          </c:spPr>
          <c:invertIfNegative val="0"/>
          <c:cat>
            <c:multiLvlStrRef>
              <c:f>'Week-5'!$AB$112:$AB$140</c:f>
              <c:multiLvlStrCache>
                <c:ptCount val="20"/>
                <c:lvl>
                  <c:pt idx="0">
                    <c:v>40 - 44</c:v>
                  </c:pt>
                  <c:pt idx="1">
                    <c:v>19 - 24</c:v>
                  </c:pt>
                  <c:pt idx="2">
                    <c:v>19 - 24</c:v>
                  </c:pt>
                  <c:pt idx="3">
                    <c:v>25 - 29</c:v>
                  </c:pt>
                  <c:pt idx="4">
                    <c:v>30 - 34</c:v>
                  </c:pt>
                  <c:pt idx="5">
                    <c:v>45 - 49</c:v>
                  </c:pt>
                  <c:pt idx="6">
                    <c:v>19 - 24</c:v>
                  </c:pt>
                  <c:pt idx="7">
                    <c:v>25 - 29</c:v>
                  </c:pt>
                  <c:pt idx="8">
                    <c:v>30 - 34</c:v>
                  </c:pt>
                  <c:pt idx="9">
                    <c:v>19 - 24</c:v>
                  </c:pt>
                  <c:pt idx="10">
                    <c:v>25 - 29</c:v>
                  </c:pt>
                  <c:pt idx="11">
                    <c:v>30 - 34</c:v>
                  </c:pt>
                  <c:pt idx="12">
                    <c:v>35 - 39</c:v>
                  </c:pt>
                  <c:pt idx="13">
                    <c:v>40 - 44</c:v>
                  </c:pt>
                  <c:pt idx="14">
                    <c:v>45 - 49</c:v>
                  </c:pt>
                  <c:pt idx="15">
                    <c:v>19 - 24</c:v>
                  </c:pt>
                  <c:pt idx="16">
                    <c:v>25 - 29</c:v>
                  </c:pt>
                  <c:pt idx="17">
                    <c:v>19 - 24</c:v>
                  </c:pt>
                  <c:pt idx="18">
                    <c:v>25 - 29</c:v>
                  </c:pt>
                  <c:pt idx="19">
                    <c:v>40 - 44</c:v>
                  </c:pt>
                </c:lvl>
                <c:lvl>
                  <c:pt idx="0">
                    <c:v>Bike</c:v>
                  </c:pt>
                  <c:pt idx="1">
                    <c:v>Bus</c:v>
                  </c:pt>
                  <c:pt idx="2">
                    <c:v>Jeepney</c:v>
                  </c:pt>
                  <c:pt idx="6">
                    <c:v>Just Walking</c:v>
                  </c:pt>
                  <c:pt idx="8">
                    <c:v>Motorcycle</c:v>
                  </c:pt>
                  <c:pt idx="9">
                    <c:v>None</c:v>
                  </c:pt>
                  <c:pt idx="15">
                    <c:v>Private Car</c:v>
                  </c:pt>
                  <c:pt idx="17">
                    <c:v>Tricycle</c:v>
                  </c:pt>
                </c:lvl>
              </c:multiLvlStrCache>
            </c:multiLvlStrRef>
          </c:cat>
          <c:val>
            <c:numRef>
              <c:f>'Week-5'!$AD$112:$AD$140</c:f>
              <c:numCache>
                <c:formatCode>General</c:formatCode>
                <c:ptCount val="20"/>
                <c:pt idx="0">
                  <c:v>1</c:v>
                </c:pt>
                <c:pt idx="2">
                  <c:v>5</c:v>
                </c:pt>
                <c:pt idx="3">
                  <c:v>1</c:v>
                </c:pt>
                <c:pt idx="5">
                  <c:v>1</c:v>
                </c:pt>
                <c:pt idx="6">
                  <c:v>1</c:v>
                </c:pt>
                <c:pt idx="7">
                  <c:v>1</c:v>
                </c:pt>
                <c:pt idx="9">
                  <c:v>2</c:v>
                </c:pt>
                <c:pt idx="12">
                  <c:v>1</c:v>
                </c:pt>
                <c:pt idx="14">
                  <c:v>1</c:v>
                </c:pt>
                <c:pt idx="15">
                  <c:v>1</c:v>
                </c:pt>
                <c:pt idx="17">
                  <c:v>3</c:v>
                </c:pt>
              </c:numCache>
            </c:numRef>
          </c:val>
          <c:extLst>
            <c:ext xmlns:c16="http://schemas.microsoft.com/office/drawing/2014/chart" uri="{C3380CC4-5D6E-409C-BE32-E72D297353CC}">
              <c16:uniqueId val="{00000001-F010-405D-A947-EDE60B96CF0A}"/>
            </c:ext>
          </c:extLst>
        </c:ser>
        <c:dLbls>
          <c:showLegendKey val="0"/>
          <c:showVal val="0"/>
          <c:showCatName val="0"/>
          <c:showSerName val="0"/>
          <c:showPercent val="0"/>
          <c:showBubbleSize val="0"/>
        </c:dLbls>
        <c:gapWidth val="219"/>
        <c:overlap val="-27"/>
        <c:axId val="245720400"/>
        <c:axId val="245719568"/>
      </c:barChart>
      <c:catAx>
        <c:axId val="2457204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Method of Travel by</a:t>
                </a:r>
                <a:r>
                  <a:rPr lang="en-PH" baseline="0"/>
                  <a:t> Age</a:t>
                </a:r>
                <a:endParaRPr lang="en-PH"/>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719568"/>
        <c:crosses val="autoZero"/>
        <c:auto val="1"/>
        <c:lblAlgn val="ctr"/>
        <c:lblOffset val="100"/>
        <c:noMultiLvlLbl val="0"/>
      </c:catAx>
      <c:valAx>
        <c:axId val="2457195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72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[vergara_aaroncharles_EESB01_capstone.xlsx]Week-5!PivotTable1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Methods of Travel</a:t>
            </a:r>
            <a:r>
              <a:rPr lang="en-PH" baseline="0"/>
              <a:t> Used Post-COVID by Age</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'Week-5'!$AC$143:$AC$144</c:f>
              <c:strCache>
                <c:ptCount val="1"/>
                <c:pt idx="0">
                  <c:v>Female</c:v>
                </c:pt>
              </c:strCache>
            </c:strRef>
          </c:tx>
          <c:spPr>
            <a:solidFill>
              <a:schemeClr val="accent1"/>
            </a:solidFill>
            <a:ln>
              <a:noFill/>
            </a:ln>
            <a:effectLst/>
          </c:spPr>
          <c:invertIfNegative val="0"/>
          <c:cat>
            <c:multiLvlStrRef>
              <c:f>'Week-5'!$AB$145:$AB$170</c:f>
              <c:multiLvlStrCache>
                <c:ptCount val="18"/>
                <c:lvl>
                  <c:pt idx="0">
                    <c:v>19 - 24</c:v>
                  </c:pt>
                  <c:pt idx="1">
                    <c:v>40 - 44</c:v>
                  </c:pt>
                  <c:pt idx="2">
                    <c:v>19 - 24</c:v>
                  </c:pt>
                  <c:pt idx="3">
                    <c:v>25 - 29</c:v>
                  </c:pt>
                  <c:pt idx="4">
                    <c:v>30 - 34</c:v>
                  </c:pt>
                  <c:pt idx="5">
                    <c:v>45 - 49</c:v>
                  </c:pt>
                  <c:pt idx="6">
                    <c:v>40 - 44</c:v>
                  </c:pt>
                  <c:pt idx="7">
                    <c:v>19 - 24</c:v>
                  </c:pt>
                  <c:pt idx="8">
                    <c:v>25 - 29</c:v>
                  </c:pt>
                  <c:pt idx="9">
                    <c:v>19 - 24</c:v>
                  </c:pt>
                  <c:pt idx="10">
                    <c:v>25 - 29</c:v>
                  </c:pt>
                  <c:pt idx="11">
                    <c:v>30 - 34</c:v>
                  </c:pt>
                  <c:pt idx="12">
                    <c:v>35 - 39</c:v>
                  </c:pt>
                  <c:pt idx="13">
                    <c:v>45 - 49</c:v>
                  </c:pt>
                  <c:pt idx="14">
                    <c:v>19 - 24</c:v>
                  </c:pt>
                  <c:pt idx="15">
                    <c:v>25 - 29</c:v>
                  </c:pt>
                  <c:pt idx="16">
                    <c:v>40 - 44</c:v>
                  </c:pt>
                  <c:pt idx="17">
                    <c:v>25 - 29</c:v>
                  </c:pt>
                </c:lvl>
                <c:lvl>
                  <c:pt idx="0">
                    <c:v>Bike</c:v>
                  </c:pt>
                  <c:pt idx="2">
                    <c:v>Jeepney</c:v>
                  </c:pt>
                  <c:pt idx="6">
                    <c:v>Just Walking</c:v>
                  </c:pt>
                  <c:pt idx="7">
                    <c:v>Motorcycle</c:v>
                  </c:pt>
                  <c:pt idx="9">
                    <c:v>None</c:v>
                  </c:pt>
                  <c:pt idx="14">
                    <c:v>Private Car</c:v>
                  </c:pt>
                  <c:pt idx="17">
                    <c:v>Tricycle</c:v>
                  </c:pt>
                </c:lvl>
              </c:multiLvlStrCache>
            </c:multiLvlStrRef>
          </c:cat>
          <c:val>
            <c:numRef>
              <c:f>'Week-5'!$AC$145:$AC$170</c:f>
              <c:numCache>
                <c:formatCode>General</c:formatCode>
                <c:ptCount val="18"/>
                <c:pt idx="4">
                  <c:v>1</c:v>
                </c:pt>
                <c:pt idx="6">
                  <c:v>1</c:v>
                </c:pt>
                <c:pt idx="8">
                  <c:v>1</c:v>
                </c:pt>
                <c:pt idx="9">
                  <c:v>4</c:v>
                </c:pt>
                <c:pt idx="10">
                  <c:v>2</c:v>
                </c:pt>
                <c:pt idx="11">
                  <c:v>2</c:v>
                </c:pt>
                <c:pt idx="12">
                  <c:v>1</c:v>
                </c:pt>
                <c:pt idx="13">
                  <c:v>1</c:v>
                </c:pt>
                <c:pt idx="14">
                  <c:v>2</c:v>
                </c:pt>
                <c:pt idx="15">
                  <c:v>1</c:v>
                </c:pt>
                <c:pt idx="16">
                  <c:v>1</c:v>
                </c:pt>
              </c:numCache>
            </c:numRef>
          </c:val>
          <c:extLst>
            <c:ext xmlns:c16="http://schemas.microsoft.com/office/drawing/2014/chart" uri="{C3380CC4-5D6E-409C-BE32-E72D297353CC}">
              <c16:uniqueId val="{00000000-1858-4ADD-ACEC-A9C90D453395}"/>
            </c:ext>
          </c:extLst>
        </c:ser>
        <c:ser>
          <c:idx val="1"/>
          <c:order val="1"/>
          <c:tx>
            <c:strRef>
              <c:f>'Week-5'!$AD$143:$AD$144</c:f>
              <c:strCache>
                <c:ptCount val="1"/>
                <c:pt idx="0">
                  <c:v>Male</c:v>
                </c:pt>
              </c:strCache>
            </c:strRef>
          </c:tx>
          <c:spPr>
            <a:solidFill>
              <a:schemeClr val="accent2"/>
            </a:solidFill>
            <a:ln>
              <a:noFill/>
            </a:ln>
            <a:effectLst/>
          </c:spPr>
          <c:invertIfNegative val="0"/>
          <c:cat>
            <c:multiLvlStrRef>
              <c:f>'Week-5'!$AB$145:$AB$170</c:f>
              <c:multiLvlStrCache>
                <c:ptCount val="18"/>
                <c:lvl>
                  <c:pt idx="0">
                    <c:v>19 - 24</c:v>
                  </c:pt>
                  <c:pt idx="1">
                    <c:v>40 - 44</c:v>
                  </c:pt>
                  <c:pt idx="2">
                    <c:v>19 - 24</c:v>
                  </c:pt>
                  <c:pt idx="3">
                    <c:v>25 - 29</c:v>
                  </c:pt>
                  <c:pt idx="4">
                    <c:v>30 - 34</c:v>
                  </c:pt>
                  <c:pt idx="5">
                    <c:v>45 - 49</c:v>
                  </c:pt>
                  <c:pt idx="6">
                    <c:v>40 - 44</c:v>
                  </c:pt>
                  <c:pt idx="7">
                    <c:v>19 - 24</c:v>
                  </c:pt>
                  <c:pt idx="8">
                    <c:v>25 - 29</c:v>
                  </c:pt>
                  <c:pt idx="9">
                    <c:v>19 - 24</c:v>
                  </c:pt>
                  <c:pt idx="10">
                    <c:v>25 - 29</c:v>
                  </c:pt>
                  <c:pt idx="11">
                    <c:v>30 - 34</c:v>
                  </c:pt>
                  <c:pt idx="12">
                    <c:v>35 - 39</c:v>
                  </c:pt>
                  <c:pt idx="13">
                    <c:v>45 - 49</c:v>
                  </c:pt>
                  <c:pt idx="14">
                    <c:v>19 - 24</c:v>
                  </c:pt>
                  <c:pt idx="15">
                    <c:v>25 - 29</c:v>
                  </c:pt>
                  <c:pt idx="16">
                    <c:v>40 - 44</c:v>
                  </c:pt>
                  <c:pt idx="17">
                    <c:v>25 - 29</c:v>
                  </c:pt>
                </c:lvl>
                <c:lvl>
                  <c:pt idx="0">
                    <c:v>Bike</c:v>
                  </c:pt>
                  <c:pt idx="2">
                    <c:v>Jeepney</c:v>
                  </c:pt>
                  <c:pt idx="6">
                    <c:v>Just Walking</c:v>
                  </c:pt>
                  <c:pt idx="7">
                    <c:v>Motorcycle</c:v>
                  </c:pt>
                  <c:pt idx="9">
                    <c:v>None</c:v>
                  </c:pt>
                  <c:pt idx="14">
                    <c:v>Private Car</c:v>
                  </c:pt>
                  <c:pt idx="17">
                    <c:v>Tricycle</c:v>
                  </c:pt>
                </c:lvl>
              </c:multiLvlStrCache>
            </c:multiLvlStrRef>
          </c:cat>
          <c:val>
            <c:numRef>
              <c:f>'Week-5'!$AD$145:$AD$170</c:f>
              <c:numCache>
                <c:formatCode>General</c:formatCode>
                <c:ptCount val="18"/>
                <c:pt idx="0">
                  <c:v>1</c:v>
                </c:pt>
                <c:pt idx="1">
                  <c:v>1</c:v>
                </c:pt>
                <c:pt idx="2">
                  <c:v>2</c:v>
                </c:pt>
                <c:pt idx="3">
                  <c:v>1</c:v>
                </c:pt>
                <c:pt idx="5">
                  <c:v>1</c:v>
                </c:pt>
                <c:pt idx="7">
                  <c:v>1</c:v>
                </c:pt>
                <c:pt idx="9">
                  <c:v>7</c:v>
                </c:pt>
                <c:pt idx="12">
                  <c:v>1</c:v>
                </c:pt>
                <c:pt idx="13">
                  <c:v>1</c:v>
                </c:pt>
                <c:pt idx="14">
                  <c:v>1</c:v>
                </c:pt>
                <c:pt idx="17">
                  <c:v>1</c:v>
                </c:pt>
              </c:numCache>
            </c:numRef>
          </c:val>
          <c:extLst>
            <c:ext xmlns:c16="http://schemas.microsoft.com/office/drawing/2014/chart" uri="{C3380CC4-5D6E-409C-BE32-E72D297353CC}">
              <c16:uniqueId val="{00000001-FCD7-4A28-8539-21399350314B}"/>
            </c:ext>
          </c:extLst>
        </c:ser>
        <c:dLbls>
          <c:showLegendKey val="0"/>
          <c:showVal val="0"/>
          <c:showCatName val="0"/>
          <c:showSerName val="0"/>
          <c:showPercent val="0"/>
          <c:showBubbleSize val="0"/>
        </c:dLbls>
        <c:gapWidth val="219"/>
        <c:overlap val="-27"/>
        <c:axId val="691957087"/>
        <c:axId val="691977471"/>
      </c:barChart>
      <c:catAx>
        <c:axId val="691957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Method of</a:t>
                </a:r>
                <a:r>
                  <a:rPr lang="en-PH" baseline="0"/>
                  <a:t> Travel </a:t>
                </a:r>
                <a:r>
                  <a:rPr lang="en-PH"/>
                  <a:t>by 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977471"/>
        <c:crosses val="autoZero"/>
        <c:auto val="1"/>
        <c:lblAlgn val="ctr"/>
        <c:lblOffset val="100"/>
        <c:noMultiLvlLbl val="0"/>
      </c:catAx>
      <c:valAx>
        <c:axId val="691977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95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[vergara_aaroncharles_EESB01_capstone.xlsx]Week-5!PivotTable6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Distance from School/Work</a:t>
            </a:r>
            <a:r>
              <a:rPr lang="en-PH" baseline="0"/>
              <a:t> during Pre-COVID Conditions by Age</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'Week-5'!$X$107:$X$108</c:f>
              <c:strCache>
                <c:ptCount val="1"/>
                <c:pt idx="0">
                  <c:v>Female</c:v>
                </c:pt>
              </c:strCache>
            </c:strRef>
          </c:tx>
          <c:spPr>
            <a:solidFill>
              <a:schemeClr val="accent1"/>
            </a:solidFill>
            <a:ln>
              <a:noFill/>
            </a:ln>
            <a:effectLst/>
          </c:spPr>
          <c:invertIfNegative val="0"/>
          <c:cat>
            <c:multiLvlStrRef>
              <c:f>'Week-5'!$W$109:$W$135</c:f>
              <c:multiLvlStrCache>
                <c:ptCount val="19"/>
                <c:lvl>
                  <c:pt idx="0">
                    <c:v>19 - 24</c:v>
                  </c:pt>
                  <c:pt idx="1">
                    <c:v>30 - 34</c:v>
                  </c:pt>
                  <c:pt idx="2">
                    <c:v>40 - 44</c:v>
                  </c:pt>
                  <c:pt idx="3">
                    <c:v>19 - 24</c:v>
                  </c:pt>
                  <c:pt idx="4">
                    <c:v>25 - 29</c:v>
                  </c:pt>
                  <c:pt idx="5">
                    <c:v>30 - 34</c:v>
                  </c:pt>
                  <c:pt idx="6">
                    <c:v>45 - 49</c:v>
                  </c:pt>
                  <c:pt idx="7">
                    <c:v>19 - 24</c:v>
                  </c:pt>
                  <c:pt idx="8">
                    <c:v>25 - 29</c:v>
                  </c:pt>
                  <c:pt idx="9">
                    <c:v>19 - 24</c:v>
                  </c:pt>
                  <c:pt idx="10">
                    <c:v>25 - 29</c:v>
                  </c:pt>
                  <c:pt idx="11">
                    <c:v>19 - 24</c:v>
                  </c:pt>
                  <c:pt idx="12">
                    <c:v>25 - 29</c:v>
                  </c:pt>
                  <c:pt idx="13">
                    <c:v>19 - 24</c:v>
                  </c:pt>
                  <c:pt idx="14">
                    <c:v>25 - 29</c:v>
                  </c:pt>
                  <c:pt idx="15">
                    <c:v>30 - 34</c:v>
                  </c:pt>
                  <c:pt idx="16">
                    <c:v>35 - 39</c:v>
                  </c:pt>
                  <c:pt idx="17">
                    <c:v>40 - 44</c:v>
                  </c:pt>
                  <c:pt idx="18">
                    <c:v>45 - 49</c:v>
                  </c:pt>
                </c:lvl>
                <c:lvl>
                  <c:pt idx="0">
                    <c:v>1 km to 5 km</c:v>
                  </c:pt>
                  <c:pt idx="3">
                    <c:v>11 km to 15 km</c:v>
                  </c:pt>
                  <c:pt idx="4">
                    <c:v>16 km to 20 km</c:v>
                  </c:pt>
                  <c:pt idx="7">
                    <c:v>6 km to 10 km</c:v>
                  </c:pt>
                  <c:pt idx="9">
                    <c:v>Less than 1 km</c:v>
                  </c:pt>
                  <c:pt idx="11">
                    <c:v>More than 20 km</c:v>
                  </c:pt>
                  <c:pt idx="13">
                    <c:v>School/Work at home</c:v>
                  </c:pt>
                </c:lvl>
              </c:multiLvlStrCache>
            </c:multiLvlStrRef>
          </c:cat>
          <c:val>
            <c:numRef>
              <c:f>'Week-5'!$X$109:$X$135</c:f>
              <c:numCache>
                <c:formatCode>General</c:formatCode>
                <c:ptCount val="19"/>
                <c:pt idx="0">
                  <c:v>3</c:v>
                </c:pt>
                <c:pt idx="1">
                  <c:v>1</c:v>
                </c:pt>
                <c:pt idx="2">
                  <c:v>1</c:v>
                </c:pt>
                <c:pt idx="3">
                  <c:v>1</c:v>
                </c:pt>
                <c:pt idx="4">
                  <c:v>1</c:v>
                </c:pt>
                <c:pt idx="5">
                  <c:v>1</c:v>
                </c:pt>
                <c:pt idx="8">
                  <c:v>1</c:v>
                </c:pt>
                <c:pt idx="10">
                  <c:v>1</c:v>
                </c:pt>
                <c:pt idx="11">
                  <c:v>2</c:v>
                </c:pt>
                <c:pt idx="14">
                  <c:v>1</c:v>
                </c:pt>
                <c:pt idx="15">
                  <c:v>1</c:v>
                </c:pt>
                <c:pt idx="16">
                  <c:v>1</c:v>
                </c:pt>
                <c:pt idx="17">
                  <c:v>1</c:v>
                </c:pt>
                <c:pt idx="18">
                  <c:v>1</c:v>
                </c:pt>
              </c:numCache>
            </c:numRef>
          </c:val>
          <c:extLst>
            <c:ext xmlns:c16="http://schemas.microsoft.com/office/drawing/2014/chart" uri="{C3380CC4-5D6E-409C-BE32-E72D297353CC}">
              <c16:uniqueId val="{00000000-6786-4BB2-9281-9D02047EA8BA}"/>
            </c:ext>
          </c:extLst>
        </c:ser>
        <c:ser>
          <c:idx val="1"/>
          <c:order val="1"/>
          <c:tx>
            <c:strRef>
              <c:f>'Week-5'!$Y$107:$Y$108</c:f>
              <c:strCache>
                <c:ptCount val="1"/>
                <c:pt idx="0">
                  <c:v>Male</c:v>
                </c:pt>
              </c:strCache>
            </c:strRef>
          </c:tx>
          <c:spPr>
            <a:solidFill>
              <a:schemeClr val="accent2"/>
            </a:solidFill>
            <a:ln>
              <a:noFill/>
            </a:ln>
            <a:effectLst/>
          </c:spPr>
          <c:invertIfNegative val="0"/>
          <c:cat>
            <c:multiLvlStrRef>
              <c:f>'Week-5'!$W$109:$W$135</c:f>
              <c:multiLvlStrCache>
                <c:ptCount val="19"/>
                <c:lvl>
                  <c:pt idx="0">
                    <c:v>19 - 24</c:v>
                  </c:pt>
                  <c:pt idx="1">
                    <c:v>30 - 34</c:v>
                  </c:pt>
                  <c:pt idx="2">
                    <c:v>40 - 44</c:v>
                  </c:pt>
                  <c:pt idx="3">
                    <c:v>19 - 24</c:v>
                  </c:pt>
                  <c:pt idx="4">
                    <c:v>25 - 29</c:v>
                  </c:pt>
                  <c:pt idx="5">
                    <c:v>30 - 34</c:v>
                  </c:pt>
                  <c:pt idx="6">
                    <c:v>45 - 49</c:v>
                  </c:pt>
                  <c:pt idx="7">
                    <c:v>19 - 24</c:v>
                  </c:pt>
                  <c:pt idx="8">
                    <c:v>25 - 29</c:v>
                  </c:pt>
                  <c:pt idx="9">
                    <c:v>19 - 24</c:v>
                  </c:pt>
                  <c:pt idx="10">
                    <c:v>25 - 29</c:v>
                  </c:pt>
                  <c:pt idx="11">
                    <c:v>19 - 24</c:v>
                  </c:pt>
                  <c:pt idx="12">
                    <c:v>25 - 29</c:v>
                  </c:pt>
                  <c:pt idx="13">
                    <c:v>19 - 24</c:v>
                  </c:pt>
                  <c:pt idx="14">
                    <c:v>25 - 29</c:v>
                  </c:pt>
                  <c:pt idx="15">
                    <c:v>30 - 34</c:v>
                  </c:pt>
                  <c:pt idx="16">
                    <c:v>35 - 39</c:v>
                  </c:pt>
                  <c:pt idx="17">
                    <c:v>40 - 44</c:v>
                  </c:pt>
                  <c:pt idx="18">
                    <c:v>45 - 49</c:v>
                  </c:pt>
                </c:lvl>
                <c:lvl>
                  <c:pt idx="0">
                    <c:v>1 km to 5 km</c:v>
                  </c:pt>
                  <c:pt idx="3">
                    <c:v>11 km to 15 km</c:v>
                  </c:pt>
                  <c:pt idx="4">
                    <c:v>16 km to 20 km</c:v>
                  </c:pt>
                  <c:pt idx="7">
                    <c:v>6 km to 10 km</c:v>
                  </c:pt>
                  <c:pt idx="9">
                    <c:v>Less than 1 km</c:v>
                  </c:pt>
                  <c:pt idx="11">
                    <c:v>More than 20 km</c:v>
                  </c:pt>
                  <c:pt idx="13">
                    <c:v>School/Work at home</c:v>
                  </c:pt>
                </c:lvl>
              </c:multiLvlStrCache>
            </c:multiLvlStrRef>
          </c:cat>
          <c:val>
            <c:numRef>
              <c:f>'Week-5'!$Y$109:$Y$135</c:f>
              <c:numCache>
                <c:formatCode>General</c:formatCode>
                <c:ptCount val="19"/>
                <c:pt idx="0">
                  <c:v>3</c:v>
                </c:pt>
                <c:pt idx="2">
                  <c:v>1</c:v>
                </c:pt>
                <c:pt idx="3">
                  <c:v>2</c:v>
                </c:pt>
                <c:pt idx="6">
                  <c:v>1</c:v>
                </c:pt>
                <c:pt idx="7">
                  <c:v>1</c:v>
                </c:pt>
                <c:pt idx="9">
                  <c:v>1</c:v>
                </c:pt>
                <c:pt idx="10">
                  <c:v>1</c:v>
                </c:pt>
                <c:pt idx="11">
                  <c:v>3</c:v>
                </c:pt>
                <c:pt idx="12">
                  <c:v>1</c:v>
                </c:pt>
                <c:pt idx="13">
                  <c:v>2</c:v>
                </c:pt>
                <c:pt idx="16">
                  <c:v>1</c:v>
                </c:pt>
                <c:pt idx="18">
                  <c:v>1</c:v>
                </c:pt>
              </c:numCache>
            </c:numRef>
          </c:val>
          <c:extLst>
            <c:ext xmlns:c16="http://schemas.microsoft.com/office/drawing/2014/chart" uri="{C3380CC4-5D6E-409C-BE32-E72D297353CC}">
              <c16:uniqueId val="{00000001-6786-4BB2-9281-9D02047EA8BA}"/>
            </c:ext>
          </c:extLst>
        </c:ser>
        <c:dLbls>
          <c:showLegendKey val="0"/>
          <c:showVal val="0"/>
          <c:showCatName val="0"/>
          <c:showSerName val="0"/>
          <c:showPercent val="0"/>
          <c:showBubbleSize val="0"/>
        </c:dLbls>
        <c:gapWidth val="219"/>
        <c:overlap val="-27"/>
        <c:axId val="884398272"/>
        <c:axId val="884398688"/>
      </c:barChart>
      <c:catAx>
        <c:axId val="8843982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Distance</a:t>
                </a:r>
                <a:r>
                  <a:rPr lang="en-PH" baseline="0"/>
                  <a:t> by Age</a:t>
                </a:r>
                <a:endParaRPr lang="en-PH"/>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398688"/>
        <c:crosses val="autoZero"/>
        <c:auto val="1"/>
        <c:lblAlgn val="ctr"/>
        <c:lblOffset val="100"/>
        <c:noMultiLvlLbl val="0"/>
      </c:catAx>
      <c:valAx>
        <c:axId val="884398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39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[vergara_aaroncharles_EESB01_capstone.xlsx]Week-5!PivotTable7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Distance from School/Work during Post-COVID Conditions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'Week-5'!$X$138:$X$139</c:f>
              <c:strCache>
                <c:ptCount val="1"/>
                <c:pt idx="0">
                  <c:v>Female</c:v>
                </c:pt>
              </c:strCache>
            </c:strRef>
          </c:tx>
          <c:spPr>
            <a:solidFill>
              <a:schemeClr val="accent1"/>
            </a:solidFill>
            <a:ln>
              <a:noFill/>
            </a:ln>
            <a:effectLst/>
          </c:spPr>
          <c:invertIfNegative val="0"/>
          <c:cat>
            <c:multiLvlStrRef>
              <c:f>'Week-5'!$W$140:$W$162</c:f>
              <c:multiLvlStrCache>
                <c:ptCount val="15"/>
                <c:lvl>
                  <c:pt idx="0">
                    <c:v>19 - 24</c:v>
                  </c:pt>
                  <c:pt idx="1">
                    <c:v>25 - 29</c:v>
                  </c:pt>
                  <c:pt idx="2">
                    <c:v>40 - 44</c:v>
                  </c:pt>
                  <c:pt idx="3">
                    <c:v>19 - 24</c:v>
                  </c:pt>
                  <c:pt idx="4">
                    <c:v>30 - 34</c:v>
                  </c:pt>
                  <c:pt idx="5">
                    <c:v>45 - 49</c:v>
                  </c:pt>
                  <c:pt idx="6">
                    <c:v>25 - 29</c:v>
                  </c:pt>
                  <c:pt idx="7">
                    <c:v>40 - 44</c:v>
                  </c:pt>
                  <c:pt idx="8">
                    <c:v>19 - 24</c:v>
                  </c:pt>
                  <c:pt idx="9">
                    <c:v>25 - 29</c:v>
                  </c:pt>
                  <c:pt idx="10">
                    <c:v>19 - 24</c:v>
                  </c:pt>
                  <c:pt idx="11">
                    <c:v>25 - 29</c:v>
                  </c:pt>
                  <c:pt idx="12">
                    <c:v>30 - 34</c:v>
                  </c:pt>
                  <c:pt idx="13">
                    <c:v>35 - 39</c:v>
                  </c:pt>
                  <c:pt idx="14">
                    <c:v>45 - 49</c:v>
                  </c:pt>
                </c:lvl>
                <c:lvl>
                  <c:pt idx="0">
                    <c:v>1 km to 5 km</c:v>
                  </c:pt>
                  <c:pt idx="3">
                    <c:v>11 km to 15 km</c:v>
                  </c:pt>
                  <c:pt idx="4">
                    <c:v>16 km to 20 km</c:v>
                  </c:pt>
                  <c:pt idx="6">
                    <c:v>6 km to 10 km</c:v>
                  </c:pt>
                  <c:pt idx="7">
                    <c:v>Less than 1 km</c:v>
                  </c:pt>
                  <c:pt idx="8">
                    <c:v>More than 20 km</c:v>
                  </c:pt>
                  <c:pt idx="10">
                    <c:v>School/Work at home</c:v>
                  </c:pt>
                </c:lvl>
              </c:multiLvlStrCache>
            </c:multiLvlStrRef>
          </c:cat>
          <c:val>
            <c:numRef>
              <c:f>'Week-5'!$X$140:$X$162</c:f>
              <c:numCache>
                <c:formatCode>General</c:formatCode>
                <c:ptCount val="15"/>
                <c:pt idx="2">
                  <c:v>1</c:v>
                </c:pt>
                <c:pt idx="3">
                  <c:v>1</c:v>
                </c:pt>
                <c:pt idx="4">
                  <c:v>1</c:v>
                </c:pt>
                <c:pt idx="6">
                  <c:v>1</c:v>
                </c:pt>
                <c:pt idx="7">
                  <c:v>1</c:v>
                </c:pt>
                <c:pt idx="8">
                  <c:v>1</c:v>
                </c:pt>
                <c:pt idx="10">
                  <c:v>4</c:v>
                </c:pt>
                <c:pt idx="11">
                  <c:v>3</c:v>
                </c:pt>
                <c:pt idx="12">
                  <c:v>2</c:v>
                </c:pt>
                <c:pt idx="13">
                  <c:v>1</c:v>
                </c:pt>
                <c:pt idx="14">
                  <c:v>1</c:v>
                </c:pt>
              </c:numCache>
            </c:numRef>
          </c:val>
          <c:extLst>
            <c:ext xmlns:c16="http://schemas.microsoft.com/office/drawing/2014/chart" uri="{C3380CC4-5D6E-409C-BE32-E72D297353CC}">
              <c16:uniqueId val="{00000000-2E78-4E8A-A995-997F0640242D}"/>
            </c:ext>
          </c:extLst>
        </c:ser>
        <c:ser>
          <c:idx val="1"/>
          <c:order val="1"/>
          <c:tx>
            <c:strRef>
              <c:f>'Week-5'!$Y$138:$Y$139</c:f>
              <c:strCache>
                <c:ptCount val="1"/>
                <c:pt idx="0">
                  <c:v>Male</c:v>
                </c:pt>
              </c:strCache>
            </c:strRef>
          </c:tx>
          <c:spPr>
            <a:solidFill>
              <a:schemeClr val="accent2"/>
            </a:solidFill>
            <a:ln>
              <a:noFill/>
            </a:ln>
            <a:effectLst/>
          </c:spPr>
          <c:invertIfNegative val="0"/>
          <c:cat>
            <c:multiLvlStrRef>
              <c:f>'Week-5'!$W$140:$W$162</c:f>
              <c:multiLvlStrCache>
                <c:ptCount val="15"/>
                <c:lvl>
                  <c:pt idx="0">
                    <c:v>19 - 24</c:v>
                  </c:pt>
                  <c:pt idx="1">
                    <c:v>25 - 29</c:v>
                  </c:pt>
                  <c:pt idx="2">
                    <c:v>40 - 44</c:v>
                  </c:pt>
                  <c:pt idx="3">
                    <c:v>19 - 24</c:v>
                  </c:pt>
                  <c:pt idx="4">
                    <c:v>30 - 34</c:v>
                  </c:pt>
                  <c:pt idx="5">
                    <c:v>45 - 49</c:v>
                  </c:pt>
                  <c:pt idx="6">
                    <c:v>25 - 29</c:v>
                  </c:pt>
                  <c:pt idx="7">
                    <c:v>40 - 44</c:v>
                  </c:pt>
                  <c:pt idx="8">
                    <c:v>19 - 24</c:v>
                  </c:pt>
                  <c:pt idx="9">
                    <c:v>25 - 29</c:v>
                  </c:pt>
                  <c:pt idx="10">
                    <c:v>19 - 24</c:v>
                  </c:pt>
                  <c:pt idx="11">
                    <c:v>25 - 29</c:v>
                  </c:pt>
                  <c:pt idx="12">
                    <c:v>30 - 34</c:v>
                  </c:pt>
                  <c:pt idx="13">
                    <c:v>35 - 39</c:v>
                  </c:pt>
                  <c:pt idx="14">
                    <c:v>45 - 49</c:v>
                  </c:pt>
                </c:lvl>
                <c:lvl>
                  <c:pt idx="0">
                    <c:v>1 km to 5 km</c:v>
                  </c:pt>
                  <c:pt idx="3">
                    <c:v>11 km to 15 km</c:v>
                  </c:pt>
                  <c:pt idx="4">
                    <c:v>16 km to 20 km</c:v>
                  </c:pt>
                  <c:pt idx="6">
                    <c:v>6 km to 10 km</c:v>
                  </c:pt>
                  <c:pt idx="7">
                    <c:v>Less than 1 km</c:v>
                  </c:pt>
                  <c:pt idx="8">
                    <c:v>More than 20 km</c:v>
                  </c:pt>
                  <c:pt idx="10">
                    <c:v>School/Work at home</c:v>
                  </c:pt>
                </c:lvl>
              </c:multiLvlStrCache>
            </c:multiLvlStrRef>
          </c:cat>
          <c:val>
            <c:numRef>
              <c:f>'Week-5'!$Y$140:$Y$162</c:f>
              <c:numCache>
                <c:formatCode>General</c:formatCode>
                <c:ptCount val="15"/>
                <c:pt idx="0">
                  <c:v>1</c:v>
                </c:pt>
                <c:pt idx="1">
                  <c:v>1</c:v>
                </c:pt>
                <c:pt idx="2">
                  <c:v>1</c:v>
                </c:pt>
                <c:pt idx="3">
                  <c:v>1</c:v>
                </c:pt>
                <c:pt idx="5">
                  <c:v>1</c:v>
                </c:pt>
                <c:pt idx="8">
                  <c:v>2</c:v>
                </c:pt>
                <c:pt idx="9">
                  <c:v>1</c:v>
                </c:pt>
                <c:pt idx="10">
                  <c:v>8</c:v>
                </c:pt>
                <c:pt idx="13">
                  <c:v>1</c:v>
                </c:pt>
                <c:pt idx="14">
                  <c:v>1</c:v>
                </c:pt>
              </c:numCache>
            </c:numRef>
          </c:val>
          <c:extLst>
            <c:ext xmlns:c16="http://schemas.microsoft.com/office/drawing/2014/chart" uri="{C3380CC4-5D6E-409C-BE32-E72D297353CC}">
              <c16:uniqueId val="{00000001-2E78-4E8A-A995-997F0640242D}"/>
            </c:ext>
          </c:extLst>
        </c:ser>
        <c:dLbls>
          <c:showLegendKey val="0"/>
          <c:showVal val="0"/>
          <c:showCatName val="0"/>
          <c:showSerName val="0"/>
          <c:showPercent val="0"/>
          <c:showBubbleSize val="0"/>
        </c:dLbls>
        <c:gapWidth val="219"/>
        <c:overlap val="-27"/>
        <c:axId val="880258992"/>
        <c:axId val="880257744"/>
      </c:barChart>
      <c:catAx>
        <c:axId val="880258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Distance by 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257744"/>
        <c:crosses val="autoZero"/>
        <c:auto val="1"/>
        <c:lblAlgn val="ctr"/>
        <c:lblOffset val="100"/>
        <c:noMultiLvlLbl val="0"/>
      </c:catAx>
      <c:valAx>
        <c:axId val="880257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25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[vergara_aaroncharles_EESB01_capstone.xlsx]Week-5!PivotTable14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Distance from School/Work</a:t>
            </a:r>
            <a:r>
              <a:rPr lang="en-PH" baseline="0"/>
              <a:t> during Pre-COVID Conditions by Pre-COVID Occupation</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'Week-5'!$X$53:$X$54</c:f>
              <c:strCache>
                <c:ptCount val="1"/>
                <c:pt idx="0">
                  <c:v>Female</c:v>
                </c:pt>
              </c:strCache>
            </c:strRef>
          </c:tx>
          <c:spPr>
            <a:solidFill>
              <a:schemeClr val="accent1"/>
            </a:solidFill>
            <a:ln>
              <a:noFill/>
            </a:ln>
            <a:effectLst/>
          </c:spPr>
          <c:invertIfNegative val="0"/>
          <c:cat>
            <c:multiLvlStrRef>
              <c:f>'Week-5'!$W$55:$W$79</c:f>
              <c:multiLvlStrCache>
                <c:ptCount val="17"/>
                <c:lvl>
                  <c:pt idx="0">
                    <c:v>Full-time</c:v>
                  </c:pt>
                  <c:pt idx="1">
                    <c:v>Part-time</c:v>
                  </c:pt>
                  <c:pt idx="2">
                    <c:v>Student</c:v>
                  </c:pt>
                  <c:pt idx="3">
                    <c:v>Unemployed, looking for work</c:v>
                  </c:pt>
                  <c:pt idx="4">
                    <c:v>Student</c:v>
                  </c:pt>
                  <c:pt idx="5">
                    <c:v>Full-time</c:v>
                  </c:pt>
                  <c:pt idx="6">
                    <c:v>Full-time</c:v>
                  </c:pt>
                  <c:pt idx="7">
                    <c:v>Student</c:v>
                  </c:pt>
                  <c:pt idx="8">
                    <c:v>Full-time</c:v>
                  </c:pt>
                  <c:pt idx="9">
                    <c:v>Student</c:v>
                  </c:pt>
                  <c:pt idx="10">
                    <c:v>Full-time</c:v>
                  </c:pt>
                  <c:pt idx="11">
                    <c:v>Student</c:v>
                  </c:pt>
                  <c:pt idx="12">
                    <c:v>Full-time</c:v>
                  </c:pt>
                  <c:pt idx="13">
                    <c:v>Part-time</c:v>
                  </c:pt>
                  <c:pt idx="14">
                    <c:v>Student</c:v>
                  </c:pt>
                  <c:pt idx="15">
                    <c:v>Unemployed, looking for work</c:v>
                  </c:pt>
                  <c:pt idx="16">
                    <c:v>Unemployed, not looking for work</c:v>
                  </c:pt>
                </c:lvl>
                <c:lvl>
                  <c:pt idx="0">
                    <c:v>1 km to 5 km</c:v>
                  </c:pt>
                  <c:pt idx="4">
                    <c:v>11 km to 15 km</c:v>
                  </c:pt>
                  <c:pt idx="5">
                    <c:v>16 km to 20 km</c:v>
                  </c:pt>
                  <c:pt idx="6">
                    <c:v>6 km to 10 km</c:v>
                  </c:pt>
                  <c:pt idx="8">
                    <c:v>Less than 1 km</c:v>
                  </c:pt>
                  <c:pt idx="10">
                    <c:v>More than 20 km</c:v>
                  </c:pt>
                  <c:pt idx="12">
                    <c:v>School/Work at home</c:v>
                  </c:pt>
                </c:lvl>
              </c:multiLvlStrCache>
            </c:multiLvlStrRef>
          </c:cat>
          <c:val>
            <c:numRef>
              <c:f>'Week-5'!$X$55:$X$79</c:f>
              <c:numCache>
                <c:formatCode>General</c:formatCode>
                <c:ptCount val="17"/>
                <c:pt idx="0">
                  <c:v>2</c:v>
                </c:pt>
                <c:pt idx="1">
                  <c:v>1</c:v>
                </c:pt>
                <c:pt idx="2">
                  <c:v>1</c:v>
                </c:pt>
                <c:pt idx="3">
                  <c:v>1</c:v>
                </c:pt>
                <c:pt idx="4">
                  <c:v>1</c:v>
                </c:pt>
                <c:pt idx="5">
                  <c:v>2</c:v>
                </c:pt>
                <c:pt idx="6">
                  <c:v>1</c:v>
                </c:pt>
                <c:pt idx="8">
                  <c:v>1</c:v>
                </c:pt>
                <c:pt idx="11">
                  <c:v>2</c:v>
                </c:pt>
                <c:pt idx="12">
                  <c:v>1</c:v>
                </c:pt>
                <c:pt idx="15">
                  <c:v>2</c:v>
                </c:pt>
                <c:pt idx="16">
                  <c:v>2</c:v>
                </c:pt>
              </c:numCache>
            </c:numRef>
          </c:val>
          <c:extLst>
            <c:ext xmlns:c16="http://schemas.microsoft.com/office/drawing/2014/chart" uri="{C3380CC4-5D6E-409C-BE32-E72D297353CC}">
              <c16:uniqueId val="{00000000-6EB8-4B55-AC73-15D43AAB9A69}"/>
            </c:ext>
          </c:extLst>
        </c:ser>
        <c:ser>
          <c:idx val="1"/>
          <c:order val="1"/>
          <c:tx>
            <c:strRef>
              <c:f>'Week-5'!$Y$53:$Y$54</c:f>
              <c:strCache>
                <c:ptCount val="1"/>
                <c:pt idx="0">
                  <c:v>Male</c:v>
                </c:pt>
              </c:strCache>
            </c:strRef>
          </c:tx>
          <c:spPr>
            <a:solidFill>
              <a:schemeClr val="accent2"/>
            </a:solidFill>
            <a:ln>
              <a:noFill/>
            </a:ln>
            <a:effectLst/>
          </c:spPr>
          <c:invertIfNegative val="0"/>
          <c:cat>
            <c:multiLvlStrRef>
              <c:f>'Week-5'!$W$55:$W$79</c:f>
              <c:multiLvlStrCache>
                <c:ptCount val="17"/>
                <c:lvl>
                  <c:pt idx="0">
                    <c:v>Full-time</c:v>
                  </c:pt>
                  <c:pt idx="1">
                    <c:v>Part-time</c:v>
                  </c:pt>
                  <c:pt idx="2">
                    <c:v>Student</c:v>
                  </c:pt>
                  <c:pt idx="3">
                    <c:v>Unemployed, looking for work</c:v>
                  </c:pt>
                  <c:pt idx="4">
                    <c:v>Student</c:v>
                  </c:pt>
                  <c:pt idx="5">
                    <c:v>Full-time</c:v>
                  </c:pt>
                  <c:pt idx="6">
                    <c:v>Full-time</c:v>
                  </c:pt>
                  <c:pt idx="7">
                    <c:v>Student</c:v>
                  </c:pt>
                  <c:pt idx="8">
                    <c:v>Full-time</c:v>
                  </c:pt>
                  <c:pt idx="9">
                    <c:v>Student</c:v>
                  </c:pt>
                  <c:pt idx="10">
                    <c:v>Full-time</c:v>
                  </c:pt>
                  <c:pt idx="11">
                    <c:v>Student</c:v>
                  </c:pt>
                  <c:pt idx="12">
                    <c:v>Full-time</c:v>
                  </c:pt>
                  <c:pt idx="13">
                    <c:v>Part-time</c:v>
                  </c:pt>
                  <c:pt idx="14">
                    <c:v>Student</c:v>
                  </c:pt>
                  <c:pt idx="15">
                    <c:v>Unemployed, looking for work</c:v>
                  </c:pt>
                  <c:pt idx="16">
                    <c:v>Unemployed, not looking for work</c:v>
                  </c:pt>
                </c:lvl>
                <c:lvl>
                  <c:pt idx="0">
                    <c:v>1 km to 5 km</c:v>
                  </c:pt>
                  <c:pt idx="4">
                    <c:v>11 km to 15 km</c:v>
                  </c:pt>
                  <c:pt idx="5">
                    <c:v>16 km to 20 km</c:v>
                  </c:pt>
                  <c:pt idx="6">
                    <c:v>6 km to 10 km</c:v>
                  </c:pt>
                  <c:pt idx="8">
                    <c:v>Less than 1 km</c:v>
                  </c:pt>
                  <c:pt idx="10">
                    <c:v>More than 20 km</c:v>
                  </c:pt>
                  <c:pt idx="12">
                    <c:v>School/Work at home</c:v>
                  </c:pt>
                </c:lvl>
              </c:multiLvlStrCache>
            </c:multiLvlStrRef>
          </c:cat>
          <c:val>
            <c:numRef>
              <c:f>'Week-5'!$Y$55:$Y$79</c:f>
              <c:numCache>
                <c:formatCode>General</c:formatCode>
                <c:ptCount val="17"/>
                <c:pt idx="0">
                  <c:v>1</c:v>
                </c:pt>
                <c:pt idx="2">
                  <c:v>3</c:v>
                </c:pt>
                <c:pt idx="4">
                  <c:v>2</c:v>
                </c:pt>
                <c:pt idx="5">
                  <c:v>1</c:v>
                </c:pt>
                <c:pt idx="7">
                  <c:v>1</c:v>
                </c:pt>
                <c:pt idx="8">
                  <c:v>1</c:v>
                </c:pt>
                <c:pt idx="9">
                  <c:v>1</c:v>
                </c:pt>
                <c:pt idx="10">
                  <c:v>1</c:v>
                </c:pt>
                <c:pt idx="11">
                  <c:v>3</c:v>
                </c:pt>
                <c:pt idx="12">
                  <c:v>1</c:v>
                </c:pt>
                <c:pt idx="13">
                  <c:v>1</c:v>
                </c:pt>
                <c:pt idx="14">
                  <c:v>1</c:v>
                </c:pt>
                <c:pt idx="16">
                  <c:v>1</c:v>
                </c:pt>
              </c:numCache>
            </c:numRef>
          </c:val>
          <c:extLst>
            <c:ext xmlns:c16="http://schemas.microsoft.com/office/drawing/2014/chart" uri="{C3380CC4-5D6E-409C-BE32-E72D297353CC}">
              <c16:uniqueId val="{00000001-6EB8-4B55-AC73-15D43AAB9A69}"/>
            </c:ext>
          </c:extLst>
        </c:ser>
        <c:dLbls>
          <c:showLegendKey val="0"/>
          <c:showVal val="0"/>
          <c:showCatName val="0"/>
          <c:showSerName val="0"/>
          <c:showPercent val="0"/>
          <c:showBubbleSize val="0"/>
        </c:dLbls>
        <c:gapWidth val="219"/>
        <c:overlap val="-27"/>
        <c:axId val="1104388479"/>
        <c:axId val="1104385151"/>
      </c:barChart>
      <c:catAx>
        <c:axId val="11043884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Distance by Pre-COVID</a:t>
                </a:r>
                <a:r>
                  <a:rPr lang="en-PH" baseline="0"/>
                  <a:t> Occupation</a:t>
                </a:r>
                <a:endParaRPr lang="en-PH"/>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385151"/>
        <c:crosses val="autoZero"/>
        <c:auto val="1"/>
        <c:lblAlgn val="ctr"/>
        <c:lblOffset val="100"/>
        <c:noMultiLvlLbl val="0"/>
      </c:catAx>
      <c:valAx>
        <c:axId val="1104385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3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[vergara_aaroncharles_EESB01_capstone.xlsx]Week-5!PivotTable16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Distance from</a:t>
            </a:r>
            <a:r>
              <a:rPr lang="en-PH" baseline="0"/>
              <a:t> School/Work during Post-COVID Condtions by Post-COVID Occupation</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'Week-5'!$X$82:$X$83</c:f>
              <c:strCache>
                <c:ptCount val="1"/>
                <c:pt idx="0">
                  <c:v>Female</c:v>
                </c:pt>
              </c:strCache>
            </c:strRef>
          </c:tx>
          <c:spPr>
            <a:solidFill>
              <a:schemeClr val="accent1"/>
            </a:solidFill>
            <a:ln>
              <a:noFill/>
            </a:ln>
            <a:effectLst/>
          </c:spPr>
          <c:invertIfNegative val="0"/>
          <c:cat>
            <c:multiLvlStrRef>
              <c:f>'Week-5'!$W$84:$W$104</c:f>
              <c:multiLvlStrCache>
                <c:ptCount val="13"/>
                <c:lvl>
                  <c:pt idx="0">
                    <c:v>Full-time</c:v>
                  </c:pt>
                  <c:pt idx="1">
                    <c:v>Part-time</c:v>
                  </c:pt>
                  <c:pt idx="2">
                    <c:v>Student</c:v>
                  </c:pt>
                  <c:pt idx="3">
                    <c:v>Full-time</c:v>
                  </c:pt>
                  <c:pt idx="4">
                    <c:v>Full-time</c:v>
                  </c:pt>
                  <c:pt idx="5">
                    <c:v>Part-time</c:v>
                  </c:pt>
                  <c:pt idx="6">
                    <c:v>Full-time</c:v>
                  </c:pt>
                  <c:pt idx="7">
                    <c:v>Student</c:v>
                  </c:pt>
                  <c:pt idx="8">
                    <c:v>Full-time</c:v>
                  </c:pt>
                  <c:pt idx="9">
                    <c:v>Part-time</c:v>
                  </c:pt>
                  <c:pt idx="10">
                    <c:v>Unemployed, looking for work</c:v>
                  </c:pt>
                  <c:pt idx="11">
                    <c:v>Unemployed, not looking for work</c:v>
                  </c:pt>
                  <c:pt idx="12">
                    <c:v>Student</c:v>
                  </c:pt>
                </c:lvl>
                <c:lvl>
                  <c:pt idx="0">
                    <c:v>1 km to 5 km</c:v>
                  </c:pt>
                  <c:pt idx="2">
                    <c:v>11 km to 15 km</c:v>
                  </c:pt>
                  <c:pt idx="3">
                    <c:v>16 km to 20 km</c:v>
                  </c:pt>
                  <c:pt idx="4">
                    <c:v>6 km to 10 km</c:v>
                  </c:pt>
                  <c:pt idx="5">
                    <c:v>Less than 1 km</c:v>
                  </c:pt>
                  <c:pt idx="6">
                    <c:v>More than 20 km</c:v>
                  </c:pt>
                  <c:pt idx="8">
                    <c:v>School/Work at home</c:v>
                  </c:pt>
                </c:lvl>
              </c:multiLvlStrCache>
            </c:multiLvlStrRef>
          </c:cat>
          <c:val>
            <c:numRef>
              <c:f>'Week-5'!$X$84:$X$104</c:f>
              <c:numCache>
                <c:formatCode>General</c:formatCode>
                <c:ptCount val="13"/>
                <c:pt idx="0">
                  <c:v>1</c:v>
                </c:pt>
                <c:pt idx="2">
                  <c:v>1</c:v>
                </c:pt>
                <c:pt idx="3">
                  <c:v>1</c:v>
                </c:pt>
                <c:pt idx="4">
                  <c:v>1</c:v>
                </c:pt>
                <c:pt idx="5">
                  <c:v>1</c:v>
                </c:pt>
                <c:pt idx="7">
                  <c:v>1</c:v>
                </c:pt>
                <c:pt idx="8">
                  <c:v>6</c:v>
                </c:pt>
                <c:pt idx="10">
                  <c:v>2</c:v>
                </c:pt>
                <c:pt idx="11">
                  <c:v>1</c:v>
                </c:pt>
                <c:pt idx="12">
                  <c:v>2</c:v>
                </c:pt>
              </c:numCache>
            </c:numRef>
          </c:val>
          <c:extLst>
            <c:ext xmlns:c16="http://schemas.microsoft.com/office/drawing/2014/chart" uri="{C3380CC4-5D6E-409C-BE32-E72D297353CC}">
              <c16:uniqueId val="{00000000-41E5-499E-963B-98D207750599}"/>
            </c:ext>
          </c:extLst>
        </c:ser>
        <c:ser>
          <c:idx val="1"/>
          <c:order val="1"/>
          <c:tx>
            <c:strRef>
              <c:f>'Week-5'!$Y$82:$Y$83</c:f>
              <c:strCache>
                <c:ptCount val="1"/>
                <c:pt idx="0">
                  <c:v>Male</c:v>
                </c:pt>
              </c:strCache>
            </c:strRef>
          </c:tx>
          <c:spPr>
            <a:solidFill>
              <a:schemeClr val="accent2"/>
            </a:solidFill>
            <a:ln>
              <a:noFill/>
            </a:ln>
            <a:effectLst/>
          </c:spPr>
          <c:invertIfNegative val="0"/>
          <c:cat>
            <c:multiLvlStrRef>
              <c:f>'Week-5'!$W$84:$W$104</c:f>
              <c:multiLvlStrCache>
                <c:ptCount val="13"/>
                <c:lvl>
                  <c:pt idx="0">
                    <c:v>Full-time</c:v>
                  </c:pt>
                  <c:pt idx="1">
                    <c:v>Part-time</c:v>
                  </c:pt>
                  <c:pt idx="2">
                    <c:v>Student</c:v>
                  </c:pt>
                  <c:pt idx="3">
                    <c:v>Full-time</c:v>
                  </c:pt>
                  <c:pt idx="4">
                    <c:v>Full-time</c:v>
                  </c:pt>
                  <c:pt idx="5">
                    <c:v>Part-time</c:v>
                  </c:pt>
                  <c:pt idx="6">
                    <c:v>Full-time</c:v>
                  </c:pt>
                  <c:pt idx="7">
                    <c:v>Student</c:v>
                  </c:pt>
                  <c:pt idx="8">
                    <c:v>Full-time</c:v>
                  </c:pt>
                  <c:pt idx="9">
                    <c:v>Part-time</c:v>
                  </c:pt>
                  <c:pt idx="10">
                    <c:v>Unemployed, looking for work</c:v>
                  </c:pt>
                  <c:pt idx="11">
                    <c:v>Unemployed, not looking for work</c:v>
                  </c:pt>
                  <c:pt idx="12">
                    <c:v>Student</c:v>
                  </c:pt>
                </c:lvl>
                <c:lvl>
                  <c:pt idx="0">
                    <c:v>1 km to 5 km</c:v>
                  </c:pt>
                  <c:pt idx="2">
                    <c:v>11 km to 15 km</c:v>
                  </c:pt>
                  <c:pt idx="3">
                    <c:v>16 km to 20 km</c:v>
                  </c:pt>
                  <c:pt idx="4">
                    <c:v>6 km to 10 km</c:v>
                  </c:pt>
                  <c:pt idx="5">
                    <c:v>Less than 1 km</c:v>
                  </c:pt>
                  <c:pt idx="6">
                    <c:v>More than 20 km</c:v>
                  </c:pt>
                  <c:pt idx="8">
                    <c:v>School/Work at home</c:v>
                  </c:pt>
                </c:lvl>
              </c:multiLvlStrCache>
            </c:multiLvlStrRef>
          </c:cat>
          <c:val>
            <c:numRef>
              <c:f>'Week-5'!$Y$84:$Y$104</c:f>
              <c:numCache>
                <c:formatCode>General</c:formatCode>
                <c:ptCount val="13"/>
                <c:pt idx="0">
                  <c:v>2</c:v>
                </c:pt>
                <c:pt idx="1">
                  <c:v>1</c:v>
                </c:pt>
                <c:pt idx="2">
                  <c:v>1</c:v>
                </c:pt>
                <c:pt idx="3">
                  <c:v>1</c:v>
                </c:pt>
                <c:pt idx="6">
                  <c:v>1</c:v>
                </c:pt>
                <c:pt idx="7">
                  <c:v>2</c:v>
                </c:pt>
                <c:pt idx="8">
                  <c:v>1</c:v>
                </c:pt>
                <c:pt idx="9">
                  <c:v>1</c:v>
                </c:pt>
                <c:pt idx="10">
                  <c:v>1</c:v>
                </c:pt>
                <c:pt idx="12">
                  <c:v>7</c:v>
                </c:pt>
              </c:numCache>
            </c:numRef>
          </c:val>
          <c:extLst>
            <c:ext xmlns:c16="http://schemas.microsoft.com/office/drawing/2014/chart" uri="{C3380CC4-5D6E-409C-BE32-E72D297353CC}">
              <c16:uniqueId val="{00000001-41E5-499E-963B-98D207750599}"/>
            </c:ext>
          </c:extLst>
        </c:ser>
        <c:dLbls>
          <c:showLegendKey val="0"/>
          <c:showVal val="0"/>
          <c:showCatName val="0"/>
          <c:showSerName val="0"/>
          <c:showPercent val="0"/>
          <c:showBubbleSize val="0"/>
        </c:dLbls>
        <c:gapWidth val="219"/>
        <c:overlap val="-27"/>
        <c:axId val="1105638927"/>
        <c:axId val="1105638511"/>
      </c:barChart>
      <c:catAx>
        <c:axId val="11056389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Distance by Post-COVID</a:t>
                </a:r>
                <a:r>
                  <a:rPr lang="en-PH" baseline="0"/>
                  <a:t> Occupation</a:t>
                </a:r>
                <a:endParaRPr lang="en-PH"/>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638511"/>
        <c:crosses val="autoZero"/>
        <c:auto val="1"/>
        <c:lblAlgn val="ctr"/>
        <c:lblOffset val="100"/>
        <c:noMultiLvlLbl val="0"/>
      </c:catAx>
      <c:valAx>
        <c:axId val="1105638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638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[vergara_aaroncharles_EESB01_capstone.xlsx]Week-5!PivotTable15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Methods of Travel Used</a:t>
            </a:r>
            <a:r>
              <a:rPr lang="en-PH" baseline="0"/>
              <a:t> Pre-COVID by Pre-COVID Occupation</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'Week-5'!$AC$53:$AC$54</c:f>
              <c:strCache>
                <c:ptCount val="1"/>
                <c:pt idx="0">
                  <c:v>Female</c:v>
                </c:pt>
              </c:strCache>
            </c:strRef>
          </c:tx>
          <c:spPr>
            <a:solidFill>
              <a:schemeClr val="accent1"/>
            </a:solidFill>
            <a:ln>
              <a:noFill/>
            </a:ln>
            <a:effectLst/>
          </c:spPr>
          <c:invertIfNegative val="0"/>
          <c:cat>
            <c:multiLvlStrRef>
              <c:f>'Week-5'!$AB$55:$AB$80</c:f>
              <c:multiLvlStrCache>
                <c:ptCount val="17"/>
                <c:lvl>
                  <c:pt idx="0">
                    <c:v>Full-time</c:v>
                  </c:pt>
                  <c:pt idx="1">
                    <c:v>Student</c:v>
                  </c:pt>
                  <c:pt idx="2">
                    <c:v>Full-time</c:v>
                  </c:pt>
                  <c:pt idx="3">
                    <c:v>Student</c:v>
                  </c:pt>
                  <c:pt idx="4">
                    <c:v>Full-time</c:v>
                  </c:pt>
                  <c:pt idx="5">
                    <c:v>Student</c:v>
                  </c:pt>
                  <c:pt idx="6">
                    <c:v>Part-time</c:v>
                  </c:pt>
                  <c:pt idx="7">
                    <c:v>Full-time</c:v>
                  </c:pt>
                  <c:pt idx="8">
                    <c:v>Part-time</c:v>
                  </c:pt>
                  <c:pt idx="9">
                    <c:v>Student</c:v>
                  </c:pt>
                  <c:pt idx="10">
                    <c:v>Unemployed, looking for work</c:v>
                  </c:pt>
                  <c:pt idx="11">
                    <c:v>Unemployed, not looking for work</c:v>
                  </c:pt>
                  <c:pt idx="12">
                    <c:v>Full-time</c:v>
                  </c:pt>
                  <c:pt idx="13">
                    <c:v>Student</c:v>
                  </c:pt>
                  <c:pt idx="14">
                    <c:v>Unemployed, looking for work</c:v>
                  </c:pt>
                  <c:pt idx="15">
                    <c:v>Full-time</c:v>
                  </c:pt>
                  <c:pt idx="16">
                    <c:v>Student</c:v>
                  </c:pt>
                </c:lvl>
                <c:lvl>
                  <c:pt idx="0">
                    <c:v>Bike</c:v>
                  </c:pt>
                  <c:pt idx="1">
                    <c:v>Bus</c:v>
                  </c:pt>
                  <c:pt idx="2">
                    <c:v>Jeepney</c:v>
                  </c:pt>
                  <c:pt idx="4">
                    <c:v>Just Walking</c:v>
                  </c:pt>
                  <c:pt idx="6">
                    <c:v>Motorcycle</c:v>
                  </c:pt>
                  <c:pt idx="7">
                    <c:v>None</c:v>
                  </c:pt>
                  <c:pt idx="12">
                    <c:v>Private Car</c:v>
                  </c:pt>
                  <c:pt idx="15">
                    <c:v>Tricycle</c:v>
                  </c:pt>
                </c:lvl>
              </c:multiLvlStrCache>
            </c:multiLvlStrRef>
          </c:cat>
          <c:val>
            <c:numRef>
              <c:f>'Week-5'!$AC$55:$AC$80</c:f>
              <c:numCache>
                <c:formatCode>General</c:formatCode>
                <c:ptCount val="17"/>
                <c:pt idx="1">
                  <c:v>1</c:v>
                </c:pt>
                <c:pt idx="2">
                  <c:v>2</c:v>
                </c:pt>
                <c:pt idx="3">
                  <c:v>2</c:v>
                </c:pt>
                <c:pt idx="4">
                  <c:v>1</c:v>
                </c:pt>
                <c:pt idx="5">
                  <c:v>1</c:v>
                </c:pt>
                <c:pt idx="6">
                  <c:v>1</c:v>
                </c:pt>
                <c:pt idx="7">
                  <c:v>1</c:v>
                </c:pt>
                <c:pt idx="10">
                  <c:v>2</c:v>
                </c:pt>
                <c:pt idx="11">
                  <c:v>2</c:v>
                </c:pt>
                <c:pt idx="12">
                  <c:v>1</c:v>
                </c:pt>
                <c:pt idx="14">
                  <c:v>1</c:v>
                </c:pt>
                <c:pt idx="15">
                  <c:v>2</c:v>
                </c:pt>
              </c:numCache>
            </c:numRef>
          </c:val>
          <c:extLst>
            <c:ext xmlns:c16="http://schemas.microsoft.com/office/drawing/2014/chart" uri="{C3380CC4-5D6E-409C-BE32-E72D297353CC}">
              <c16:uniqueId val="{00000000-87D5-4026-8B12-68B47794CEF3}"/>
            </c:ext>
          </c:extLst>
        </c:ser>
        <c:ser>
          <c:idx val="1"/>
          <c:order val="1"/>
          <c:tx>
            <c:strRef>
              <c:f>'Week-5'!$AD$53:$AD$54</c:f>
              <c:strCache>
                <c:ptCount val="1"/>
                <c:pt idx="0">
                  <c:v>Male</c:v>
                </c:pt>
              </c:strCache>
            </c:strRef>
          </c:tx>
          <c:spPr>
            <a:solidFill>
              <a:schemeClr val="accent2"/>
            </a:solidFill>
            <a:ln>
              <a:noFill/>
            </a:ln>
            <a:effectLst/>
          </c:spPr>
          <c:invertIfNegative val="0"/>
          <c:cat>
            <c:multiLvlStrRef>
              <c:f>'Week-5'!$AB$55:$AB$80</c:f>
              <c:multiLvlStrCache>
                <c:ptCount val="17"/>
                <c:lvl>
                  <c:pt idx="0">
                    <c:v>Full-time</c:v>
                  </c:pt>
                  <c:pt idx="1">
                    <c:v>Student</c:v>
                  </c:pt>
                  <c:pt idx="2">
                    <c:v>Full-time</c:v>
                  </c:pt>
                  <c:pt idx="3">
                    <c:v>Student</c:v>
                  </c:pt>
                  <c:pt idx="4">
                    <c:v>Full-time</c:v>
                  </c:pt>
                  <c:pt idx="5">
                    <c:v>Student</c:v>
                  </c:pt>
                  <c:pt idx="6">
                    <c:v>Part-time</c:v>
                  </c:pt>
                  <c:pt idx="7">
                    <c:v>Full-time</c:v>
                  </c:pt>
                  <c:pt idx="8">
                    <c:v>Part-time</c:v>
                  </c:pt>
                  <c:pt idx="9">
                    <c:v>Student</c:v>
                  </c:pt>
                  <c:pt idx="10">
                    <c:v>Unemployed, looking for work</c:v>
                  </c:pt>
                  <c:pt idx="11">
                    <c:v>Unemployed, not looking for work</c:v>
                  </c:pt>
                  <c:pt idx="12">
                    <c:v>Full-time</c:v>
                  </c:pt>
                  <c:pt idx="13">
                    <c:v>Student</c:v>
                  </c:pt>
                  <c:pt idx="14">
                    <c:v>Unemployed, looking for work</c:v>
                  </c:pt>
                  <c:pt idx="15">
                    <c:v>Full-time</c:v>
                  </c:pt>
                  <c:pt idx="16">
                    <c:v>Student</c:v>
                  </c:pt>
                </c:lvl>
                <c:lvl>
                  <c:pt idx="0">
                    <c:v>Bike</c:v>
                  </c:pt>
                  <c:pt idx="1">
                    <c:v>Bus</c:v>
                  </c:pt>
                  <c:pt idx="2">
                    <c:v>Jeepney</c:v>
                  </c:pt>
                  <c:pt idx="4">
                    <c:v>Just Walking</c:v>
                  </c:pt>
                  <c:pt idx="6">
                    <c:v>Motorcycle</c:v>
                  </c:pt>
                  <c:pt idx="7">
                    <c:v>None</c:v>
                  </c:pt>
                  <c:pt idx="12">
                    <c:v>Private Car</c:v>
                  </c:pt>
                  <c:pt idx="15">
                    <c:v>Tricycle</c:v>
                  </c:pt>
                </c:lvl>
              </c:multiLvlStrCache>
            </c:multiLvlStrRef>
          </c:cat>
          <c:val>
            <c:numRef>
              <c:f>'Week-5'!$AD$55:$AD$80</c:f>
              <c:numCache>
                <c:formatCode>General</c:formatCode>
                <c:ptCount val="17"/>
                <c:pt idx="0">
                  <c:v>1</c:v>
                </c:pt>
                <c:pt idx="2">
                  <c:v>2</c:v>
                </c:pt>
                <c:pt idx="3">
                  <c:v>5</c:v>
                </c:pt>
                <c:pt idx="4">
                  <c:v>1</c:v>
                </c:pt>
                <c:pt idx="5">
                  <c:v>1</c:v>
                </c:pt>
                <c:pt idx="7">
                  <c:v>1</c:v>
                </c:pt>
                <c:pt idx="8">
                  <c:v>1</c:v>
                </c:pt>
                <c:pt idx="9">
                  <c:v>1</c:v>
                </c:pt>
                <c:pt idx="11">
                  <c:v>1</c:v>
                </c:pt>
                <c:pt idx="13">
                  <c:v>1</c:v>
                </c:pt>
                <c:pt idx="16">
                  <c:v>3</c:v>
                </c:pt>
              </c:numCache>
            </c:numRef>
          </c:val>
          <c:extLst>
            <c:ext xmlns:c16="http://schemas.microsoft.com/office/drawing/2014/chart" uri="{C3380CC4-5D6E-409C-BE32-E72D297353CC}">
              <c16:uniqueId val="{00000001-87D5-4026-8B12-68B47794CEF3}"/>
            </c:ext>
          </c:extLst>
        </c:ser>
        <c:dLbls>
          <c:showLegendKey val="0"/>
          <c:showVal val="0"/>
          <c:showCatName val="0"/>
          <c:showSerName val="0"/>
          <c:showPercent val="0"/>
          <c:showBubbleSize val="0"/>
        </c:dLbls>
        <c:gapWidth val="219"/>
        <c:overlap val="-27"/>
        <c:axId val="1105603983"/>
        <c:axId val="1105630191"/>
      </c:barChart>
      <c:catAx>
        <c:axId val="1105603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Method</a:t>
                </a:r>
                <a:r>
                  <a:rPr lang="en-PH" baseline="0"/>
                  <a:t> of Travel Used by Pre-COVID Occupation</a:t>
                </a:r>
                <a:endParaRPr lang="en-PH"/>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630191"/>
        <c:crosses val="autoZero"/>
        <c:auto val="1"/>
        <c:lblAlgn val="ctr"/>
        <c:lblOffset val="100"/>
        <c:noMultiLvlLbl val="0"/>
      </c:catAx>
      <c:valAx>
        <c:axId val="11056301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603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[vergara_aaroncharles_EESB01_capstone.xlsx]Week-5!PivotTable18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Methods of Travel Used Post-COVID by Post-COVID Occupation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'Week-5'!$AC$83:$AC$84</c:f>
              <c:strCache>
                <c:ptCount val="1"/>
                <c:pt idx="0">
                  <c:v>Female</c:v>
                </c:pt>
              </c:strCache>
            </c:strRef>
          </c:tx>
          <c:spPr>
            <a:solidFill>
              <a:schemeClr val="accent1"/>
            </a:solidFill>
            <a:ln>
              <a:noFill/>
            </a:ln>
            <a:effectLst/>
          </c:spPr>
          <c:invertIfNegative val="0"/>
          <c:cat>
            <c:multiLvlStrRef>
              <c:f>'Week-5'!$AB$85:$AB$107</c:f>
              <c:multiLvlStrCache>
                <c:ptCount val="15"/>
                <c:lvl>
                  <c:pt idx="0">
                    <c:v>Full-time</c:v>
                  </c:pt>
                  <c:pt idx="1">
                    <c:v>Part-time</c:v>
                  </c:pt>
                  <c:pt idx="2">
                    <c:v>Full-time</c:v>
                  </c:pt>
                  <c:pt idx="3">
                    <c:v>Student</c:v>
                  </c:pt>
                  <c:pt idx="4">
                    <c:v>Part-time</c:v>
                  </c:pt>
                  <c:pt idx="5">
                    <c:v>Full-time</c:v>
                  </c:pt>
                  <c:pt idx="6">
                    <c:v>Student</c:v>
                  </c:pt>
                  <c:pt idx="7">
                    <c:v>Full-time</c:v>
                  </c:pt>
                  <c:pt idx="8">
                    <c:v>Part-time</c:v>
                  </c:pt>
                  <c:pt idx="9">
                    <c:v>Student</c:v>
                  </c:pt>
                  <c:pt idx="10">
                    <c:v>Unemployed, looking for work</c:v>
                  </c:pt>
                  <c:pt idx="11">
                    <c:v>Unemployed, not looking for work</c:v>
                  </c:pt>
                  <c:pt idx="12">
                    <c:v>Full-time</c:v>
                  </c:pt>
                  <c:pt idx="13">
                    <c:v>Student</c:v>
                  </c:pt>
                  <c:pt idx="14">
                    <c:v>Full-time</c:v>
                  </c:pt>
                </c:lvl>
                <c:lvl>
                  <c:pt idx="0">
                    <c:v>Bike</c:v>
                  </c:pt>
                  <c:pt idx="2">
                    <c:v>Jeepney</c:v>
                  </c:pt>
                  <c:pt idx="4">
                    <c:v>Just Walking</c:v>
                  </c:pt>
                  <c:pt idx="5">
                    <c:v>Motorcycle</c:v>
                  </c:pt>
                  <c:pt idx="7">
                    <c:v>None</c:v>
                  </c:pt>
                  <c:pt idx="12">
                    <c:v>Private Car</c:v>
                  </c:pt>
                  <c:pt idx="14">
                    <c:v>Tricycle</c:v>
                  </c:pt>
                </c:lvl>
              </c:multiLvlStrCache>
            </c:multiLvlStrRef>
          </c:cat>
          <c:val>
            <c:numRef>
              <c:f>'Week-5'!$AC$85:$AC$107</c:f>
              <c:numCache>
                <c:formatCode>General</c:formatCode>
                <c:ptCount val="15"/>
                <c:pt idx="2">
                  <c:v>1</c:v>
                </c:pt>
                <c:pt idx="4">
                  <c:v>1</c:v>
                </c:pt>
                <c:pt idx="5">
                  <c:v>1</c:v>
                </c:pt>
                <c:pt idx="7">
                  <c:v>5</c:v>
                </c:pt>
                <c:pt idx="9">
                  <c:v>2</c:v>
                </c:pt>
                <c:pt idx="10">
                  <c:v>2</c:v>
                </c:pt>
                <c:pt idx="11">
                  <c:v>1</c:v>
                </c:pt>
                <c:pt idx="12">
                  <c:v>2</c:v>
                </c:pt>
                <c:pt idx="13">
                  <c:v>2</c:v>
                </c:pt>
              </c:numCache>
            </c:numRef>
          </c:val>
          <c:extLst>
            <c:ext xmlns:c16="http://schemas.microsoft.com/office/drawing/2014/chart" uri="{C3380CC4-5D6E-409C-BE32-E72D297353CC}">
              <c16:uniqueId val="{00000000-B4D6-4C77-8471-05487364AF0A}"/>
            </c:ext>
          </c:extLst>
        </c:ser>
        <c:ser>
          <c:idx val="1"/>
          <c:order val="1"/>
          <c:tx>
            <c:strRef>
              <c:f>'Week-5'!$AD$83:$AD$84</c:f>
              <c:strCache>
                <c:ptCount val="1"/>
                <c:pt idx="0">
                  <c:v>Male</c:v>
                </c:pt>
              </c:strCache>
            </c:strRef>
          </c:tx>
          <c:spPr>
            <a:solidFill>
              <a:schemeClr val="accent2"/>
            </a:solidFill>
            <a:ln>
              <a:noFill/>
            </a:ln>
            <a:effectLst/>
          </c:spPr>
          <c:invertIfNegative val="0"/>
          <c:cat>
            <c:multiLvlStrRef>
              <c:f>'Week-5'!$AB$85:$AB$107</c:f>
              <c:multiLvlStrCache>
                <c:ptCount val="15"/>
                <c:lvl>
                  <c:pt idx="0">
                    <c:v>Full-time</c:v>
                  </c:pt>
                  <c:pt idx="1">
                    <c:v>Part-time</c:v>
                  </c:pt>
                  <c:pt idx="2">
                    <c:v>Full-time</c:v>
                  </c:pt>
                  <c:pt idx="3">
                    <c:v>Student</c:v>
                  </c:pt>
                  <c:pt idx="4">
                    <c:v>Part-time</c:v>
                  </c:pt>
                  <c:pt idx="5">
                    <c:v>Full-time</c:v>
                  </c:pt>
                  <c:pt idx="6">
                    <c:v>Student</c:v>
                  </c:pt>
                  <c:pt idx="7">
                    <c:v>Full-time</c:v>
                  </c:pt>
                  <c:pt idx="8">
                    <c:v>Part-time</c:v>
                  </c:pt>
                  <c:pt idx="9">
                    <c:v>Student</c:v>
                  </c:pt>
                  <c:pt idx="10">
                    <c:v>Unemployed, looking for work</c:v>
                  </c:pt>
                  <c:pt idx="11">
                    <c:v>Unemployed, not looking for work</c:v>
                  </c:pt>
                  <c:pt idx="12">
                    <c:v>Full-time</c:v>
                  </c:pt>
                  <c:pt idx="13">
                    <c:v>Student</c:v>
                  </c:pt>
                  <c:pt idx="14">
                    <c:v>Full-time</c:v>
                  </c:pt>
                </c:lvl>
                <c:lvl>
                  <c:pt idx="0">
                    <c:v>Bike</c:v>
                  </c:pt>
                  <c:pt idx="2">
                    <c:v>Jeepney</c:v>
                  </c:pt>
                  <c:pt idx="4">
                    <c:v>Just Walking</c:v>
                  </c:pt>
                  <c:pt idx="5">
                    <c:v>Motorcycle</c:v>
                  </c:pt>
                  <c:pt idx="7">
                    <c:v>None</c:v>
                  </c:pt>
                  <c:pt idx="12">
                    <c:v>Private Car</c:v>
                  </c:pt>
                  <c:pt idx="14">
                    <c:v>Tricycle</c:v>
                  </c:pt>
                </c:lvl>
              </c:multiLvlStrCache>
            </c:multiLvlStrRef>
          </c:cat>
          <c:val>
            <c:numRef>
              <c:f>'Week-5'!$AD$85:$AD$107</c:f>
              <c:numCache>
                <c:formatCode>General</c:formatCode>
                <c:ptCount val="15"/>
                <c:pt idx="0">
                  <c:v>1</c:v>
                </c:pt>
                <c:pt idx="1">
                  <c:v>1</c:v>
                </c:pt>
                <c:pt idx="2">
                  <c:v>2</c:v>
                </c:pt>
                <c:pt idx="3">
                  <c:v>2</c:v>
                </c:pt>
                <c:pt idx="6">
                  <c:v>1</c:v>
                </c:pt>
                <c:pt idx="7">
                  <c:v>1</c:v>
                </c:pt>
                <c:pt idx="8">
                  <c:v>1</c:v>
                </c:pt>
                <c:pt idx="9">
                  <c:v>6</c:v>
                </c:pt>
                <c:pt idx="10">
                  <c:v>1</c:v>
                </c:pt>
                <c:pt idx="13">
                  <c:v>1</c:v>
                </c:pt>
                <c:pt idx="14">
                  <c:v>1</c:v>
                </c:pt>
              </c:numCache>
            </c:numRef>
          </c:val>
          <c:extLst>
            <c:ext xmlns:c16="http://schemas.microsoft.com/office/drawing/2014/chart" uri="{C3380CC4-5D6E-409C-BE32-E72D297353CC}">
              <c16:uniqueId val="{00000001-B4D6-4C77-8471-05487364AF0A}"/>
            </c:ext>
          </c:extLst>
        </c:ser>
        <c:dLbls>
          <c:showLegendKey val="0"/>
          <c:showVal val="0"/>
          <c:showCatName val="0"/>
          <c:showSerName val="0"/>
          <c:showPercent val="0"/>
          <c:showBubbleSize val="0"/>
        </c:dLbls>
        <c:gapWidth val="219"/>
        <c:overlap val="-27"/>
        <c:axId val="1156465263"/>
        <c:axId val="1156467759"/>
      </c:barChart>
      <c:catAx>
        <c:axId val="11564652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Method of Travel Used by Post-COVID Occupation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467759"/>
        <c:crosses val="autoZero"/>
        <c:auto val="1"/>
        <c:lblAlgn val="ctr"/>
        <c:lblOffset val="100"/>
        <c:noMultiLvlLbl val="0"/>
      </c:catAx>
      <c:valAx>
        <c:axId val="11564677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465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[vergara_aaroncharles_EESB01_capstone.xlsx]Week-5!PivotTable19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Methods</a:t>
            </a:r>
            <a:r>
              <a:rPr lang="en-PH" baseline="0"/>
              <a:t> of Travel Used Pre-COVID by Area of Residence</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'Week-5'!$AC$173:$AC$174</c:f>
              <c:strCache>
                <c:ptCount val="1"/>
                <c:pt idx="0">
                  <c:v>Female</c:v>
                </c:pt>
              </c:strCache>
            </c:strRef>
          </c:tx>
          <c:spPr>
            <a:solidFill>
              <a:schemeClr val="accent1"/>
            </a:solidFill>
            <a:ln>
              <a:noFill/>
            </a:ln>
            <a:effectLst/>
          </c:spPr>
          <c:invertIfNegative val="0"/>
          <c:cat>
            <c:multiLvlStrRef>
              <c:f>'Week-5'!$AB$175:$AB$207</c:f>
              <c:multiLvlStrCache>
                <c:ptCount val="24"/>
                <c:lvl>
                  <c:pt idx="0">
                    <c:v>Lipa City</c:v>
                  </c:pt>
                  <c:pt idx="1">
                    <c:v>Lipa City</c:v>
                  </c:pt>
                  <c:pt idx="2">
                    <c:v>Alitagtag</c:v>
                  </c:pt>
                  <c:pt idx="3">
                    <c:v>Batangas City</c:v>
                  </c:pt>
                  <c:pt idx="4">
                    <c:v>Cuenca</c:v>
                  </c:pt>
                  <c:pt idx="5">
                    <c:v>Lipa City</c:v>
                  </c:pt>
                  <c:pt idx="6">
                    <c:v>Rosario</c:v>
                  </c:pt>
                  <c:pt idx="7">
                    <c:v>San Jose</c:v>
                  </c:pt>
                  <c:pt idx="8">
                    <c:v>Tanauan</c:v>
                  </c:pt>
                  <c:pt idx="9">
                    <c:v>Taysan</c:v>
                  </c:pt>
                  <c:pt idx="10">
                    <c:v>Alitagtag</c:v>
                  </c:pt>
                  <c:pt idx="11">
                    <c:v>Batangas City</c:v>
                  </c:pt>
                  <c:pt idx="12">
                    <c:v>Ibaan</c:v>
                  </c:pt>
                  <c:pt idx="13">
                    <c:v>Lipa City</c:v>
                  </c:pt>
                  <c:pt idx="14">
                    <c:v>Rosario</c:v>
                  </c:pt>
                  <c:pt idx="15">
                    <c:v>Alitagtag</c:v>
                  </c:pt>
                  <c:pt idx="16">
                    <c:v>Cuenca</c:v>
                  </c:pt>
                  <c:pt idx="17">
                    <c:v>Ibaan</c:v>
                  </c:pt>
                  <c:pt idx="18">
                    <c:v>Lipa City</c:v>
                  </c:pt>
                  <c:pt idx="19">
                    <c:v>Santa Teresita</c:v>
                  </c:pt>
                  <c:pt idx="20">
                    <c:v>Tanauan</c:v>
                  </c:pt>
                  <c:pt idx="21">
                    <c:v>Batangas City</c:v>
                  </c:pt>
                  <c:pt idx="22">
                    <c:v>San Juan</c:v>
                  </c:pt>
                  <c:pt idx="23">
                    <c:v>Lipa City</c:v>
                  </c:pt>
                </c:lvl>
                <c:lvl>
                  <c:pt idx="0">
                    <c:v>Bike</c:v>
                  </c:pt>
                  <c:pt idx="1">
                    <c:v>Bus</c:v>
                  </c:pt>
                  <c:pt idx="2">
                    <c:v>Jeepney</c:v>
                  </c:pt>
                  <c:pt idx="10">
                    <c:v>Just Walking</c:v>
                  </c:pt>
                  <c:pt idx="14">
                    <c:v>Motorcycle</c:v>
                  </c:pt>
                  <c:pt idx="15">
                    <c:v>None</c:v>
                  </c:pt>
                  <c:pt idx="21">
                    <c:v>Private Car</c:v>
                  </c:pt>
                  <c:pt idx="23">
                    <c:v>Tricycle</c:v>
                  </c:pt>
                </c:lvl>
              </c:multiLvlStrCache>
            </c:multiLvlStrRef>
          </c:cat>
          <c:val>
            <c:numRef>
              <c:f>'Week-5'!$AC$175:$AC$207</c:f>
              <c:numCache>
                <c:formatCode>General</c:formatCode>
                <c:ptCount val="24"/>
                <c:pt idx="1">
                  <c:v>1</c:v>
                </c:pt>
                <c:pt idx="3">
                  <c:v>3</c:v>
                </c:pt>
                <c:pt idx="8">
                  <c:v>1</c:v>
                </c:pt>
                <c:pt idx="10">
                  <c:v>1</c:v>
                </c:pt>
                <c:pt idx="12">
                  <c:v>1</c:v>
                </c:pt>
                <c:pt idx="14">
                  <c:v>1</c:v>
                </c:pt>
                <c:pt idx="15">
                  <c:v>1</c:v>
                </c:pt>
                <c:pt idx="18">
                  <c:v>3</c:v>
                </c:pt>
                <c:pt idx="20">
                  <c:v>1</c:v>
                </c:pt>
                <c:pt idx="21">
                  <c:v>2</c:v>
                </c:pt>
                <c:pt idx="23">
                  <c:v>2</c:v>
                </c:pt>
              </c:numCache>
            </c:numRef>
          </c:val>
          <c:extLst>
            <c:ext xmlns:c16="http://schemas.microsoft.com/office/drawing/2014/chart" uri="{C3380CC4-5D6E-409C-BE32-E72D297353CC}">
              <c16:uniqueId val="{00000000-72CB-44FB-8880-52CA60811D1B}"/>
            </c:ext>
          </c:extLst>
        </c:ser>
        <c:ser>
          <c:idx val="1"/>
          <c:order val="1"/>
          <c:tx>
            <c:strRef>
              <c:f>'Week-5'!$AD$173:$AD$174</c:f>
              <c:strCache>
                <c:ptCount val="1"/>
                <c:pt idx="0">
                  <c:v>Male</c:v>
                </c:pt>
              </c:strCache>
            </c:strRef>
          </c:tx>
          <c:spPr>
            <a:solidFill>
              <a:schemeClr val="accent2"/>
            </a:solidFill>
            <a:ln>
              <a:noFill/>
            </a:ln>
            <a:effectLst/>
          </c:spPr>
          <c:invertIfNegative val="0"/>
          <c:cat>
            <c:multiLvlStrRef>
              <c:f>'Week-5'!$AB$175:$AB$207</c:f>
              <c:multiLvlStrCache>
                <c:ptCount val="24"/>
                <c:lvl>
                  <c:pt idx="0">
                    <c:v>Lipa City</c:v>
                  </c:pt>
                  <c:pt idx="1">
                    <c:v>Lipa City</c:v>
                  </c:pt>
                  <c:pt idx="2">
                    <c:v>Alitagtag</c:v>
                  </c:pt>
                  <c:pt idx="3">
                    <c:v>Batangas City</c:v>
                  </c:pt>
                  <c:pt idx="4">
                    <c:v>Cuenca</c:v>
                  </c:pt>
                  <c:pt idx="5">
                    <c:v>Lipa City</c:v>
                  </c:pt>
                  <c:pt idx="6">
                    <c:v>Rosario</c:v>
                  </c:pt>
                  <c:pt idx="7">
                    <c:v>San Jose</c:v>
                  </c:pt>
                  <c:pt idx="8">
                    <c:v>Tanauan</c:v>
                  </c:pt>
                  <c:pt idx="9">
                    <c:v>Taysan</c:v>
                  </c:pt>
                  <c:pt idx="10">
                    <c:v>Alitagtag</c:v>
                  </c:pt>
                  <c:pt idx="11">
                    <c:v>Batangas City</c:v>
                  </c:pt>
                  <c:pt idx="12">
                    <c:v>Ibaan</c:v>
                  </c:pt>
                  <c:pt idx="13">
                    <c:v>Lipa City</c:v>
                  </c:pt>
                  <c:pt idx="14">
                    <c:v>Rosario</c:v>
                  </c:pt>
                  <c:pt idx="15">
                    <c:v>Alitagtag</c:v>
                  </c:pt>
                  <c:pt idx="16">
                    <c:v>Cuenca</c:v>
                  </c:pt>
                  <c:pt idx="17">
                    <c:v>Ibaan</c:v>
                  </c:pt>
                  <c:pt idx="18">
                    <c:v>Lipa City</c:v>
                  </c:pt>
                  <c:pt idx="19">
                    <c:v>Santa Teresita</c:v>
                  </c:pt>
                  <c:pt idx="20">
                    <c:v>Tanauan</c:v>
                  </c:pt>
                  <c:pt idx="21">
                    <c:v>Batangas City</c:v>
                  </c:pt>
                  <c:pt idx="22">
                    <c:v>San Juan</c:v>
                  </c:pt>
                  <c:pt idx="23">
                    <c:v>Lipa City</c:v>
                  </c:pt>
                </c:lvl>
                <c:lvl>
                  <c:pt idx="0">
                    <c:v>Bike</c:v>
                  </c:pt>
                  <c:pt idx="1">
                    <c:v>Bus</c:v>
                  </c:pt>
                  <c:pt idx="2">
                    <c:v>Jeepney</c:v>
                  </c:pt>
                  <c:pt idx="10">
                    <c:v>Just Walking</c:v>
                  </c:pt>
                  <c:pt idx="14">
                    <c:v>Motorcycle</c:v>
                  </c:pt>
                  <c:pt idx="15">
                    <c:v>None</c:v>
                  </c:pt>
                  <c:pt idx="21">
                    <c:v>Private Car</c:v>
                  </c:pt>
                  <c:pt idx="23">
                    <c:v>Tricycle</c:v>
                  </c:pt>
                </c:lvl>
              </c:multiLvlStrCache>
            </c:multiLvlStrRef>
          </c:cat>
          <c:val>
            <c:numRef>
              <c:f>'Week-5'!$AD$175:$AD$207</c:f>
              <c:numCache>
                <c:formatCode>General</c:formatCode>
                <c:ptCount val="24"/>
                <c:pt idx="0">
                  <c:v>1</c:v>
                </c:pt>
                <c:pt idx="2">
                  <c:v>2</c:v>
                </c:pt>
                <c:pt idx="4">
                  <c:v>1</c:v>
                </c:pt>
                <c:pt idx="5">
                  <c:v>1</c:v>
                </c:pt>
                <c:pt idx="6">
                  <c:v>1</c:v>
                </c:pt>
                <c:pt idx="7">
                  <c:v>1</c:v>
                </c:pt>
                <c:pt idx="9">
                  <c:v>1</c:v>
                </c:pt>
                <c:pt idx="11">
                  <c:v>1</c:v>
                </c:pt>
                <c:pt idx="13">
                  <c:v>1</c:v>
                </c:pt>
                <c:pt idx="16">
                  <c:v>1</c:v>
                </c:pt>
                <c:pt idx="17">
                  <c:v>1</c:v>
                </c:pt>
                <c:pt idx="18">
                  <c:v>1</c:v>
                </c:pt>
                <c:pt idx="19">
                  <c:v>1</c:v>
                </c:pt>
                <c:pt idx="22">
                  <c:v>1</c:v>
                </c:pt>
                <c:pt idx="23">
                  <c:v>3</c:v>
                </c:pt>
              </c:numCache>
            </c:numRef>
          </c:val>
          <c:extLst>
            <c:ext xmlns:c16="http://schemas.microsoft.com/office/drawing/2014/chart" uri="{C3380CC4-5D6E-409C-BE32-E72D297353CC}">
              <c16:uniqueId val="{00000001-72CB-44FB-8880-52CA60811D1B}"/>
            </c:ext>
          </c:extLst>
        </c:ser>
        <c:dLbls>
          <c:showLegendKey val="0"/>
          <c:showVal val="0"/>
          <c:showCatName val="0"/>
          <c:showSerName val="0"/>
          <c:showPercent val="0"/>
          <c:showBubbleSize val="0"/>
        </c:dLbls>
        <c:gapWidth val="219"/>
        <c:overlap val="-27"/>
        <c:axId val="1105612719"/>
        <c:axId val="1105608559"/>
      </c:barChart>
      <c:catAx>
        <c:axId val="1105612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Method of Travel by Area of Residence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608559"/>
        <c:crosses val="autoZero"/>
        <c:auto val="1"/>
        <c:lblAlgn val="ctr"/>
        <c:lblOffset val="100"/>
        <c:noMultiLvlLbl val="0"/>
      </c:catAx>
      <c:valAx>
        <c:axId val="11056085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61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[vergara_aaroncharles_EESB01_capstone.xlsx]Week-5!PivotTable20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Methods of Travel Used Post-COVID by Area of Residence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'Week-5'!$AC$210:$AC$211</c:f>
              <c:strCache>
                <c:ptCount val="1"/>
                <c:pt idx="0">
                  <c:v>Female</c:v>
                </c:pt>
              </c:strCache>
            </c:strRef>
          </c:tx>
          <c:spPr>
            <a:solidFill>
              <a:schemeClr val="accent1"/>
            </a:solidFill>
            <a:ln>
              <a:noFill/>
            </a:ln>
            <a:effectLst/>
          </c:spPr>
          <c:invertIfNegative val="0"/>
          <c:cat>
            <c:multiLvlStrRef>
              <c:f>'Week-5'!$AB$212:$AB$241</c:f>
              <c:multiLvlStrCache>
                <c:ptCount val="22"/>
                <c:lvl>
                  <c:pt idx="0">
                    <c:v>Lipa City</c:v>
                  </c:pt>
                  <c:pt idx="1">
                    <c:v>Alitagtag</c:v>
                  </c:pt>
                  <c:pt idx="2">
                    <c:v>Cuenca</c:v>
                  </c:pt>
                  <c:pt idx="3">
                    <c:v>Rosario</c:v>
                  </c:pt>
                  <c:pt idx="4">
                    <c:v>Tanauan</c:v>
                  </c:pt>
                  <c:pt idx="5">
                    <c:v>Taysan</c:v>
                  </c:pt>
                  <c:pt idx="6">
                    <c:v>Alitagtag</c:v>
                  </c:pt>
                  <c:pt idx="7">
                    <c:v>Ibaan</c:v>
                  </c:pt>
                  <c:pt idx="8">
                    <c:v>San Jose</c:v>
                  </c:pt>
                  <c:pt idx="9">
                    <c:v>Alitagtag</c:v>
                  </c:pt>
                  <c:pt idx="10">
                    <c:v>Batangas City</c:v>
                  </c:pt>
                  <c:pt idx="11">
                    <c:v>Cuenca</c:v>
                  </c:pt>
                  <c:pt idx="12">
                    <c:v>Ibaan</c:v>
                  </c:pt>
                  <c:pt idx="13">
                    <c:v>Lipa City</c:v>
                  </c:pt>
                  <c:pt idx="14">
                    <c:v>Rosario</c:v>
                  </c:pt>
                  <c:pt idx="15">
                    <c:v>San Juan</c:v>
                  </c:pt>
                  <c:pt idx="16">
                    <c:v>Santa Teresita</c:v>
                  </c:pt>
                  <c:pt idx="17">
                    <c:v>Tanauan</c:v>
                  </c:pt>
                  <c:pt idx="18">
                    <c:v>Alitagtag</c:v>
                  </c:pt>
                  <c:pt idx="19">
                    <c:v>Batangas City</c:v>
                  </c:pt>
                  <c:pt idx="20">
                    <c:v>Lipa City</c:v>
                  </c:pt>
                  <c:pt idx="21">
                    <c:v>Lipa City</c:v>
                  </c:pt>
                </c:lvl>
                <c:lvl>
                  <c:pt idx="0">
                    <c:v>Bike</c:v>
                  </c:pt>
                  <c:pt idx="1">
                    <c:v>Jeepney</c:v>
                  </c:pt>
                  <c:pt idx="6">
                    <c:v>Just Walking</c:v>
                  </c:pt>
                  <c:pt idx="7">
                    <c:v>Motorcycle</c:v>
                  </c:pt>
                  <c:pt idx="9">
                    <c:v>None</c:v>
                  </c:pt>
                  <c:pt idx="18">
                    <c:v>Private Car</c:v>
                  </c:pt>
                  <c:pt idx="21">
                    <c:v>Tricycle</c:v>
                  </c:pt>
                </c:lvl>
              </c:multiLvlStrCache>
            </c:multiLvlStrRef>
          </c:cat>
          <c:val>
            <c:numRef>
              <c:f>'Week-5'!$AC$212:$AC$241</c:f>
              <c:numCache>
                <c:formatCode>General</c:formatCode>
                <c:ptCount val="22"/>
                <c:pt idx="4">
                  <c:v>1</c:v>
                </c:pt>
                <c:pt idx="6">
                  <c:v>1</c:v>
                </c:pt>
                <c:pt idx="7">
                  <c:v>1</c:v>
                </c:pt>
                <c:pt idx="9">
                  <c:v>1</c:v>
                </c:pt>
                <c:pt idx="10">
                  <c:v>3</c:v>
                </c:pt>
                <c:pt idx="13">
                  <c:v>4</c:v>
                </c:pt>
                <c:pt idx="14">
                  <c:v>1</c:v>
                </c:pt>
                <c:pt idx="17">
                  <c:v>1</c:v>
                </c:pt>
                <c:pt idx="19">
                  <c:v>2</c:v>
                </c:pt>
                <c:pt idx="20">
                  <c:v>2</c:v>
                </c:pt>
              </c:numCache>
            </c:numRef>
          </c:val>
          <c:extLst>
            <c:ext xmlns:c16="http://schemas.microsoft.com/office/drawing/2014/chart" uri="{C3380CC4-5D6E-409C-BE32-E72D297353CC}">
              <c16:uniqueId val="{00000000-3258-400C-BD9C-28ACB4077A5B}"/>
            </c:ext>
          </c:extLst>
        </c:ser>
        <c:ser>
          <c:idx val="1"/>
          <c:order val="1"/>
          <c:tx>
            <c:strRef>
              <c:f>'Week-5'!$AD$210:$AD$211</c:f>
              <c:strCache>
                <c:ptCount val="1"/>
                <c:pt idx="0">
                  <c:v>Male</c:v>
                </c:pt>
              </c:strCache>
            </c:strRef>
          </c:tx>
          <c:spPr>
            <a:solidFill>
              <a:schemeClr val="accent2"/>
            </a:solidFill>
            <a:ln>
              <a:noFill/>
            </a:ln>
            <a:effectLst/>
          </c:spPr>
          <c:invertIfNegative val="0"/>
          <c:cat>
            <c:multiLvlStrRef>
              <c:f>'Week-5'!$AB$212:$AB$241</c:f>
              <c:multiLvlStrCache>
                <c:ptCount val="22"/>
                <c:lvl>
                  <c:pt idx="0">
                    <c:v>Lipa City</c:v>
                  </c:pt>
                  <c:pt idx="1">
                    <c:v>Alitagtag</c:v>
                  </c:pt>
                  <c:pt idx="2">
                    <c:v>Cuenca</c:v>
                  </c:pt>
                  <c:pt idx="3">
                    <c:v>Rosario</c:v>
                  </c:pt>
                  <c:pt idx="4">
                    <c:v>Tanauan</c:v>
                  </c:pt>
                  <c:pt idx="5">
                    <c:v>Taysan</c:v>
                  </c:pt>
                  <c:pt idx="6">
                    <c:v>Alitagtag</c:v>
                  </c:pt>
                  <c:pt idx="7">
                    <c:v>Ibaan</c:v>
                  </c:pt>
                  <c:pt idx="8">
                    <c:v>San Jose</c:v>
                  </c:pt>
                  <c:pt idx="9">
                    <c:v>Alitagtag</c:v>
                  </c:pt>
                  <c:pt idx="10">
                    <c:v>Batangas City</c:v>
                  </c:pt>
                  <c:pt idx="11">
                    <c:v>Cuenca</c:v>
                  </c:pt>
                  <c:pt idx="12">
                    <c:v>Ibaan</c:v>
                  </c:pt>
                  <c:pt idx="13">
                    <c:v>Lipa City</c:v>
                  </c:pt>
                  <c:pt idx="14">
                    <c:v>Rosario</c:v>
                  </c:pt>
                  <c:pt idx="15">
                    <c:v>San Juan</c:v>
                  </c:pt>
                  <c:pt idx="16">
                    <c:v>Santa Teresita</c:v>
                  </c:pt>
                  <c:pt idx="17">
                    <c:v>Tanauan</c:v>
                  </c:pt>
                  <c:pt idx="18">
                    <c:v>Alitagtag</c:v>
                  </c:pt>
                  <c:pt idx="19">
                    <c:v>Batangas City</c:v>
                  </c:pt>
                  <c:pt idx="20">
                    <c:v>Lipa City</c:v>
                  </c:pt>
                  <c:pt idx="21">
                    <c:v>Lipa City</c:v>
                  </c:pt>
                </c:lvl>
                <c:lvl>
                  <c:pt idx="0">
                    <c:v>Bike</c:v>
                  </c:pt>
                  <c:pt idx="1">
                    <c:v>Jeepney</c:v>
                  </c:pt>
                  <c:pt idx="6">
                    <c:v>Just Walking</c:v>
                  </c:pt>
                  <c:pt idx="7">
                    <c:v>Motorcycle</c:v>
                  </c:pt>
                  <c:pt idx="9">
                    <c:v>None</c:v>
                  </c:pt>
                  <c:pt idx="18">
                    <c:v>Private Car</c:v>
                  </c:pt>
                  <c:pt idx="21">
                    <c:v>Tricycle</c:v>
                  </c:pt>
                </c:lvl>
              </c:multiLvlStrCache>
            </c:multiLvlStrRef>
          </c:cat>
          <c:val>
            <c:numRef>
              <c:f>'Week-5'!$AD$212:$AD$241</c:f>
              <c:numCache>
                <c:formatCode>General</c:formatCode>
                <c:ptCount val="22"/>
                <c:pt idx="0">
                  <c:v>2</c:v>
                </c:pt>
                <c:pt idx="1">
                  <c:v>1</c:v>
                </c:pt>
                <c:pt idx="2">
                  <c:v>1</c:v>
                </c:pt>
                <c:pt idx="3">
                  <c:v>1</c:v>
                </c:pt>
                <c:pt idx="5">
                  <c:v>1</c:v>
                </c:pt>
                <c:pt idx="8">
                  <c:v>1</c:v>
                </c:pt>
                <c:pt idx="10">
                  <c:v>1</c:v>
                </c:pt>
                <c:pt idx="11">
                  <c:v>1</c:v>
                </c:pt>
                <c:pt idx="12">
                  <c:v>1</c:v>
                </c:pt>
                <c:pt idx="13">
                  <c:v>4</c:v>
                </c:pt>
                <c:pt idx="15">
                  <c:v>1</c:v>
                </c:pt>
                <c:pt idx="16">
                  <c:v>1</c:v>
                </c:pt>
                <c:pt idx="18">
                  <c:v>1</c:v>
                </c:pt>
                <c:pt idx="21">
                  <c:v>1</c:v>
                </c:pt>
              </c:numCache>
            </c:numRef>
          </c:val>
          <c:extLst>
            <c:ext xmlns:c16="http://schemas.microsoft.com/office/drawing/2014/chart" uri="{C3380CC4-5D6E-409C-BE32-E72D297353CC}">
              <c16:uniqueId val="{00000001-3258-400C-BD9C-28ACB4077A5B}"/>
            </c:ext>
          </c:extLst>
        </c:ser>
        <c:dLbls>
          <c:showLegendKey val="0"/>
          <c:showVal val="0"/>
          <c:showCatName val="0"/>
          <c:showSerName val="0"/>
          <c:showPercent val="0"/>
          <c:showBubbleSize val="0"/>
        </c:dLbls>
        <c:gapWidth val="219"/>
        <c:overlap val="-27"/>
        <c:axId val="159370095"/>
        <c:axId val="159369679"/>
      </c:barChart>
      <c:catAx>
        <c:axId val="1593700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Method</a:t>
                </a:r>
                <a:r>
                  <a:rPr lang="en-PH" baseline="0"/>
                  <a:t> of Travel by Area of Residence</a:t>
                </a:r>
                <a:endParaRPr lang="en-PH"/>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69679"/>
        <c:crosses val="autoZero"/>
        <c:auto val="1"/>
        <c:lblAlgn val="ctr"/>
        <c:lblOffset val="100"/>
        <c:noMultiLvlLbl val="0"/>
      </c:catAx>
      <c:valAx>
        <c:axId val="1593696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70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xdr:col>
      <xdr:colOff>2369819</xdr:colOff>
      <xdr:row>4</xdr:row>
      <xdr:rowOff>21362</xdr:rowOff>
    </xdr:from>
    <xdr:to>
      <xdr:col>11</xdr:col>
      <xdr:colOff>602523</xdr:colOff>
      <xdr:row>25</xdr:row>
      <xdr:rowOff>29935</xdr:rowOff>
    </xdr:to>
    <xdr:graphicFrame macro="">
      <xdr:nvGraphicFramePr>
        <xdr:cNvPr id="3" name="Chart 2">
          <a:extLst>
            <a:ext uri="{FF2B5EF4-FFF2-40B4-BE49-F238E27FC236}">
              <a16:creationId xmlns:a16="http://schemas.microsoft.com/office/drawing/2014/main" id="{7FE4FFC3-7127-C7B6-0008-C1171821E9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1905</xdr:colOff>
      <xdr:row>28</xdr:row>
      <xdr:rowOff>11021</xdr:rowOff>
    </xdr:from>
    <xdr:to>
      <xdr:col>11</xdr:col>
      <xdr:colOff>581025</xdr:colOff>
      <xdr:row>45</xdr:row>
      <xdr:rowOff>145597</xdr:rowOff>
    </xdr:to>
    <xdr:graphicFrame macro="">
      <xdr:nvGraphicFramePr>
        <xdr:cNvPr id="4" name="Chart 3">
          <a:extLst>
            <a:ext uri="{FF2B5EF4-FFF2-40B4-BE49-F238E27FC236}">
              <a16:creationId xmlns:a16="http://schemas.microsoft.com/office/drawing/2014/main" id="{8F692635-AE4E-18DA-23DD-BC787AD3CE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2364106</xdr:colOff>
      <xdr:row>49</xdr:row>
      <xdr:rowOff>21906</xdr:rowOff>
    </xdr:from>
    <xdr:to>
      <xdr:col>11</xdr:col>
      <xdr:colOff>608240</xdr:colOff>
      <xdr:row>66</xdr:row>
      <xdr:rowOff>28575</xdr:rowOff>
    </xdr:to>
    <xdr:graphicFrame macro="">
      <xdr:nvGraphicFramePr>
        <xdr:cNvPr id="5" name="Chart 4">
          <a:extLst>
            <a:ext uri="{FF2B5EF4-FFF2-40B4-BE49-F238E27FC236}">
              <a16:creationId xmlns:a16="http://schemas.microsoft.com/office/drawing/2014/main" id="{4A1EB4CD-B2CA-0113-0439-933265902F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94383</xdr:colOff>
      <xdr:row>116</xdr:row>
      <xdr:rowOff>43121</xdr:rowOff>
    </xdr:from>
    <xdr:to>
      <xdr:col>22</xdr:col>
      <xdr:colOff>540152</xdr:colOff>
      <xdr:row>143</xdr:row>
      <xdr:rowOff>5022</xdr:rowOff>
    </xdr:to>
    <xdr:graphicFrame macro="">
      <xdr:nvGraphicFramePr>
        <xdr:cNvPr id="6" name="Chart 5">
          <a:extLst>
            <a:ext uri="{FF2B5EF4-FFF2-40B4-BE49-F238E27FC236}">
              <a16:creationId xmlns:a16="http://schemas.microsoft.com/office/drawing/2014/main" id="{F56EE995-FC73-D667-04BD-21C95A3F06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92478</xdr:colOff>
      <xdr:row>146</xdr:row>
      <xdr:rowOff>54812</xdr:rowOff>
    </xdr:from>
    <xdr:to>
      <xdr:col>22</xdr:col>
      <xdr:colOff>547774</xdr:colOff>
      <xdr:row>172</xdr:row>
      <xdr:rowOff>173874</xdr:rowOff>
    </xdr:to>
    <xdr:graphicFrame macro="">
      <xdr:nvGraphicFramePr>
        <xdr:cNvPr id="10" name="Chart 9">
          <a:extLst>
            <a:ext uri="{FF2B5EF4-FFF2-40B4-BE49-F238E27FC236}">
              <a16:creationId xmlns:a16="http://schemas.microsoft.com/office/drawing/2014/main" id="{08E82442-B06E-A361-5AE7-20E63F935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-1</xdr:colOff>
      <xdr:row>60</xdr:row>
      <xdr:rowOff>175259</xdr:rowOff>
    </xdr:from>
    <xdr:to>
      <xdr:col>41</xdr:col>
      <xdr:colOff>571500</xdr:colOff>
      <xdr:row>88</xdr:row>
      <xdr:rowOff>40821</xdr:rowOff>
    </xdr:to>
    <xdr:graphicFrame macro="">
      <xdr:nvGraphicFramePr>
        <xdr:cNvPr id="11" name="Chart 10">
          <a:extLst>
            <a:ext uri="{FF2B5EF4-FFF2-40B4-BE49-F238E27FC236}">
              <a16:creationId xmlns:a16="http://schemas.microsoft.com/office/drawing/2014/main" id="{6DF18ED4-E1C0-4642-8D5E-6A4BF9841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593071</xdr:colOff>
      <xdr:row>91</xdr:row>
      <xdr:rowOff>77189</xdr:rowOff>
    </xdr:from>
    <xdr:to>
      <xdr:col>41</xdr:col>
      <xdr:colOff>557150</xdr:colOff>
      <xdr:row>118</xdr:row>
      <xdr:rowOff>69027</xdr:rowOff>
    </xdr:to>
    <xdr:graphicFrame macro="">
      <xdr:nvGraphicFramePr>
        <xdr:cNvPr id="8" name="Chart 7">
          <a:extLst>
            <a:ext uri="{FF2B5EF4-FFF2-40B4-BE49-F238E27FC236}">
              <a16:creationId xmlns:a16="http://schemas.microsoft.com/office/drawing/2014/main" id="{CE29F3AF-3B75-47F6-BDD6-962A9FDD1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13855</xdr:colOff>
      <xdr:row>63</xdr:row>
      <xdr:rowOff>36673</xdr:rowOff>
    </xdr:from>
    <xdr:to>
      <xdr:col>22</xdr:col>
      <xdr:colOff>531363</xdr:colOff>
      <xdr:row>85</xdr:row>
      <xdr:rowOff>170329</xdr:rowOff>
    </xdr:to>
    <xdr:graphicFrame macro="">
      <xdr:nvGraphicFramePr>
        <xdr:cNvPr id="9" name="Chart 8">
          <a:extLst>
            <a:ext uri="{FF2B5EF4-FFF2-40B4-BE49-F238E27FC236}">
              <a16:creationId xmlns:a16="http://schemas.microsoft.com/office/drawing/2014/main" id="{8591B0FB-4581-4C95-B1A2-C9252E730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41563</xdr:colOff>
      <xdr:row>89</xdr:row>
      <xdr:rowOff>27708</xdr:rowOff>
    </xdr:from>
    <xdr:to>
      <xdr:col>22</xdr:col>
      <xdr:colOff>554181</xdr:colOff>
      <xdr:row>112</xdr:row>
      <xdr:rowOff>110836</xdr:rowOff>
    </xdr:to>
    <xdr:graphicFrame macro="">
      <xdr:nvGraphicFramePr>
        <xdr:cNvPr id="12" name="Chart 11">
          <a:extLst>
            <a:ext uri="{FF2B5EF4-FFF2-40B4-BE49-F238E27FC236}">
              <a16:creationId xmlns:a16="http://schemas.microsoft.com/office/drawing/2014/main" id="{ED0C851E-9371-4D0E-BC8C-3B14CD14A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41726</xdr:colOff>
      <xdr:row>3</xdr:row>
      <xdr:rowOff>54603</xdr:rowOff>
    </xdr:from>
    <xdr:to>
      <xdr:col>22</xdr:col>
      <xdr:colOff>595745</xdr:colOff>
      <xdr:row>29</xdr:row>
      <xdr:rowOff>41563</xdr:rowOff>
    </xdr:to>
    <xdr:graphicFrame macro="">
      <xdr:nvGraphicFramePr>
        <xdr:cNvPr id="13" name="Chart 12">
          <a:extLst>
            <a:ext uri="{FF2B5EF4-FFF2-40B4-BE49-F238E27FC236}">
              <a16:creationId xmlns:a16="http://schemas.microsoft.com/office/drawing/2014/main" id="{F12C7B77-C02F-4E35-B9EC-8406180A74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29688</xdr:colOff>
      <xdr:row>34</xdr:row>
      <xdr:rowOff>46510</xdr:rowOff>
    </xdr:from>
    <xdr:to>
      <xdr:col>22</xdr:col>
      <xdr:colOff>595745</xdr:colOff>
      <xdr:row>59</xdr:row>
      <xdr:rowOff>69272</xdr:rowOff>
    </xdr:to>
    <xdr:graphicFrame macro="">
      <xdr:nvGraphicFramePr>
        <xdr:cNvPr id="14" name="Chart 13">
          <a:extLst>
            <a:ext uri="{FF2B5EF4-FFF2-40B4-BE49-F238E27FC236}">
              <a16:creationId xmlns:a16="http://schemas.microsoft.com/office/drawing/2014/main" id="{D5CFD82A-000F-48A6-954C-54D34CBA6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41563</xdr:colOff>
      <xdr:row>3</xdr:row>
      <xdr:rowOff>110837</xdr:rowOff>
    </xdr:from>
    <xdr:to>
      <xdr:col>41</xdr:col>
      <xdr:colOff>540327</xdr:colOff>
      <xdr:row>29</xdr:row>
      <xdr:rowOff>13854</xdr:rowOff>
    </xdr:to>
    <xdr:graphicFrame macro="">
      <xdr:nvGraphicFramePr>
        <xdr:cNvPr id="15" name="Chart 14">
          <a:extLst>
            <a:ext uri="{FF2B5EF4-FFF2-40B4-BE49-F238E27FC236}">
              <a16:creationId xmlns:a16="http://schemas.microsoft.com/office/drawing/2014/main" id="{B6776A4A-FA52-48DB-9364-9BADD139B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24</xdr:col>
      <xdr:colOff>0</xdr:colOff>
      <xdr:row>32</xdr:row>
      <xdr:rowOff>-1</xdr:rowOff>
    </xdr:from>
    <xdr:to>
      <xdr:col>41</xdr:col>
      <xdr:colOff>568036</xdr:colOff>
      <xdr:row>58</xdr:row>
      <xdr:rowOff>55418</xdr:rowOff>
    </xdr:to>
    <xdr:graphicFrame macro="">
      <xdr:nvGraphicFramePr>
        <xdr:cNvPr id="16" name="Chart 15">
          <a:extLst>
            <a:ext uri="{FF2B5EF4-FFF2-40B4-BE49-F238E27FC236}">
              <a16:creationId xmlns:a16="http://schemas.microsoft.com/office/drawing/2014/main" id="{E8B18C67-5451-4637-A239-622C3EE3E7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xdr:col>
      <xdr:colOff>10886</xdr:colOff>
      <xdr:row>122</xdr:row>
      <xdr:rowOff>0</xdr:rowOff>
    </xdr:from>
    <xdr:to>
      <xdr:col>41</xdr:col>
      <xdr:colOff>590550</xdr:colOff>
      <xdr:row>148</xdr:row>
      <xdr:rowOff>133349</xdr:rowOff>
    </xdr:to>
    <xdr:graphicFrame macro="">
      <xdr:nvGraphicFramePr>
        <xdr:cNvPr id="17" name="Chart 16">
          <a:extLst>
            <a:ext uri="{FF2B5EF4-FFF2-40B4-BE49-F238E27FC236}">
              <a16:creationId xmlns:a16="http://schemas.microsoft.com/office/drawing/2014/main" id="{8206C1AE-33B1-4BF0-B553-8007FA2A0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24</xdr:col>
      <xdr:colOff>0</xdr:colOff>
      <xdr:row>152</xdr:row>
      <xdr:rowOff>27709</xdr:rowOff>
    </xdr:from>
    <xdr:to>
      <xdr:col>42</xdr:col>
      <xdr:colOff>0</xdr:colOff>
      <xdr:row>184</xdr:row>
      <xdr:rowOff>152400</xdr:rowOff>
    </xdr:to>
    <xdr:graphicFrame macro="">
      <xdr:nvGraphicFramePr>
        <xdr:cNvPr id="18" name="Chart 17">
          <a:extLst>
            <a:ext uri="{FF2B5EF4-FFF2-40B4-BE49-F238E27FC236}">
              <a16:creationId xmlns:a16="http://schemas.microsoft.com/office/drawing/2014/main" id="{CBBF22AB-43F6-483F-849F-9673AC53AB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hiii/Downloads/vergara_aaroncharles_EESB01_capston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1"/>
      <sheetName val="Week-2"/>
      <sheetName val="Week-3"/>
      <sheetName val="Week-4"/>
      <sheetName val="Week-4 (2)"/>
      <sheetName val="Week-5"/>
      <sheetName val="Charts"/>
      <sheetName val="vergara_aaroncharles_EESB01_cap"/>
    </sheetNames>
    <sheetDataSet>
      <sheetData sheetId="0"/>
      <sheetData sheetId="1"/>
      <sheetData sheetId="2"/>
      <sheetData sheetId="3"/>
      <sheetData sheetId="4"/>
      <sheetData sheetId="5"/>
      <sheetData sheetId="6"/>
      <sheetData sheetId="7"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shiii/Downloads/vergara_aaroncharles_EESB01_capstone.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on" refreshedDate="44766.719665277778" createdVersion="8" refreshedVersion="8" minRefreshableVersion="3" recordCount="35" xr:uid="{48FDEB43-BED8-4375-9C20-AD057A858E3D}">
  <cacheSource type="worksheet">
    <worksheetSource name="DataTable[[Gender]:[Occupation (Post-COVID)]]"/>
  </cacheSource>
  <cacheFields count="5">
    <cacheField name="Gender" numFmtId="0">
      <sharedItems count="2">
        <s v="Male"/>
        <s v="Female"/>
      </sharedItems>
    </cacheField>
    <cacheField name="Age" numFmtId="0">
      <sharedItems count="6">
        <s v="19 - 24"/>
        <s v="25 - 29"/>
        <s v="40 - 44"/>
        <s v="45 - 49"/>
        <s v="35 - 39"/>
        <s v="30 - 34"/>
      </sharedItems>
    </cacheField>
    <cacheField name="Area of Residence" numFmtId="0">
      <sharedItems count="11">
        <s v="Lipa City"/>
        <s v="San Juan"/>
        <s v="Batangas City"/>
        <s v="Cuenca"/>
        <s v="Ibaan"/>
        <s v="Rosario"/>
        <s v="Alitagtag"/>
        <s v="Taysan"/>
        <s v="Santa Teresita"/>
        <s v="San Jose"/>
        <s v="Tanauan"/>
      </sharedItems>
    </cacheField>
    <cacheField name="Occupation (Pre-COVID)" numFmtId="0">
      <sharedItems count="5">
        <s v="Student"/>
        <s v="Full-time"/>
        <s v="Unemployed, not looking for work"/>
        <s v="Part-time"/>
        <s v="Unemployed, looking for work"/>
      </sharedItems>
    </cacheField>
    <cacheField name="Occupation (Post-COVID)" numFmtId="0">
      <sharedItems count="5">
        <s v="Student"/>
        <s v="Part-time"/>
        <s v="Full-time"/>
        <s v="Unemployed, not looking for work"/>
        <s v="Unemployed, looking for work"/>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on" refreshedDate="44766.73657361111" createdVersion="8" refreshedVersion="8" minRefreshableVersion="3" recordCount="35" xr:uid="{ADBCC7E4-B9D6-41FC-B1CF-27CE755ECDCB}">
  <cacheSource type="worksheet">
    <worksheetSource name="DataTable[[Gender]:[Q5. Post-COVID]]"/>
  </cacheSource>
  <cacheFields count="15">
    <cacheField name="Gender" numFmtId="0">
      <sharedItems count="2">
        <s v="Male"/>
        <s v="Female"/>
      </sharedItems>
    </cacheField>
    <cacheField name="Age" numFmtId="0">
      <sharedItems/>
    </cacheField>
    <cacheField name="Area of Residence" numFmtId="0">
      <sharedItems/>
    </cacheField>
    <cacheField name="Occupation (Pre-COVID)" numFmtId="0">
      <sharedItems count="5">
        <s v="Student"/>
        <s v="Full-time"/>
        <s v="Unemployed, not looking for work"/>
        <s v="Part-time"/>
        <s v="Unemployed, looking for work"/>
      </sharedItems>
    </cacheField>
    <cacheField name="Occupation (Post-COVID)" numFmtId="0">
      <sharedItems/>
    </cacheField>
    <cacheField name="Q1. Pre-COVID" numFmtId="0">
      <sharedItems count="7">
        <s v="1 km to 5 km"/>
        <s v="More than 20 km"/>
        <s v="6 km to 10 km"/>
        <s v="Less than 1 km"/>
        <s v="School/Work at home"/>
        <s v="16 km to 20 km"/>
        <s v="11 km to 15 km"/>
      </sharedItems>
    </cacheField>
    <cacheField name="Q1. Post-COVID" numFmtId="0">
      <sharedItems/>
    </cacheField>
    <cacheField name="Q2. Pre-COVID" numFmtId="0">
      <sharedItems/>
    </cacheField>
    <cacheField name="Q2. Post-COVID" numFmtId="0">
      <sharedItems/>
    </cacheField>
    <cacheField name="Q3. Pre-COVID" numFmtId="0">
      <sharedItems/>
    </cacheField>
    <cacheField name="Q3. Post-COVID" numFmtId="0">
      <sharedItems/>
    </cacheField>
    <cacheField name="Q4. Pre-COVID" numFmtId="0">
      <sharedItems/>
    </cacheField>
    <cacheField name="Q4. Post-COVID" numFmtId="0">
      <sharedItems/>
    </cacheField>
    <cacheField name="Q5. Pre-COVID" numFmtId="0">
      <sharedItems/>
    </cacheField>
    <cacheField name="Q5. Post-COVI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on" refreshedDate="44615.718270254627" createdVersion="7" refreshedVersion="7" minRefreshableVersion="3" recordCount="50" xr:uid="{0CA178BB-796A-437C-A173-20EBFF02C0C8}">
  <cacheSource type="worksheet">
    <worksheetSource name="DataTable" r:id="rId2"/>
  </cacheSource>
  <cacheFields count="17">
    <cacheField name="#" numFmtId="0">
      <sharedItems containsSemiMixedTypes="0" containsString="0" containsNumber="1" containsInteger="1" minValue="1" maxValue="50"/>
    </cacheField>
    <cacheField name="Name (Optional)" numFmtId="0">
      <sharedItems containsBlank="1"/>
    </cacheField>
    <cacheField name="Gender" numFmtId="0">
      <sharedItems containsBlank="1" count="3">
        <s v="Male"/>
        <s v="Female"/>
        <m/>
      </sharedItems>
    </cacheField>
    <cacheField name="Age" numFmtId="0">
      <sharedItems containsBlank="1" count="7">
        <s v="19 - 24"/>
        <s v="25 - 29"/>
        <s v="40 - 44"/>
        <s v="45 - 49"/>
        <s v="35 - 39"/>
        <s v="30 - 34"/>
        <m/>
      </sharedItems>
    </cacheField>
    <cacheField name="Area of Residence" numFmtId="0">
      <sharedItems containsBlank="1"/>
    </cacheField>
    <cacheField name="Occupation (Pre-COVID)" numFmtId="0">
      <sharedItems containsBlank="1"/>
    </cacheField>
    <cacheField name="Occupation (Post-COVID)" numFmtId="0">
      <sharedItems containsBlank="1"/>
    </cacheField>
    <cacheField name="Q1. Pre-COVID" numFmtId="0">
      <sharedItems containsBlank="1" count="8">
        <s v="1 km to 5 km"/>
        <s v="More than 20 km"/>
        <s v="6 km to 10 km"/>
        <s v="Less than 1 km"/>
        <s v="School/Work at home"/>
        <s v="16 km to 20 km"/>
        <s v="11 km to 15 km"/>
        <m/>
      </sharedItems>
    </cacheField>
    <cacheField name="Q1. Post-COVID" numFmtId="0">
      <sharedItems containsBlank="1"/>
    </cacheField>
    <cacheField name="Q2. Pre-COVID" numFmtId="0">
      <sharedItems containsBlank="1"/>
    </cacheField>
    <cacheField name="Q2. Post-COVID" numFmtId="0">
      <sharedItems containsBlank="1"/>
    </cacheField>
    <cacheField name="Q3. Pre-COVID" numFmtId="0">
      <sharedItems containsBlank="1"/>
    </cacheField>
    <cacheField name="Q3. Post-COVID" numFmtId="0">
      <sharedItems containsBlank="1"/>
    </cacheField>
    <cacheField name="Q4. Pre-COVID" numFmtId="0">
      <sharedItems containsBlank="1"/>
    </cacheField>
    <cacheField name="Q4. Post-COVID" numFmtId="0">
      <sharedItems containsBlank="1"/>
    </cacheField>
    <cacheField name="Q5. Pre-COVID" numFmtId="0">
      <sharedItems containsBlank="1"/>
    </cacheField>
    <cacheField name="Q5. Post-COVID"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69.530564351851" backgroundQuery="1" createdVersion="8" refreshedVersion="8" minRefreshableVersion="3" recordCount="0" supportSubquery="1" supportAdvancedDrill="1" xr:uid="{34B0018F-94A1-4BF0-A996-FB7BAC8F81AB}">
  <cacheSource type="external" connectionId="1"/>
  <cacheFields count="4">
    <cacheField name="[DataTable].[Gender].[Gender]" caption="Gender" numFmtId="0" hierarchy="2" level="1">
      <sharedItems containsBlank="1" count="3">
        <s v="Female"/>
        <s v="Male"/>
        <m u="1"/>
      </sharedItems>
    </cacheField>
    <cacheField name="[DataTable].[Q1. Post-COVID].[Q1. Post-COVID]" caption="Q1. Post-COVID" numFmtId="0" hierarchy="8" level="1">
      <sharedItems count="7">
        <s v="1 km to 5 km"/>
        <s v="11 km to 15 km"/>
        <s v="16 km to 20 km"/>
        <s v="6 km to 10 km"/>
        <s v="Less than 1 km"/>
        <s v="More than 20 km"/>
        <s v="School/Work at home"/>
      </sharedItems>
    </cacheField>
    <cacheField name="[DataTable].[Occupation (Post-COVID)].[Occupation (Post-COVID)]" caption="Occupation (Post-COVID)" numFmtId="0" hierarchy="6" level="1">
      <sharedItems count="5">
        <s v="Full-time"/>
        <s v="Part-time"/>
        <s v="Student"/>
        <s v="Unemployed, looking for work"/>
        <s v="Unemployed, not looking for work"/>
      </sharedItems>
    </cacheField>
    <cacheField name="[Measures].[Count of Gender 3]" caption="Count of Gender 3" numFmtId="0" hierarchy="128" level="32767"/>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2" memberValueDatatype="130" unbalanced="0">
      <fieldsUsage count="2">
        <fieldUsage x="-1"/>
        <fieldUsage x="0"/>
      </fieldsUsage>
    </cacheHierarchy>
    <cacheHierarchy uniqueName="[DataTable].[Age]" caption="Age" attribute="1" defaultMemberUniqueName="[DataTable].[Age].[All]" allUniqueName="[DataTable].[Age].[All]" dimensionUniqueName="[DataTable]" displayFolder="" count="0" memberValueDatatype="130" unbalanced="0"/>
    <cacheHierarchy uniqueName="[DataTable].[Area of Residence]" caption="Area of Residence" attribute="1" defaultMemberUniqueName="[DataTable].[Area of Residence].[All]" allUniqueName="[DataTable].[Area of Residence].[All]" dimensionUniqueName="[DataTable]" displayFolder="" count="0" memberValueDatatype="130" unbalanced="0"/>
    <cacheHierarchy uniqueName="[DataTable].[Occupation (Pre-COVID)]" caption="Occupation (Pre-COVID)" attribute="1" defaultMemberUniqueName="[DataTable].[Occupation (Pre-COVID)].[All]" allUniqueName="[DataTable].[Occupation (Pre-COVID)].[All]" dimensionUniqueName="[DataTable]" displayFolder="" count="0"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2" memberValueDatatype="130" unbalanced="0">
      <fieldsUsage count="2">
        <fieldUsage x="-1"/>
        <fieldUsage x="2"/>
      </fieldsUsage>
    </cacheHierarchy>
    <cacheHierarchy uniqueName="[DataTable].[Q1. Pre-COVID]" caption="Q1. Pre-COVID" attribute="1" defaultMemberUniqueName="[DataTable].[Q1. Pre-COVID].[All]" allUniqueName="[DataTable].[Q1. Pre-COVID].[All]" dimensionUniqueName="[DataTable]" displayFolder="" count="0" memberValueDatatype="130" unbalanced="0"/>
    <cacheHierarchy uniqueName="[DataTable].[Q1. Post-COVID]" caption="Q1. Post-COVID" attribute="1" defaultMemberUniqueName="[DataTable].[Q1. Post-COVID].[All]" allUniqueName="[DataTable].[Q1. Post-COVID].[All]" dimensionUniqueName="[DataTable]" displayFolder="" count="2" memberValueDatatype="130" unbalanced="0">
      <fieldsUsage count="2">
        <fieldUsage x="-1"/>
        <fieldUsage x="1"/>
      </fieldsUsage>
    </cacheHierarchy>
    <cacheHierarchy uniqueName="[DataTable].[Q2. Pre-COVID]" caption="Q2. Pre-COVID" attribute="1" defaultMemberUniqueName="[DataTable].[Q2. Pre-COVID].[All]" allUniqueName="[DataTable].[Q2. Pre-COVID].[All]" dimensionUniqueName="[DataTable]" displayFolder="" count="0" memberValueDatatype="130" unbalanced="0"/>
    <cacheHierarchy uniqueName="[DataTable].[Q2. Post-COVID]" caption="Q2. Post-COVID" attribute="1" defaultMemberUniqueName="[DataTable].[Q2. Post-COVID].[All]" allUniqueName="[DataTable].[Q2. Post-COVID].[All]" dimensionUniqueName="[DataTable]" displayFolder="" count="0" memberValueDatatype="130" unbalanced="0"/>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oneField="1" hidden="1">
      <fieldsUsage count="1">
        <fieldUsage x="3"/>
      </fieldsUsage>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70.083372222223" backgroundQuery="1" createdVersion="8" refreshedVersion="8" minRefreshableVersion="3" recordCount="0" supportSubquery="1" supportAdvancedDrill="1" xr:uid="{3C8E8469-D581-4E73-A9B6-14A8BEDF6564}">
  <cacheSource type="external" connectionId="1"/>
  <cacheFields count="4">
    <cacheField name="[DataTable].[Gender].[Gender]" caption="Gender" numFmtId="0" hierarchy="2" level="1">
      <sharedItems containsBlank="1" count="3">
        <s v="Female"/>
        <s v="Male"/>
        <m u="1"/>
      </sharedItems>
    </cacheField>
    <cacheField name="[DataTable].[Q2. Pre-COVID].[Q2. Pre-COVID]" caption="Q2. Pre-COVID" numFmtId="0" hierarchy="9" level="1">
      <sharedItems count="8">
        <s v="Bike"/>
        <s v="Bus"/>
        <s v="Jeepney"/>
        <s v="Just Walking"/>
        <s v="Motorcycle"/>
        <s v="None"/>
        <s v="Private Car"/>
        <s v="Tricycle"/>
      </sharedItems>
    </cacheField>
    <cacheField name="[Measures].[Count of Gender 3]" caption="Count of Gender 3" numFmtId="0" hierarchy="128" level="32767"/>
    <cacheField name="[DataTable].[Age].[Age]" caption="Age" numFmtId="0" hierarchy="3" level="1">
      <sharedItems count="6">
        <s v="40 - 44"/>
        <s v="19 - 24"/>
        <s v="25 - 29"/>
        <s v="30 - 34"/>
        <s v="45 - 49"/>
        <s v="35 - 39"/>
      </sharedItems>
    </cacheField>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2" memberValueDatatype="130" unbalanced="0">
      <fieldsUsage count="2">
        <fieldUsage x="-1"/>
        <fieldUsage x="0"/>
      </fieldsUsage>
    </cacheHierarchy>
    <cacheHierarchy uniqueName="[DataTable].[Age]" caption="Age" attribute="1" defaultMemberUniqueName="[DataTable].[Age].[All]" allUniqueName="[DataTable].[Age].[All]" dimensionUniqueName="[DataTable]" displayFolder="" count="2" memberValueDatatype="130" unbalanced="0">
      <fieldsUsage count="2">
        <fieldUsage x="-1"/>
        <fieldUsage x="3"/>
      </fieldsUsage>
    </cacheHierarchy>
    <cacheHierarchy uniqueName="[DataTable].[Area of Residence]" caption="Area of Residence" attribute="1" defaultMemberUniqueName="[DataTable].[Area of Residence].[All]" allUniqueName="[DataTable].[Area of Residence].[All]" dimensionUniqueName="[DataTable]" displayFolder="" count="2" memberValueDatatype="130" unbalanced="0"/>
    <cacheHierarchy uniqueName="[DataTable].[Occupation (Pre-COVID)]" caption="Occupation (Pre-COVID)" attribute="1" defaultMemberUniqueName="[DataTable].[Occupation (Pre-COVID)].[All]" allUniqueName="[DataTable].[Occupation (Pre-COVID)].[All]" dimensionUniqueName="[DataTable]" displayFolder="" count="0"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0" memberValueDatatype="130" unbalanced="0"/>
    <cacheHierarchy uniqueName="[DataTable].[Q1. Pre-COVID]" caption="Q1. Pre-COVID" attribute="1" defaultMemberUniqueName="[DataTable].[Q1. Pre-COVID].[All]" allUniqueName="[DataTable].[Q1. Pre-COVID].[All]" dimensionUniqueName="[DataTable]" displayFolder="" count="0" memberValueDatatype="130" unbalanced="0"/>
    <cacheHierarchy uniqueName="[DataTable].[Q1. Post-COVID]" caption="Q1. Post-COVID" attribute="1" defaultMemberUniqueName="[DataTable].[Q1. Post-COVID].[All]" allUniqueName="[DataTable].[Q1. Post-COVID].[All]" dimensionUniqueName="[DataTable]" displayFolder="" count="0" memberValueDatatype="130" unbalanced="0"/>
    <cacheHierarchy uniqueName="[DataTable].[Q2. Pre-COVID]" caption="Q2. Pre-COVID" attribute="1" defaultMemberUniqueName="[DataTable].[Q2. Pre-COVID].[All]" allUniqueName="[DataTable].[Q2. Pre-COVID].[All]" dimensionUniqueName="[DataTable]" displayFolder="" count="2" memberValueDatatype="130" unbalanced="0">
      <fieldsUsage count="2">
        <fieldUsage x="-1"/>
        <fieldUsage x="1"/>
      </fieldsUsage>
    </cacheHierarchy>
    <cacheHierarchy uniqueName="[DataTable].[Q2. Post-COVID]" caption="Q2. Post-COVID" attribute="1" defaultMemberUniqueName="[DataTable].[Q2. Post-COVID].[All]" allUniqueName="[DataTable].[Q2. Post-COVID].[All]" dimensionUniqueName="[DataTable]" displayFolder="" count="0" memberValueDatatype="130" unbalanced="0"/>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71.060542013889" backgroundQuery="1" createdVersion="8" refreshedVersion="8" minRefreshableVersion="3" recordCount="0" supportSubquery="1" supportAdvancedDrill="1" xr:uid="{187EA823-3EB9-4BE5-8821-429D22552266}">
  <cacheSource type="external" connectionId="1"/>
  <cacheFields count="4">
    <cacheField name="[DataTable].[Gender].[Gender]" caption="Gender" numFmtId="0" hierarchy="2" level="1">
      <sharedItems count="2">
        <s v="Female"/>
        <s v="Male"/>
      </sharedItems>
    </cacheField>
    <cacheField name="[Measures].[Count of Gender 3]" caption="Count of Gender 3" numFmtId="0" hierarchy="128" level="32767"/>
    <cacheField name="[DataTable].[Q1. Pre-COVID].[Q1. Pre-COVID]" caption="Q1. Pre-COVID" numFmtId="0" hierarchy="7" level="1">
      <sharedItems count="7">
        <s v="1 km to 5 km"/>
        <s v="11 km to 15 km"/>
        <s v="16 km to 20 km"/>
        <s v="6 km to 10 km"/>
        <s v="Less than 1 km"/>
        <s v="More than 20 km"/>
        <s v="School/Work at home"/>
      </sharedItems>
    </cacheField>
    <cacheField name="[DataTable].[Age].[Age]" caption="Age" numFmtId="0" hierarchy="3" level="1">
      <sharedItems count="6">
        <s v="19 - 24"/>
        <s v="30 - 34"/>
        <s v="40 - 44"/>
        <s v="25 - 29"/>
        <s v="45 - 49"/>
        <s v="35 - 39"/>
      </sharedItems>
    </cacheField>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2" memberValueDatatype="130" unbalanced="0">
      <fieldsUsage count="2">
        <fieldUsage x="-1"/>
        <fieldUsage x="0"/>
      </fieldsUsage>
    </cacheHierarchy>
    <cacheHierarchy uniqueName="[DataTable].[Age]" caption="Age" attribute="1" defaultMemberUniqueName="[DataTable].[Age].[All]" allUniqueName="[DataTable].[Age].[All]" dimensionUniqueName="[DataTable]" displayFolder="" count="2" memberValueDatatype="130" unbalanced="0">
      <fieldsUsage count="2">
        <fieldUsage x="-1"/>
        <fieldUsage x="3"/>
      </fieldsUsage>
    </cacheHierarchy>
    <cacheHierarchy uniqueName="[DataTable].[Area of Residence]" caption="Area of Residence" attribute="1" defaultMemberUniqueName="[DataTable].[Area of Residence].[All]" allUniqueName="[DataTable].[Area of Residence].[All]" dimensionUniqueName="[DataTable]" displayFolder="" count="0" memberValueDatatype="130" unbalanced="0"/>
    <cacheHierarchy uniqueName="[DataTable].[Occupation (Pre-COVID)]" caption="Occupation (Pre-COVID)" attribute="1" defaultMemberUniqueName="[DataTable].[Occupation (Pre-COVID)].[All]" allUniqueName="[DataTable].[Occupation (Pre-COVID)].[All]" dimensionUniqueName="[DataTable]" displayFolder="" count="0"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0" memberValueDatatype="130" unbalanced="0"/>
    <cacheHierarchy uniqueName="[DataTable].[Q1. Pre-COVID]" caption="Q1. Pre-COVID" attribute="1" defaultMemberUniqueName="[DataTable].[Q1. Pre-COVID].[All]" allUniqueName="[DataTable].[Q1. Pre-COVID].[All]" dimensionUniqueName="[DataTable]" displayFolder="" count="2" memberValueDatatype="130" unbalanced="0">
      <fieldsUsage count="2">
        <fieldUsage x="-1"/>
        <fieldUsage x="2"/>
      </fieldsUsage>
    </cacheHierarchy>
    <cacheHierarchy uniqueName="[DataTable].[Q1. Post-COVID]" caption="Q1. Post-COVID" attribute="1" defaultMemberUniqueName="[DataTable].[Q1. Post-COVID].[All]" allUniqueName="[DataTable].[Q1. Post-COVID].[All]" dimensionUniqueName="[DataTable]" displayFolder="" count="0" memberValueDatatype="130" unbalanced="0"/>
    <cacheHierarchy uniqueName="[DataTable].[Q2. Pre-COVID]" caption="Q2. Pre-COVID" attribute="1" defaultMemberUniqueName="[DataTable].[Q2. Pre-COVID].[All]" allUniqueName="[DataTable].[Q2. Pre-COVID].[All]" dimensionUniqueName="[DataTable]" displayFolder="" count="0" memberValueDatatype="130" unbalanced="0"/>
    <cacheHierarchy uniqueName="[DataTable].[Q2. Post-COVID]" caption="Q2. Post-COVID" attribute="1" defaultMemberUniqueName="[DataTable].[Q2. Post-COVID].[All]" allUniqueName="[DataTable].[Q2. Post-COVID].[All]" dimensionUniqueName="[DataTable]" displayFolder="" count="0" memberValueDatatype="130" unbalanced="0"/>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71.068793634258" backgroundQuery="1" createdVersion="8" refreshedVersion="8" minRefreshableVersion="3" recordCount="0" supportSubquery="1" supportAdvancedDrill="1" xr:uid="{B39B0D2B-079F-4278-98AF-03F30D678492}">
  <cacheSource type="external" connectionId="1"/>
  <cacheFields count="4">
    <cacheField name="[DataTable].[Gender].[Gender]" caption="Gender" numFmtId="0" hierarchy="2" level="1">
      <sharedItems count="2">
        <s v="Female"/>
        <s v="Male"/>
      </sharedItems>
    </cacheField>
    <cacheField name="[Measures].[Count of Gender 3]" caption="Count of Gender 3" numFmtId="0" hierarchy="128" level="32767"/>
    <cacheField name="[DataTable].[Q1. Post-COVID].[Q1. Post-COVID]" caption="Q1. Post-COVID" numFmtId="0" hierarchy="8" level="1">
      <sharedItems count="7">
        <s v="1 km to 5 km"/>
        <s v="11 km to 15 km"/>
        <s v="16 km to 20 km"/>
        <s v="6 km to 10 km"/>
        <s v="Less than 1 km"/>
        <s v="More than 20 km"/>
        <s v="School/Work at home"/>
      </sharedItems>
    </cacheField>
    <cacheField name="[DataTable].[Age].[Age]" caption="Age" numFmtId="0" hierarchy="3" level="1">
      <sharedItems count="6">
        <s v="19 - 24"/>
        <s v="25 - 29"/>
        <s v="40 - 44"/>
        <s v="30 - 34"/>
        <s v="45 - 49"/>
        <s v="35 - 39"/>
      </sharedItems>
    </cacheField>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2" memberValueDatatype="130" unbalanced="0">
      <fieldsUsage count="2">
        <fieldUsage x="-1"/>
        <fieldUsage x="0"/>
      </fieldsUsage>
    </cacheHierarchy>
    <cacheHierarchy uniqueName="[DataTable].[Age]" caption="Age" attribute="1" defaultMemberUniqueName="[DataTable].[Age].[All]" allUniqueName="[DataTable].[Age].[All]" dimensionUniqueName="[DataTable]" displayFolder="" count="2" memberValueDatatype="130" unbalanced="0">
      <fieldsUsage count="2">
        <fieldUsage x="-1"/>
        <fieldUsage x="3"/>
      </fieldsUsage>
    </cacheHierarchy>
    <cacheHierarchy uniqueName="[DataTable].[Area of Residence]" caption="Area of Residence" attribute="1" defaultMemberUniqueName="[DataTable].[Area of Residence].[All]" allUniqueName="[DataTable].[Area of Residence].[All]" dimensionUniqueName="[DataTable]" displayFolder="" count="0" memberValueDatatype="130" unbalanced="0"/>
    <cacheHierarchy uniqueName="[DataTable].[Occupation (Pre-COVID)]" caption="Occupation (Pre-COVID)" attribute="1" defaultMemberUniqueName="[DataTable].[Occupation (Pre-COVID)].[All]" allUniqueName="[DataTable].[Occupation (Pre-COVID)].[All]" dimensionUniqueName="[DataTable]" displayFolder="" count="0"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0" memberValueDatatype="130" unbalanced="0"/>
    <cacheHierarchy uniqueName="[DataTable].[Q1. Pre-COVID]" caption="Q1. Pre-COVID" attribute="1" defaultMemberUniqueName="[DataTable].[Q1. Pre-COVID].[All]" allUniqueName="[DataTable].[Q1. Pre-COVID].[All]" dimensionUniqueName="[DataTable]" displayFolder="" count="0" memberValueDatatype="130" unbalanced="0"/>
    <cacheHierarchy uniqueName="[DataTable].[Q1. Post-COVID]" caption="Q1. Post-COVID" attribute="1" defaultMemberUniqueName="[DataTable].[Q1. Post-COVID].[All]" allUniqueName="[DataTable].[Q1. Post-COVID].[All]" dimensionUniqueName="[DataTable]" displayFolder="" count="2" memberValueDatatype="130" unbalanced="0">
      <fieldsUsage count="2">
        <fieldUsage x="-1"/>
        <fieldUsage x="2"/>
      </fieldsUsage>
    </cacheHierarchy>
    <cacheHierarchy uniqueName="[DataTable].[Q2. Pre-COVID]" caption="Q2. Pre-COVID" attribute="1" defaultMemberUniqueName="[DataTable].[Q2. Pre-COVID].[All]" allUniqueName="[DataTable].[Q2. Pre-COVID].[All]" dimensionUniqueName="[DataTable]" displayFolder="" count="0" memberValueDatatype="130" unbalanced="0"/>
    <cacheHierarchy uniqueName="[DataTable].[Q2. Post-COVID]" caption="Q2. Post-COVID" attribute="1" defaultMemberUniqueName="[DataTable].[Q2. Post-COVID].[All]" allUniqueName="[DataTable].[Q2. Post-COVID].[All]" dimensionUniqueName="[DataTable]" displayFolder="" count="0" memberValueDatatype="130" unbalanced="0"/>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71.716271759258" backgroundQuery="1" createdVersion="8" refreshedVersion="8" minRefreshableVersion="3" recordCount="0" supportSubquery="1" supportAdvancedDrill="1" xr:uid="{7F4077E6-E4EA-4C5C-842B-9AC0EF591B37}">
  <cacheSource type="external" connectionId="1"/>
  <cacheFields count="4">
    <cacheField name="[DataTable].[Gender].[Gender]" caption="Gender" numFmtId="0" hierarchy="2" level="1">
      <sharedItems count="2">
        <s v="Female"/>
        <s v="Male"/>
      </sharedItems>
    </cacheField>
    <cacheField name="[Measures].[Count of Gender 3]" caption="Count of Gender 3" numFmtId="0" hierarchy="128" level="32767"/>
    <cacheField name="[DataTable].[Q1. Pre-COVID].[Q1. Pre-COVID]" caption="Q1. Pre-COVID" numFmtId="0" hierarchy="7" level="1">
      <sharedItems count="7">
        <s v="1 km to 5 km"/>
        <s v="11 km to 15 km"/>
        <s v="16 km to 20 km"/>
        <s v="6 km to 10 km"/>
        <s v="Less than 1 km"/>
        <s v="More than 20 km"/>
        <s v="School/Work at home"/>
      </sharedItems>
    </cacheField>
    <cacheField name="[DataTable].[Area of Residence].[Area of Residence]" caption="Area of Residence" numFmtId="0" hierarchy="4" level="1">
      <sharedItems count="11">
        <s v="Batangas City"/>
        <s v="Lipa City"/>
        <s v="Rosario"/>
        <s v="Alitagtag"/>
        <s v="Taysan"/>
        <s v="Tanauan"/>
        <s v="Ibaan"/>
        <s v="San Juan"/>
        <s v="Cuenca"/>
        <s v="San Jose"/>
        <s v="Santa Teresita"/>
      </sharedItems>
    </cacheField>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2" memberValueDatatype="130" unbalanced="0">
      <fieldsUsage count="2">
        <fieldUsage x="-1"/>
        <fieldUsage x="0"/>
      </fieldsUsage>
    </cacheHierarchy>
    <cacheHierarchy uniqueName="[DataTable].[Age]" caption="Age" attribute="1" defaultMemberUniqueName="[DataTable].[Age].[All]" allUniqueName="[DataTable].[Age].[All]" dimensionUniqueName="[DataTable]" displayFolder="" count="0" memberValueDatatype="130" unbalanced="0"/>
    <cacheHierarchy uniqueName="[DataTable].[Area of Residence]" caption="Area of Residence" attribute="1" defaultMemberUniqueName="[DataTable].[Area of Residence].[All]" allUniqueName="[DataTable].[Area of Residence].[All]" dimensionUniqueName="[DataTable]" displayFolder="" count="2" memberValueDatatype="130" unbalanced="0">
      <fieldsUsage count="2">
        <fieldUsage x="-1"/>
        <fieldUsage x="3"/>
      </fieldsUsage>
    </cacheHierarchy>
    <cacheHierarchy uniqueName="[DataTable].[Occupation (Pre-COVID)]" caption="Occupation (Pre-COVID)" attribute="1" defaultMemberUniqueName="[DataTable].[Occupation (Pre-COVID)].[All]" allUniqueName="[DataTable].[Occupation (Pre-COVID)].[All]" dimensionUniqueName="[DataTable]" displayFolder="" count="0"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0" memberValueDatatype="130" unbalanced="0"/>
    <cacheHierarchy uniqueName="[DataTable].[Q1. Pre-COVID]" caption="Q1. Pre-COVID" attribute="1" defaultMemberUniqueName="[DataTable].[Q1. Pre-COVID].[All]" allUniqueName="[DataTable].[Q1. Pre-COVID].[All]" dimensionUniqueName="[DataTable]" displayFolder="" count="2" memberValueDatatype="130" unbalanced="0">
      <fieldsUsage count="2">
        <fieldUsage x="-1"/>
        <fieldUsage x="2"/>
      </fieldsUsage>
    </cacheHierarchy>
    <cacheHierarchy uniqueName="[DataTable].[Q1. Post-COVID]" caption="Q1. Post-COVID" attribute="1" defaultMemberUniqueName="[DataTable].[Q1. Post-COVID].[All]" allUniqueName="[DataTable].[Q1. Post-COVID].[All]" dimensionUniqueName="[DataTable]" displayFolder="" count="0" memberValueDatatype="130" unbalanced="0"/>
    <cacheHierarchy uniqueName="[DataTable].[Q2. Pre-COVID]" caption="Q2. Pre-COVID" attribute="1" defaultMemberUniqueName="[DataTable].[Q2. Pre-COVID].[All]" allUniqueName="[DataTable].[Q2. Pre-COVID].[All]" dimensionUniqueName="[DataTable]" displayFolder="" count="0" memberValueDatatype="130" unbalanced="0"/>
    <cacheHierarchy uniqueName="[DataTable].[Q2. Post-COVID]" caption="Q2. Post-COVID" attribute="1" defaultMemberUniqueName="[DataTable].[Q2. Post-COVID].[All]" allUniqueName="[DataTable].[Q2. Post-COVID].[All]" dimensionUniqueName="[DataTable]" displayFolder="" count="0" memberValueDatatype="130" unbalanced="0"/>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71.721283680556" backgroundQuery="1" createdVersion="8" refreshedVersion="8" minRefreshableVersion="3" recordCount="0" supportSubquery="1" supportAdvancedDrill="1" xr:uid="{CF26E4EF-F663-4CC9-81BE-ECFFEAE83EBB}">
  <cacheSource type="external" connectionId="1"/>
  <cacheFields count="4">
    <cacheField name="[DataTable].[Gender].[Gender]" caption="Gender" numFmtId="0" hierarchy="2" level="1">
      <sharedItems count="2">
        <s v="Female"/>
        <s v="Male"/>
      </sharedItems>
    </cacheField>
    <cacheField name="[Measures].[Count of Gender 3]" caption="Count of Gender 3" numFmtId="0" hierarchy="128" level="32767"/>
    <cacheField name="[DataTable].[Q2. Pre-COVID].[Q2. Pre-COVID]" caption="Q2. Pre-COVID" numFmtId="0" hierarchy="9" level="1">
      <sharedItems count="8">
        <s v="Bike"/>
        <s v="Bus"/>
        <s v="Jeepney"/>
        <s v="Just Walking"/>
        <s v="Motorcycle"/>
        <s v="None"/>
        <s v="Private Car"/>
        <s v="Tricycle"/>
      </sharedItems>
    </cacheField>
    <cacheField name="[DataTable].[Occupation (Pre-COVID)].[Occupation (Pre-COVID)]" caption="Occupation (Pre-COVID)" numFmtId="0" hierarchy="5" level="1">
      <sharedItems count="5">
        <s v="Full-time"/>
        <s v="Student"/>
        <s v="Part-time"/>
        <s v="Unemployed, looking for work"/>
        <s v="Unemployed, not looking for work"/>
      </sharedItems>
    </cacheField>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2" memberValueDatatype="130" unbalanced="0">
      <fieldsUsage count="2">
        <fieldUsage x="-1"/>
        <fieldUsage x="0"/>
      </fieldsUsage>
    </cacheHierarchy>
    <cacheHierarchy uniqueName="[DataTable].[Age]" caption="Age" attribute="1" defaultMemberUniqueName="[DataTable].[Age].[All]" allUniqueName="[DataTable].[Age].[All]" dimensionUniqueName="[DataTable]" displayFolder="" count="0" memberValueDatatype="130" unbalanced="0"/>
    <cacheHierarchy uniqueName="[DataTable].[Area of Residence]" caption="Area of Residence" attribute="1" defaultMemberUniqueName="[DataTable].[Area of Residence].[All]" allUniqueName="[DataTable].[Area of Residence].[All]" dimensionUniqueName="[DataTable]" displayFolder="" count="0" memberValueDatatype="130" unbalanced="0"/>
    <cacheHierarchy uniqueName="[DataTable].[Occupation (Pre-COVID)]" caption="Occupation (Pre-COVID)" attribute="1" defaultMemberUniqueName="[DataTable].[Occupation (Pre-COVID)].[All]" allUniqueName="[DataTable].[Occupation (Pre-COVID)].[All]" dimensionUniqueName="[DataTable]" displayFolder="" count="2" memberValueDatatype="130" unbalanced="0">
      <fieldsUsage count="2">
        <fieldUsage x="-1"/>
        <fieldUsage x="3"/>
      </fieldsUsage>
    </cacheHierarchy>
    <cacheHierarchy uniqueName="[DataTable].[Occupation (Post-COVID)]" caption="Occupation (Post-COVID)" attribute="1" defaultMemberUniqueName="[DataTable].[Occupation (Post-COVID)].[All]" allUniqueName="[DataTable].[Occupation (Post-COVID)].[All]" dimensionUniqueName="[DataTable]" displayFolder="" count="0" memberValueDatatype="130" unbalanced="0"/>
    <cacheHierarchy uniqueName="[DataTable].[Q1. Pre-COVID]" caption="Q1. Pre-COVID" attribute="1" defaultMemberUniqueName="[DataTable].[Q1. Pre-COVID].[All]" allUniqueName="[DataTable].[Q1. Pre-COVID].[All]" dimensionUniqueName="[DataTable]" displayFolder="" count="0" memberValueDatatype="130" unbalanced="0"/>
    <cacheHierarchy uniqueName="[DataTable].[Q1. Post-COVID]" caption="Q1. Post-COVID" attribute="1" defaultMemberUniqueName="[DataTable].[Q1. Post-COVID].[All]" allUniqueName="[DataTable].[Q1. Post-COVID].[All]" dimensionUniqueName="[DataTable]" displayFolder="" count="0" memberValueDatatype="130" unbalanced="0"/>
    <cacheHierarchy uniqueName="[DataTable].[Q2. Pre-COVID]" caption="Q2. Pre-COVID" attribute="1" defaultMemberUniqueName="[DataTable].[Q2. Pre-COVID].[All]" allUniqueName="[DataTable].[Q2. Pre-COVID].[All]" dimensionUniqueName="[DataTable]" displayFolder="" count="2" memberValueDatatype="130" unbalanced="0">
      <fieldsUsage count="2">
        <fieldUsage x="-1"/>
        <fieldUsage x="2"/>
      </fieldsUsage>
    </cacheHierarchy>
    <cacheHierarchy uniqueName="[DataTable].[Q2. Post-COVID]" caption="Q2. Post-COVID" attribute="1" defaultMemberUniqueName="[DataTable].[Q2. Post-COVID].[All]" allUniqueName="[DataTable].[Q2. Post-COVID].[All]" dimensionUniqueName="[DataTable]" displayFolder="" count="0" memberValueDatatype="130" unbalanced="0"/>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71.723127893521" backgroundQuery="1" createdVersion="8" refreshedVersion="8" minRefreshableVersion="3" recordCount="0" supportSubquery="1" supportAdvancedDrill="1" xr:uid="{20FA430B-C9CB-43FD-9643-A995747BE64A}">
  <cacheSource type="external" connectionId="1"/>
  <cacheFields count="4">
    <cacheField name="[DataTable].[Gender].[Gender]" caption="Gender" numFmtId="0" hierarchy="2" level="1">
      <sharedItems count="2">
        <s v="Female"/>
        <s v="Male"/>
      </sharedItems>
    </cacheField>
    <cacheField name="[Measures].[Count of Gender 3]" caption="Count of Gender 3" numFmtId="0" hierarchy="128" level="32767"/>
    <cacheField name="[DataTable].[Q2. Post-COVID].[Q2. Post-COVID]" caption="Q2. Post-COVID" numFmtId="0" hierarchy="10" level="1">
      <sharedItems count="7">
        <s v="Bike"/>
        <s v="Jeepney"/>
        <s v="Just Walking"/>
        <s v="Motorcycle"/>
        <s v="None"/>
        <s v="Private Car"/>
        <s v="Tricycle"/>
      </sharedItems>
    </cacheField>
    <cacheField name="[DataTable].[Occupation (Post-COVID)].[Occupation (Post-COVID)]" caption="Occupation (Post-COVID)" numFmtId="0" hierarchy="6" level="1">
      <sharedItems count="5">
        <s v="Full-time"/>
        <s v="Part-time"/>
        <s v="Student"/>
        <s v="Unemployed, looking for work"/>
        <s v="Unemployed, not looking for work"/>
      </sharedItems>
    </cacheField>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2" memberValueDatatype="130" unbalanced="0">
      <fieldsUsage count="2">
        <fieldUsage x="-1"/>
        <fieldUsage x="0"/>
      </fieldsUsage>
    </cacheHierarchy>
    <cacheHierarchy uniqueName="[DataTable].[Age]" caption="Age" attribute="1" defaultMemberUniqueName="[DataTable].[Age].[All]" allUniqueName="[DataTable].[Age].[All]" dimensionUniqueName="[DataTable]" displayFolder="" count="0" memberValueDatatype="130" unbalanced="0"/>
    <cacheHierarchy uniqueName="[DataTable].[Area of Residence]" caption="Area of Residence" attribute="1" defaultMemberUniqueName="[DataTable].[Area of Residence].[All]" allUniqueName="[DataTable].[Area of Residence].[All]" dimensionUniqueName="[DataTable]" displayFolder="" count="0" memberValueDatatype="130" unbalanced="0"/>
    <cacheHierarchy uniqueName="[DataTable].[Occupation (Pre-COVID)]" caption="Occupation (Pre-COVID)" attribute="1" defaultMemberUniqueName="[DataTable].[Occupation (Pre-COVID)].[All]" allUniqueName="[DataTable].[Occupation (Pre-COVID)].[All]" dimensionUniqueName="[DataTable]" displayFolder="" count="0"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2" memberValueDatatype="130" unbalanced="0">
      <fieldsUsage count="2">
        <fieldUsage x="-1"/>
        <fieldUsage x="3"/>
      </fieldsUsage>
    </cacheHierarchy>
    <cacheHierarchy uniqueName="[DataTable].[Q1. Pre-COVID]" caption="Q1. Pre-COVID" attribute="1" defaultMemberUniqueName="[DataTable].[Q1. Pre-COVID].[All]" allUniqueName="[DataTable].[Q1. Pre-COVID].[All]" dimensionUniqueName="[DataTable]" displayFolder="" count="0" memberValueDatatype="130" unbalanced="0"/>
    <cacheHierarchy uniqueName="[DataTable].[Q1. Post-COVID]" caption="Q1. Post-COVID" attribute="1" defaultMemberUniqueName="[DataTable].[Q1. Post-COVID].[All]" allUniqueName="[DataTable].[Q1. Post-COVID].[All]" dimensionUniqueName="[DataTable]" displayFolder="" count="0" memberValueDatatype="130" unbalanced="0"/>
    <cacheHierarchy uniqueName="[DataTable].[Q2. Pre-COVID]" caption="Q2. Pre-COVID" attribute="1" defaultMemberUniqueName="[DataTable].[Q2. Pre-COVID].[All]" allUniqueName="[DataTable].[Q2. Pre-COVID].[All]" dimensionUniqueName="[DataTable]" displayFolder="" count="0" memberValueDatatype="130" unbalanced="0"/>
    <cacheHierarchy uniqueName="[DataTable].[Q2. Post-COVID]" caption="Q2. Post-COVID" attribute="1" defaultMemberUniqueName="[DataTable].[Q2. Post-COVID].[All]" allUniqueName="[DataTable].[Q2. Post-COVID].[All]" dimensionUniqueName="[DataTable]" displayFolder="" count="2" memberValueDatatype="130" unbalanced="0">
      <fieldsUsage count="2">
        <fieldUsage x="-1"/>
        <fieldUsage x="2"/>
      </fieldsUsage>
    </cacheHierarchy>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71.788101157406" backgroundQuery="1" createdVersion="8" refreshedVersion="8" minRefreshableVersion="3" recordCount="0" supportSubquery="1" supportAdvancedDrill="1" xr:uid="{7B4BD9F7-4B80-4264-B09A-30F63B844A4C}">
  <cacheSource type="external" connectionId="1"/>
  <cacheFields count="4">
    <cacheField name="[DataTable].[Gender].[Gender]" caption="Gender" numFmtId="0" hierarchy="2" level="1">
      <sharedItems count="2">
        <s v="Female"/>
        <s v="Male"/>
      </sharedItems>
    </cacheField>
    <cacheField name="[DataTable].[Q2. Post-COVID].[Q2. Post-COVID]" caption="Q2. Post-COVID" numFmtId="0" hierarchy="10" level="1">
      <sharedItems count="7">
        <s v="Bike"/>
        <s v="Jeepney"/>
        <s v="Just Walking"/>
        <s v="Motorcycle"/>
        <s v="None"/>
        <s v="Private Car"/>
        <s v="Tricycle"/>
      </sharedItems>
    </cacheField>
    <cacheField name="[Measures].[Count of Gender 3]" caption="Count of Gender 3" numFmtId="0" hierarchy="128" level="32767"/>
    <cacheField name="[DataTable].[Age].[Age]" caption="Age" numFmtId="0" hierarchy="3" level="1">
      <sharedItems count="6">
        <s v="19 - 24"/>
        <s v="40 - 44"/>
        <s v="25 - 29"/>
        <s v="30 - 34"/>
        <s v="45 - 49"/>
        <s v="35 - 39"/>
      </sharedItems>
    </cacheField>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2" memberValueDatatype="130" unbalanced="0">
      <fieldsUsage count="2">
        <fieldUsage x="-1"/>
        <fieldUsage x="0"/>
      </fieldsUsage>
    </cacheHierarchy>
    <cacheHierarchy uniqueName="[DataTable].[Age]" caption="Age" attribute="1" defaultMemberUniqueName="[DataTable].[Age].[All]" allUniqueName="[DataTable].[Age].[All]" dimensionUniqueName="[DataTable]" displayFolder="" count="2" memberValueDatatype="130" unbalanced="0">
      <fieldsUsage count="2">
        <fieldUsage x="-1"/>
        <fieldUsage x="3"/>
      </fieldsUsage>
    </cacheHierarchy>
    <cacheHierarchy uniqueName="[DataTable].[Area of Residence]" caption="Area of Residence" attribute="1" defaultMemberUniqueName="[DataTable].[Area of Residence].[All]" allUniqueName="[DataTable].[Area of Residence].[All]" dimensionUniqueName="[DataTable]" displayFolder="" count="2" memberValueDatatype="130" unbalanced="0"/>
    <cacheHierarchy uniqueName="[DataTable].[Occupation (Pre-COVID)]" caption="Occupation (Pre-COVID)" attribute="1" defaultMemberUniqueName="[DataTable].[Occupation (Pre-COVID)].[All]" allUniqueName="[DataTable].[Occupation (Pre-COVID)].[All]" dimensionUniqueName="[DataTable]" displayFolder="" count="0"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0" memberValueDatatype="130" unbalanced="0"/>
    <cacheHierarchy uniqueName="[DataTable].[Q1. Pre-COVID]" caption="Q1. Pre-COVID" attribute="1" defaultMemberUniqueName="[DataTable].[Q1. Pre-COVID].[All]" allUniqueName="[DataTable].[Q1. Pre-COVID].[All]" dimensionUniqueName="[DataTable]" displayFolder="" count="0" memberValueDatatype="130" unbalanced="0"/>
    <cacheHierarchy uniqueName="[DataTable].[Q1. Post-COVID]" caption="Q1. Post-COVID" attribute="1" defaultMemberUniqueName="[DataTable].[Q1. Post-COVID].[All]" allUniqueName="[DataTable].[Q1. Post-COVID].[All]" dimensionUniqueName="[DataTable]" displayFolder="" count="0" memberValueDatatype="130" unbalanced="0"/>
    <cacheHierarchy uniqueName="[DataTable].[Q2. Pre-COVID]" caption="Q2. Pre-COVID" attribute="1" defaultMemberUniqueName="[DataTable].[Q2. Pre-COVID].[All]" allUniqueName="[DataTable].[Q2. Pre-COVID].[All]" dimensionUniqueName="[DataTable]" displayFolder="" count="0" memberValueDatatype="130" unbalanced="0"/>
    <cacheHierarchy uniqueName="[DataTable].[Q2. Post-COVID]" caption="Q2. Post-COVID" attribute="1" defaultMemberUniqueName="[DataTable].[Q2. Post-COVID].[All]" allUniqueName="[DataTable].[Q2. Post-COVID].[All]" dimensionUniqueName="[DataTable]" displayFolder="" count="2" memberValueDatatype="130" unbalanced="0">
      <fieldsUsage count="2">
        <fieldUsage x="-1"/>
        <fieldUsage x="1"/>
      </fieldsUsage>
    </cacheHierarchy>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71.80497222222" backgroundQuery="1" createdVersion="8" refreshedVersion="8" minRefreshableVersion="3" recordCount="0" supportSubquery="1" supportAdvancedDrill="1" xr:uid="{BC6502DD-E5D2-425F-9845-38328A57CDEE}">
  <cacheSource type="external" connectionId="1"/>
  <cacheFields count="4">
    <cacheField name="[DataTable].[Gender].[Gender]" caption="Gender" numFmtId="0" hierarchy="2" level="1">
      <sharedItems containsBlank="1" count="3">
        <s v="Female"/>
        <s v="Male"/>
        <m u="1"/>
      </sharedItems>
    </cacheField>
    <cacheField name="[DataTable].[Q2. Pre-COVID].[Q2. Pre-COVID]" caption="Q2. Pre-COVID" numFmtId="0" hierarchy="9" level="1">
      <sharedItems count="8">
        <s v="Bike"/>
        <s v="Bus"/>
        <s v="Jeepney"/>
        <s v="Just Walking"/>
        <s v="Motorcycle"/>
        <s v="None"/>
        <s v="Private Car"/>
        <s v="Tricycle"/>
      </sharedItems>
    </cacheField>
    <cacheField name="[DataTable].[Area of Residence].[Area of Residence]" caption="Area of Residence" numFmtId="0" hierarchy="4" level="1">
      <sharedItems count="11">
        <s v="Lipa City"/>
        <s v="Alitagtag"/>
        <s v="Batangas City"/>
        <s v="Cuenca"/>
        <s v="Rosario"/>
        <s v="San Jose"/>
        <s v="Tanauan"/>
        <s v="Taysan"/>
        <s v="Ibaan"/>
        <s v="Santa Teresita"/>
        <s v="San Juan"/>
      </sharedItems>
    </cacheField>
    <cacheField name="[Measures].[Count of Gender 3]" caption="Count of Gender 3" numFmtId="0" hierarchy="128" level="32767"/>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2" memberValueDatatype="130" unbalanced="0">
      <fieldsUsage count="2">
        <fieldUsage x="-1"/>
        <fieldUsage x="0"/>
      </fieldsUsage>
    </cacheHierarchy>
    <cacheHierarchy uniqueName="[DataTable].[Age]" caption="Age" attribute="1" defaultMemberUniqueName="[DataTable].[Age].[All]" allUniqueName="[DataTable].[Age].[All]" dimensionUniqueName="[DataTable]" displayFolder="" count="0" memberValueDatatype="130" unbalanced="0"/>
    <cacheHierarchy uniqueName="[DataTable].[Area of Residence]" caption="Area of Residence" attribute="1" defaultMemberUniqueName="[DataTable].[Area of Residence].[All]" allUniqueName="[DataTable].[Area of Residence].[All]" dimensionUniqueName="[DataTable]" displayFolder="" count="2" memberValueDatatype="130" unbalanced="0">
      <fieldsUsage count="2">
        <fieldUsage x="-1"/>
        <fieldUsage x="2"/>
      </fieldsUsage>
    </cacheHierarchy>
    <cacheHierarchy uniqueName="[DataTable].[Occupation (Pre-COVID)]" caption="Occupation (Pre-COVID)" attribute="1" defaultMemberUniqueName="[DataTable].[Occupation (Pre-COVID)].[All]" allUniqueName="[DataTable].[Occupation (Pre-COVID)].[All]" dimensionUniqueName="[DataTable]" displayFolder="" count="0"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0" memberValueDatatype="130" unbalanced="0"/>
    <cacheHierarchy uniqueName="[DataTable].[Q1. Pre-COVID]" caption="Q1. Pre-COVID" attribute="1" defaultMemberUniqueName="[DataTable].[Q1. Pre-COVID].[All]" allUniqueName="[DataTable].[Q1. Pre-COVID].[All]" dimensionUniqueName="[DataTable]" displayFolder="" count="0" memberValueDatatype="130" unbalanced="0"/>
    <cacheHierarchy uniqueName="[DataTable].[Q1. Post-COVID]" caption="Q1. Post-COVID" attribute="1" defaultMemberUniqueName="[DataTable].[Q1. Post-COVID].[All]" allUniqueName="[DataTable].[Q1. Post-COVID].[All]" dimensionUniqueName="[DataTable]" displayFolder="" count="0" memberValueDatatype="130" unbalanced="0"/>
    <cacheHierarchy uniqueName="[DataTable].[Q2. Pre-COVID]" caption="Q2. Pre-COVID" attribute="1" defaultMemberUniqueName="[DataTable].[Q2. Pre-COVID].[All]" allUniqueName="[DataTable].[Q2. Pre-COVID].[All]" dimensionUniqueName="[DataTable]" displayFolder="" count="2" memberValueDatatype="130" unbalanced="0">
      <fieldsUsage count="2">
        <fieldUsage x="-1"/>
        <fieldUsage x="1"/>
      </fieldsUsage>
    </cacheHierarchy>
    <cacheHierarchy uniqueName="[DataTable].[Q2. Post-COVID]" caption="Q2. Post-COVID" attribute="1" defaultMemberUniqueName="[DataTable].[Q2. Post-COVID].[All]" allUniqueName="[DataTable].[Q2. Post-COVID].[All]" dimensionUniqueName="[DataTable]" displayFolder="" count="0" memberValueDatatype="130" unbalanced="0"/>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oneField="1" hidden="1">
      <fieldsUsage count="1">
        <fieldUsage x="3"/>
      </fieldsUsage>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71.809334259262" backgroundQuery="1" createdVersion="8" refreshedVersion="8" minRefreshableVersion="3" recordCount="0" supportSubquery="1" supportAdvancedDrill="1" xr:uid="{E3B611D9-3D7F-452A-98ED-FF49A46A2B5F}">
  <cacheSource type="external" connectionId="1"/>
  <cacheFields count="4">
    <cacheField name="[DataTable].[Gender].[Gender]" caption="Gender" numFmtId="0" hierarchy="2" level="1">
      <sharedItems count="2">
        <s v="Female"/>
        <s v="Male"/>
      </sharedItems>
    </cacheField>
    <cacheField name="[Measures].[Count of Gender 3]" caption="Count of Gender 3" numFmtId="0" hierarchy="128" level="32767"/>
    <cacheField name="[DataTable].[Q2. Post-COVID].[Q2. Post-COVID]" caption="Q2. Post-COVID" numFmtId="0" hierarchy="10" level="1">
      <sharedItems count="7">
        <s v="Bike"/>
        <s v="Jeepney"/>
        <s v="Just Walking"/>
        <s v="Motorcycle"/>
        <s v="None"/>
        <s v="Private Car"/>
        <s v="Tricycle"/>
      </sharedItems>
    </cacheField>
    <cacheField name="[DataTable].[Area of Residence].[Area of Residence]" caption="Area of Residence" numFmtId="0" hierarchy="4" level="1">
      <sharedItems count="11">
        <s v="Lipa City"/>
        <s v="Alitagtag"/>
        <s v="Cuenca"/>
        <s v="Rosario"/>
        <s v="Tanauan"/>
        <s v="Taysan"/>
        <s v="Ibaan"/>
        <s v="San Jose"/>
        <s v="Batangas City"/>
        <s v="San Juan"/>
        <s v="Santa Teresita"/>
      </sharedItems>
    </cacheField>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2" memberValueDatatype="130" unbalanced="0">
      <fieldsUsage count="2">
        <fieldUsage x="-1"/>
        <fieldUsage x="0"/>
      </fieldsUsage>
    </cacheHierarchy>
    <cacheHierarchy uniqueName="[DataTable].[Age]" caption="Age" attribute="1" defaultMemberUniqueName="[DataTable].[Age].[All]" allUniqueName="[DataTable].[Age].[All]" dimensionUniqueName="[DataTable]" displayFolder="" count="0" memberValueDatatype="130" unbalanced="0"/>
    <cacheHierarchy uniqueName="[DataTable].[Area of Residence]" caption="Area of Residence" attribute="1" defaultMemberUniqueName="[DataTable].[Area of Residence].[All]" allUniqueName="[DataTable].[Area of Residence].[All]" dimensionUniqueName="[DataTable]" displayFolder="" count="2" memberValueDatatype="130" unbalanced="0">
      <fieldsUsage count="2">
        <fieldUsage x="-1"/>
        <fieldUsage x="3"/>
      </fieldsUsage>
    </cacheHierarchy>
    <cacheHierarchy uniqueName="[DataTable].[Occupation (Pre-COVID)]" caption="Occupation (Pre-COVID)" attribute="1" defaultMemberUniqueName="[DataTable].[Occupation (Pre-COVID)].[All]" allUniqueName="[DataTable].[Occupation (Pre-COVID)].[All]" dimensionUniqueName="[DataTable]" displayFolder="" count="0"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0" memberValueDatatype="130" unbalanced="0"/>
    <cacheHierarchy uniqueName="[DataTable].[Q1. Pre-COVID]" caption="Q1. Pre-COVID" attribute="1" defaultMemberUniqueName="[DataTable].[Q1. Pre-COVID].[All]" allUniqueName="[DataTable].[Q1. Pre-COVID].[All]" dimensionUniqueName="[DataTable]" displayFolder="" count="0" memberValueDatatype="130" unbalanced="0"/>
    <cacheHierarchy uniqueName="[DataTable].[Q1. Post-COVID]" caption="Q1. Post-COVID" attribute="1" defaultMemberUniqueName="[DataTable].[Q1. Post-COVID].[All]" allUniqueName="[DataTable].[Q1. Post-COVID].[All]" dimensionUniqueName="[DataTable]" displayFolder="" count="0" memberValueDatatype="130" unbalanced="0"/>
    <cacheHierarchy uniqueName="[DataTable].[Q2. Pre-COVID]" caption="Q2. Pre-COVID" attribute="1" defaultMemberUniqueName="[DataTable].[Q2. Pre-COVID].[All]" allUniqueName="[DataTable].[Q2. Pre-COVID].[All]" dimensionUniqueName="[DataTable]" displayFolder="" count="0" memberValueDatatype="130" unbalanced="0"/>
    <cacheHierarchy uniqueName="[DataTable].[Q2. Post-COVID]" caption="Q2. Post-COVID" attribute="1" defaultMemberUniqueName="[DataTable].[Q2. Post-COVID].[All]" allUniqueName="[DataTable].[Q2. Post-COVID].[All]" dimensionUniqueName="[DataTable]" displayFolder="" count="2" memberValueDatatype="130" unbalanced="0">
      <fieldsUsage count="2">
        <fieldUsage x="-1"/>
        <fieldUsage x="2"/>
      </fieldsUsage>
    </cacheHierarchy>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71.826585416668" backgroundQuery="1" createdVersion="7" refreshedVersion="8" minRefreshableVersion="3" recordCount="0" supportSubquery="1" supportAdvancedDrill="1" xr:uid="{DED900DA-AE7C-4BA6-8A2A-0D4B70D60BF6}">
  <cacheSource type="external" connectionId="1"/>
  <cacheFields count="4">
    <cacheField name="[DataTable2].[Gender].[Gender]" caption="Gender" numFmtId="0" hierarchy="51" level="1">
      <sharedItems count="2">
        <s v="Female"/>
        <s v="Male"/>
      </sharedItems>
    </cacheField>
    <cacheField name="[DataTable2].[Age].[Age]" caption="Age" numFmtId="0" hierarchy="52" level="1">
      <sharedItems count="6">
        <s v="19 - 24"/>
        <s v="25 - 29"/>
        <s v="30 - 34"/>
        <s v="35 - 39"/>
        <s v="40 - 44"/>
        <s v="45 - 49"/>
      </sharedItems>
    </cacheField>
    <cacheField name="[DataTable2].[Occupation (Pre-COVID)].[Occupation (Pre-COVID)]" caption="Occupation (Pre-COVID)" numFmtId="0" hierarchy="54" level="1">
      <sharedItems count="5">
        <s v="Full-time"/>
        <s v="Student"/>
        <s v="Unemployed, looking for work"/>
        <s v="Part-time"/>
        <s v="Unemployed, not looking for work"/>
      </sharedItems>
    </cacheField>
    <cacheField name="[Measures].[Count of Occupation (Pre-COVID) 4]" caption="Count of Occupation (Pre-COVID) 4" numFmtId="0" hierarchy="139" level="32767"/>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0" memberValueDatatype="130" unbalanced="0"/>
    <cacheHierarchy uniqueName="[DataTable].[Age]" caption="Age" attribute="1" defaultMemberUniqueName="[DataTable].[Age].[All]" allUniqueName="[DataTable].[Age].[All]" dimensionUniqueName="[DataTable]" displayFolder="" count="0" memberValueDatatype="130" unbalanced="0"/>
    <cacheHierarchy uniqueName="[DataTable].[Area of Residence]" caption="Area of Residence" attribute="1" defaultMemberUniqueName="[DataTable].[Area of Residence].[All]" allUniqueName="[DataTable].[Area of Residence].[All]" dimensionUniqueName="[DataTable]" displayFolder="" count="0" memberValueDatatype="130" unbalanced="0"/>
    <cacheHierarchy uniqueName="[DataTable].[Occupation (Pre-COVID)]" caption="Occupation (Pre-COVID)" attribute="1" defaultMemberUniqueName="[DataTable].[Occupation (Pre-COVID)].[All]" allUniqueName="[DataTable].[Occupation (Pre-COVID)].[All]" dimensionUniqueName="[DataTable]" displayFolder="" count="0"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0" memberValueDatatype="130" unbalanced="0"/>
    <cacheHierarchy uniqueName="[DataTable].[Q1. Pre-COVID]" caption="Q1. Pre-COVID" attribute="1" defaultMemberUniqueName="[DataTable].[Q1. Pre-COVID].[All]" allUniqueName="[DataTable].[Q1. Pre-COVID].[All]" dimensionUniqueName="[DataTable]" displayFolder="" count="0" memberValueDatatype="130" unbalanced="0"/>
    <cacheHierarchy uniqueName="[DataTable].[Q1. Post-COVID]" caption="Q1. Post-COVID" attribute="1" defaultMemberUniqueName="[DataTable].[Q1. Post-COVID].[All]" allUniqueName="[DataTable].[Q1. Post-COVID].[All]" dimensionUniqueName="[DataTable]" displayFolder="" count="0" memberValueDatatype="130" unbalanced="0"/>
    <cacheHierarchy uniqueName="[DataTable].[Q2. Pre-COVID]" caption="Q2. Pre-COVID" attribute="1" defaultMemberUniqueName="[DataTable].[Q2. Pre-COVID].[All]" allUniqueName="[DataTable].[Q2. Pre-COVID].[All]" dimensionUniqueName="[DataTable]" displayFolder="" count="0" memberValueDatatype="130" unbalanced="0"/>
    <cacheHierarchy uniqueName="[DataTable].[Q2. Post-COVID]" caption="Q2. Post-COVID" attribute="1" defaultMemberUniqueName="[DataTable].[Q2. Post-COVID].[All]" allUniqueName="[DataTable].[Q2. Post-COVID].[All]" dimensionUniqueName="[DataTable]" displayFolder="" count="0" memberValueDatatype="130" unbalanced="0"/>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2" memberValueDatatype="130" unbalanced="0">
      <fieldsUsage count="2">
        <fieldUsage x="-1"/>
        <fieldUsage x="0"/>
      </fieldsUsage>
    </cacheHierarchy>
    <cacheHierarchy uniqueName="[DataTable2].[Age]" caption="Age" attribute="1" defaultMemberUniqueName="[DataTable2].[Age].[All]" allUniqueName="[DataTable2].[Age].[All]" dimensionUniqueName="[DataTable2]" displayFolder="" count="2" memberValueDatatype="130" unbalanced="0">
      <fieldsUsage count="2">
        <fieldUsage x="-1"/>
        <fieldUsage x="1"/>
      </fieldsUsage>
    </cacheHierarchy>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2" memberValueDatatype="130" unbalanced="0">
      <fieldsUsage count="2">
        <fieldUsage x="-1"/>
        <fieldUsage x="2"/>
      </fieldsUsage>
    </cacheHierarchy>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hidden="1">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oneField="1" hidden="1">
      <fieldsUsage count="1">
        <fieldUsage x="3"/>
      </fieldsUsage>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71.826792824075" backgroundQuery="1" createdVersion="7" refreshedVersion="8" minRefreshableVersion="3" recordCount="0" supportSubquery="1" supportAdvancedDrill="1" xr:uid="{BBAB8BBE-DA52-470C-8B73-C2AB4E2F1AB9}">
  <cacheSource type="external" connectionId="1"/>
  <cacheFields count="4">
    <cacheField name="[DataTable3].[Gender].[Gender]" caption="Gender" numFmtId="0" hierarchy="68" level="1">
      <sharedItems count="2">
        <s v="Female"/>
        <s v="Male"/>
      </sharedItems>
    </cacheField>
    <cacheField name="[DataTable3].[Age].[Age]" caption="Age" numFmtId="0" hierarchy="69" level="1">
      <sharedItems count="6">
        <s v="19 - 24"/>
        <s v="25 - 29"/>
        <s v="30 - 34"/>
        <s v="35 - 39"/>
        <s v="40 - 44"/>
        <s v="45 - 49"/>
      </sharedItems>
    </cacheField>
    <cacheField name="[Measures].[Count of Occupation (Post-COVID) 5]" caption="Count of Occupation (Post-COVID) 5" numFmtId="0" hierarchy="147" level="32767"/>
    <cacheField name="[DataTable3].[Occupation (Post-COVID)].[Occupation (Post-COVID)]" caption="Occupation (Post-COVID)" numFmtId="0" hierarchy="72" level="1">
      <sharedItems count="5">
        <s v="Full-time"/>
        <s v="Student"/>
        <s v="Unemployed, looking for work"/>
        <s v="Part-time"/>
        <s v="Unemployed, not looking for work"/>
      </sharedItems>
    </cacheField>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0" memberValueDatatype="130" unbalanced="0"/>
    <cacheHierarchy uniqueName="[DataTable].[Age]" caption="Age" attribute="1" defaultMemberUniqueName="[DataTable].[Age].[All]" allUniqueName="[DataTable].[Age].[All]" dimensionUniqueName="[DataTable]" displayFolder="" count="0" memberValueDatatype="130" unbalanced="0"/>
    <cacheHierarchy uniqueName="[DataTable].[Area of Residence]" caption="Area of Residence" attribute="1" defaultMemberUniqueName="[DataTable].[Area of Residence].[All]" allUniqueName="[DataTable].[Area of Residence].[All]" dimensionUniqueName="[DataTable]" displayFolder="" count="0" memberValueDatatype="130" unbalanced="0"/>
    <cacheHierarchy uniqueName="[DataTable].[Occupation (Pre-COVID)]" caption="Occupation (Pre-COVID)" attribute="1" defaultMemberUniqueName="[DataTable].[Occupation (Pre-COVID)].[All]" allUniqueName="[DataTable].[Occupation (Pre-COVID)].[All]" dimensionUniqueName="[DataTable]" displayFolder="" count="0"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0" memberValueDatatype="130" unbalanced="0"/>
    <cacheHierarchy uniqueName="[DataTable].[Q1. Pre-COVID]" caption="Q1. Pre-COVID" attribute="1" defaultMemberUniqueName="[DataTable].[Q1. Pre-COVID].[All]" allUniqueName="[DataTable].[Q1. Pre-COVID].[All]" dimensionUniqueName="[DataTable]" displayFolder="" count="0" memberValueDatatype="130" unbalanced="0"/>
    <cacheHierarchy uniqueName="[DataTable].[Q1. Post-COVID]" caption="Q1. Post-COVID" attribute="1" defaultMemberUniqueName="[DataTable].[Q1. Post-COVID].[All]" allUniqueName="[DataTable].[Q1. Post-COVID].[All]" dimensionUniqueName="[DataTable]" displayFolder="" count="0" memberValueDatatype="130" unbalanced="0"/>
    <cacheHierarchy uniqueName="[DataTable].[Q2. Pre-COVID]" caption="Q2. Pre-COVID" attribute="1" defaultMemberUniqueName="[DataTable].[Q2. Pre-COVID].[All]" allUniqueName="[DataTable].[Q2. Pre-COVID].[All]" dimensionUniqueName="[DataTable]" displayFolder="" count="0" memberValueDatatype="130" unbalanced="0"/>
    <cacheHierarchy uniqueName="[DataTable].[Q2. Post-COVID]" caption="Q2. Post-COVID" attribute="1" defaultMemberUniqueName="[DataTable].[Q2. Post-COVID].[All]" allUniqueName="[DataTable].[Q2. Post-COVID].[All]" dimensionUniqueName="[DataTable]" displayFolder="" count="0" memberValueDatatype="130" unbalanced="0"/>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2" memberValueDatatype="130" unbalanced="0">
      <fieldsUsage count="2">
        <fieldUsage x="-1"/>
        <fieldUsage x="0"/>
      </fieldsUsage>
    </cacheHierarchy>
    <cacheHierarchy uniqueName="[DataTable3].[Age]" caption="Age" attribute="1" defaultMemberUniqueName="[DataTable3].[Age].[All]" allUniqueName="[DataTable3].[Age].[All]" dimensionUniqueName="[DataTable3]" displayFolder="" count="2" memberValueDatatype="130" unbalanced="0">
      <fieldsUsage count="2">
        <fieldUsage x="-1"/>
        <fieldUsage x="1"/>
      </fieldsUsage>
    </cacheHierarchy>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2" memberValueDatatype="130" unbalanced="0">
      <fieldsUsage count="2">
        <fieldUsage x="-1"/>
        <fieldUsage x="3"/>
      </fieldsUsage>
    </cacheHierarchy>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hidden="1">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oneField="1" hidden="1">
      <fieldsUsage count="1">
        <fieldUsage x="2"/>
      </fieldsUsage>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71.827112384257" backgroundQuery="1" createdVersion="7" refreshedVersion="8" minRefreshableVersion="3" recordCount="0" supportSubquery="1" supportAdvancedDrill="1" xr:uid="{730480C2-34B8-4B95-8C89-AD58AF4D2A36}">
  <cacheSource type="external" connectionId="1"/>
  <cacheFields count="4">
    <cacheField name="[DataTable1].[Gender].[Gender]" caption="Gender" numFmtId="0" hierarchy="34" level="1">
      <sharedItems count="2">
        <s v="Female"/>
        <s v="Male"/>
      </sharedItems>
    </cacheField>
    <cacheField name="[DataTable1].[Area of Residence].[Area of Residence]" caption="Area of Residence" numFmtId="0" hierarchy="36" level="1">
      <sharedItems count="11">
        <s v="Alitagtag"/>
        <s v="Batangas City"/>
        <s v="Lipa City"/>
        <s v="Ibaan"/>
        <s v="Rosario"/>
        <s v="Tanauan"/>
        <s v="San Jose"/>
        <s v="San Juan"/>
        <s v="Santa Teresita"/>
        <s v="Taysan"/>
        <s v="Cuenca"/>
      </sharedItems>
    </cacheField>
    <cacheField name="[Measures].[Count of Area of Residence 3]" caption="Count of Area of Residence 3" numFmtId="0" hierarchy="131" level="32767"/>
    <cacheField name="[DataTable1].[Age].[Age]" caption="Age" numFmtId="0" hierarchy="35" level="1">
      <sharedItems count="6">
        <s v="19 - 24"/>
        <s v="25 - 29"/>
        <s v="30 - 34"/>
        <s v="35 - 39"/>
        <s v="40 - 44"/>
        <s v="45 - 49"/>
      </sharedItems>
    </cacheField>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0" memberValueDatatype="130" unbalanced="0"/>
    <cacheHierarchy uniqueName="[DataTable].[Age]" caption="Age" attribute="1" defaultMemberUniqueName="[DataTable].[Age].[All]" allUniqueName="[DataTable].[Age].[All]" dimensionUniqueName="[DataTable]" displayFolder="" count="0" memberValueDatatype="130" unbalanced="0"/>
    <cacheHierarchy uniqueName="[DataTable].[Area of Residence]" caption="Area of Residence" attribute="1" defaultMemberUniqueName="[DataTable].[Area of Residence].[All]" allUniqueName="[DataTable].[Area of Residence].[All]" dimensionUniqueName="[DataTable]" displayFolder="" count="0" memberValueDatatype="130" unbalanced="0"/>
    <cacheHierarchy uniqueName="[DataTable].[Occupation (Pre-COVID)]" caption="Occupation (Pre-COVID)" attribute="1" defaultMemberUniqueName="[DataTable].[Occupation (Pre-COVID)].[All]" allUniqueName="[DataTable].[Occupation (Pre-COVID)].[All]" dimensionUniqueName="[DataTable]" displayFolder="" count="0"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0" memberValueDatatype="130" unbalanced="0"/>
    <cacheHierarchy uniqueName="[DataTable].[Q1. Pre-COVID]" caption="Q1. Pre-COVID" attribute="1" defaultMemberUniqueName="[DataTable].[Q1. Pre-COVID].[All]" allUniqueName="[DataTable].[Q1. Pre-COVID].[All]" dimensionUniqueName="[DataTable]" displayFolder="" count="0" memberValueDatatype="130" unbalanced="0"/>
    <cacheHierarchy uniqueName="[DataTable].[Q1. Post-COVID]" caption="Q1. Post-COVID" attribute="1" defaultMemberUniqueName="[DataTable].[Q1. Post-COVID].[All]" allUniqueName="[DataTable].[Q1. Post-COVID].[All]" dimensionUniqueName="[DataTable]" displayFolder="" count="0" memberValueDatatype="130" unbalanced="0"/>
    <cacheHierarchy uniqueName="[DataTable].[Q2. Pre-COVID]" caption="Q2. Pre-COVID" attribute="1" defaultMemberUniqueName="[DataTable].[Q2. Pre-COVID].[All]" allUniqueName="[DataTable].[Q2. Pre-COVID].[All]" dimensionUniqueName="[DataTable]" displayFolder="" count="0" memberValueDatatype="130" unbalanced="0"/>
    <cacheHierarchy uniqueName="[DataTable].[Q2. Post-COVID]" caption="Q2. Post-COVID" attribute="1" defaultMemberUniqueName="[DataTable].[Q2. Post-COVID].[All]" allUniqueName="[DataTable].[Q2. Post-COVID].[All]" dimensionUniqueName="[DataTable]" displayFolder="" count="0" memberValueDatatype="130" unbalanced="0"/>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2" memberValueDatatype="130" unbalanced="0">
      <fieldsUsage count="2">
        <fieldUsage x="-1"/>
        <fieldUsage x="0"/>
      </fieldsUsage>
    </cacheHierarchy>
    <cacheHierarchy uniqueName="[DataTable1].[Age]" caption="Age" attribute="1" defaultMemberUniqueName="[DataTable1].[Age].[All]" allUniqueName="[DataTable1].[Age].[All]" dimensionUniqueName="[DataTable1]" displayFolder="" count="2" memberValueDatatype="130" unbalanced="0">
      <fieldsUsage count="2">
        <fieldUsage x="-1"/>
        <fieldUsage x="3"/>
      </fieldsUsage>
    </cacheHierarchy>
    <cacheHierarchy uniqueName="[DataTable1].[Area of Residence]" caption="Area of Residence" attribute="1" defaultMemberUniqueName="[DataTable1].[Area of Residence].[All]" allUniqueName="[DataTable1].[Area of Residence].[All]" dimensionUniqueName="[DataTable1]" displayFolder="" count="2" memberValueDatatype="130" unbalanced="0">
      <fieldsUsage count="2">
        <fieldUsage x="-1"/>
        <fieldUsage x="1"/>
      </fieldsUsage>
    </cacheHierarchy>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hidden="1">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oneField="1" hidden="1">
      <fieldsUsage count="1">
        <fieldUsage x="2"/>
      </fieldsUsage>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72.844993749997" backgroundQuery="1" createdVersion="8" refreshedVersion="8" minRefreshableVersion="3" recordCount="0" supportSubquery="1" supportAdvancedDrill="1" xr:uid="{ADEEF08E-F1C4-4259-84E4-738E55D2A733}">
  <cacheSource type="external" connectionId="1"/>
  <cacheFields count="4">
    <cacheField name="[DataTable].[Gender].[Gender]" caption="Gender" numFmtId="0" hierarchy="2" level="1">
      <sharedItems count="2">
        <s v="Female"/>
        <s v="Male"/>
      </sharedItems>
    </cacheField>
    <cacheField name="[Measures].[Count of Gender 3]" caption="Count of Gender 3" numFmtId="0" hierarchy="128" level="32767"/>
    <cacheField name="[DataTable].[Q1. Post-COVID].[Q1. Post-COVID]" caption="Q1. Post-COVID" numFmtId="0" hierarchy="8" level="1">
      <sharedItems count="7">
        <s v="1 km to 5 km"/>
        <s v="11 km to 15 km"/>
        <s v="16 km to 20 km"/>
        <s v="6 km to 10 km"/>
        <s v="Less than 1 km"/>
        <s v="More than 20 km"/>
        <s v="School/Work at home"/>
      </sharedItems>
    </cacheField>
    <cacheField name="[DataTable].[Area of Residence].[Area of Residence]" caption="Area of Residence" numFmtId="0" hierarchy="4" level="1">
      <sharedItems count="11">
        <s v="Lipa City"/>
        <s v="Batangas City"/>
        <s v="Taysan"/>
        <s v="Rosario"/>
        <s v="Tanauan"/>
        <s v="Ibaan"/>
        <s v="Alitagtag"/>
        <s v="Cuenca"/>
        <s v="San Jose"/>
        <s v="San Juan"/>
        <s v="Santa Teresita"/>
      </sharedItems>
    </cacheField>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2" memberValueDatatype="130" unbalanced="0">
      <fieldsUsage count="2">
        <fieldUsage x="-1"/>
        <fieldUsage x="0"/>
      </fieldsUsage>
    </cacheHierarchy>
    <cacheHierarchy uniqueName="[DataTable].[Age]" caption="Age" attribute="1" defaultMemberUniqueName="[DataTable].[Age].[All]" allUniqueName="[DataTable].[Age].[All]" dimensionUniqueName="[DataTable]" displayFolder="" count="0" memberValueDatatype="130" unbalanced="0"/>
    <cacheHierarchy uniqueName="[DataTable].[Area of Residence]" caption="Area of Residence" attribute="1" defaultMemberUniqueName="[DataTable].[Area of Residence].[All]" allUniqueName="[DataTable].[Area of Residence].[All]" dimensionUniqueName="[DataTable]" displayFolder="" count="2" memberValueDatatype="130" unbalanced="0">
      <fieldsUsage count="2">
        <fieldUsage x="-1"/>
        <fieldUsage x="3"/>
      </fieldsUsage>
    </cacheHierarchy>
    <cacheHierarchy uniqueName="[DataTable].[Occupation (Pre-COVID)]" caption="Occupation (Pre-COVID)" attribute="1" defaultMemberUniqueName="[DataTable].[Occupation (Pre-COVID)].[All]" allUniqueName="[DataTable].[Occupation (Pre-COVID)].[All]" dimensionUniqueName="[DataTable]" displayFolder="" count="0"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0" memberValueDatatype="130" unbalanced="0"/>
    <cacheHierarchy uniqueName="[DataTable].[Q1. Pre-COVID]" caption="Q1. Pre-COVID" attribute="1" defaultMemberUniqueName="[DataTable].[Q1. Pre-COVID].[All]" allUniqueName="[DataTable].[Q1. Pre-COVID].[All]" dimensionUniqueName="[DataTable]" displayFolder="" count="0" memberValueDatatype="130" unbalanced="0"/>
    <cacheHierarchy uniqueName="[DataTable].[Q1. Post-COVID]" caption="Q1. Post-COVID" attribute="1" defaultMemberUniqueName="[DataTable].[Q1. Post-COVID].[All]" allUniqueName="[DataTable].[Q1. Post-COVID].[All]" dimensionUniqueName="[DataTable]" displayFolder="" count="2" memberValueDatatype="130" unbalanced="0">
      <fieldsUsage count="2">
        <fieldUsage x="-1"/>
        <fieldUsage x="2"/>
      </fieldsUsage>
    </cacheHierarchy>
    <cacheHierarchy uniqueName="[DataTable].[Q2. Pre-COVID]" caption="Q2. Pre-COVID" attribute="1" defaultMemberUniqueName="[DataTable].[Q2. Pre-COVID].[All]" allUniqueName="[DataTable].[Q2. Pre-COVID].[All]" dimensionUniqueName="[DataTable]" displayFolder="" count="0" memberValueDatatype="130" unbalanced="0"/>
    <cacheHierarchy uniqueName="[DataTable].[Q2. Post-COVID]" caption="Q2. Post-COVID" attribute="1" defaultMemberUniqueName="[DataTable].[Q2. Post-COVID].[All]" allUniqueName="[DataTable].[Q2. Post-COVID].[All]" dimensionUniqueName="[DataTable]" displayFolder="" count="2" memberValueDatatype="130" unbalanced="0"/>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66.932560995374" backgroundQuery="1" createdVersion="8" refreshedVersion="8" minRefreshableVersion="3" recordCount="0" supportSubquery="1" supportAdvancedDrill="1" xr:uid="{64447024-5014-4BA4-B940-2AE7AEF9230E}">
  <cacheSource type="external" connectionId="1">
    <extLst>
      <ext xmlns:x14="http://schemas.microsoft.com/office/spreadsheetml/2009/9/main" uri="{F057638F-6D5F-4e77-A914-E7F072B9BCA8}">
        <x14:sourceConnection name="ThisWorkbookDataModel"/>
      </ext>
    </extLst>
  </cacheSource>
  <cacheFields count="4">
    <cacheField name="[DataTable].[Gender].[Gender]" caption="Gender" numFmtId="0" hierarchy="2" level="1">
      <sharedItems containsBlank="1" count="3">
        <s v="Female"/>
        <s v="Male"/>
        <m u="1"/>
      </sharedItems>
    </cacheField>
    <cacheField name="[DataTable].[Age].[Age]" caption="Age" numFmtId="0" hierarchy="3" level="1">
      <sharedItems count="6">
        <s v="19 - 24"/>
        <s v="25 - 29"/>
        <s v="30 - 34"/>
        <s v="35 - 39"/>
        <s v="40 - 44"/>
        <s v="45 - 49"/>
      </sharedItems>
    </cacheField>
    <cacheField name="[DataTable].[Area of Residence].[Area of Residence]" caption="Area of Residence" numFmtId="0" hierarchy="4" level="1">
      <sharedItems count="11">
        <s v="Alitagtag"/>
        <s v="Batangas City"/>
        <s v="Lipa City"/>
        <s v="San Jose"/>
        <s v="San Juan"/>
        <s v="Santa Teresita"/>
        <s v="Taysan"/>
        <s v="Cuenca"/>
        <s v="Ibaan"/>
        <s v="Rosario"/>
        <s v="Tanauan"/>
      </sharedItems>
    </cacheField>
    <cacheField name="[Measures].[Count of Area of Residence 2]" caption="Count of Area of Residence 2" numFmtId="0" hierarchy="125" level="32767"/>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2" memberValueDatatype="130" unbalanced="0">
      <fieldsUsage count="2">
        <fieldUsage x="-1"/>
        <fieldUsage x="0"/>
      </fieldsUsage>
    </cacheHierarchy>
    <cacheHierarchy uniqueName="[DataTable].[Age]" caption="Age" attribute="1" defaultMemberUniqueName="[DataTable].[Age].[All]" allUniqueName="[DataTable].[Age].[All]" dimensionUniqueName="[DataTable]" displayFolder="" count="2" memberValueDatatype="130" unbalanced="0">
      <fieldsUsage count="2">
        <fieldUsage x="-1"/>
        <fieldUsage x="1"/>
      </fieldsUsage>
    </cacheHierarchy>
    <cacheHierarchy uniqueName="[DataTable].[Area of Residence]" caption="Area of Residence" attribute="1" defaultMemberUniqueName="[DataTable].[Area of Residence].[All]" allUniqueName="[DataTable].[Area of Residence].[All]" dimensionUniqueName="[DataTable]" displayFolder="" count="2" memberValueDatatype="130" unbalanced="0">
      <fieldsUsage count="2">
        <fieldUsage x="-1"/>
        <fieldUsage x="2"/>
      </fieldsUsage>
    </cacheHierarchy>
    <cacheHierarchy uniqueName="[DataTable].[Occupation (Pre-COVID)]" caption="Occupation (Pre-COVID)" attribute="1" defaultMemberUniqueName="[DataTable].[Occupation (Pre-COVID)].[All]" allUniqueName="[DataTable].[Occupation (Pre-COVID)].[All]" dimensionUniqueName="[DataTable]" displayFolder="" count="0"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0" memberValueDatatype="130" unbalanced="0"/>
    <cacheHierarchy uniqueName="[DataTable].[Q1. Pre-COVID]" caption="Q1. Pre-COVID" attribute="1" defaultMemberUniqueName="[DataTable].[Q1. Pre-COVID].[All]" allUniqueName="[DataTable].[Q1. Pre-COVID].[All]" dimensionUniqueName="[DataTable]" displayFolder="" count="0" memberValueDatatype="130" unbalanced="0"/>
    <cacheHierarchy uniqueName="[DataTable].[Q1. Post-COVID]" caption="Q1. Post-COVID" attribute="1" defaultMemberUniqueName="[DataTable].[Q1. Post-COVID].[All]" allUniqueName="[DataTable].[Q1. Post-COVID].[All]" dimensionUniqueName="[DataTable]" displayFolder="" count="0" memberValueDatatype="130" unbalanced="0"/>
    <cacheHierarchy uniqueName="[DataTable].[Q2. Pre-COVID]" caption="Q2. Pre-COVID" attribute="1" defaultMemberUniqueName="[DataTable].[Q2. Pre-COVID].[All]" allUniqueName="[DataTable].[Q2. Pre-COVID].[All]" dimensionUniqueName="[DataTable]" displayFolder="" count="0" memberValueDatatype="130" unbalanced="0"/>
    <cacheHierarchy uniqueName="[DataTable].[Q2. Post-COVID]" caption="Q2. Post-COVID" attribute="1" defaultMemberUniqueName="[DataTable].[Q2. Post-COVID].[All]" allUniqueName="[DataTable].[Q2. Post-COVID].[All]" dimensionUniqueName="[DataTable]" displayFolder="" count="0" memberValueDatatype="130" unbalanced="0"/>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oneField="1" hidden="1">
      <fieldsUsage count="1">
        <fieldUsage x="3"/>
      </fieldsUsage>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hidden="1">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pivotCacheId="11193567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67.661718634263" backgroundQuery="1" createdVersion="8" refreshedVersion="8" minRefreshableVersion="3" recordCount="0" supportSubquery="1" supportAdvancedDrill="1" xr:uid="{3722E79C-19DB-427E-A230-3A29FBEBBED5}">
  <cacheSource type="external" connectionId="1">
    <extLst>
      <ext xmlns:x14="http://schemas.microsoft.com/office/spreadsheetml/2009/9/main" uri="{F057638F-6D5F-4e77-A914-E7F072B9BCA8}">
        <x14:sourceConnection name="ThisWorkbookDataModel"/>
      </ext>
    </extLst>
  </cacheSource>
  <cacheFields count="3">
    <cacheField name="[DataTable].[Gender].[Gender]" caption="Gender" numFmtId="0" hierarchy="2" level="1">
      <sharedItems count="2">
        <s v="Female"/>
        <s v="Male"/>
      </sharedItems>
    </cacheField>
    <cacheField name="[Measures].[Count of Gender 3]" caption="Count of Gender 3" numFmtId="0" hierarchy="128" level="32767"/>
    <cacheField name="[DataTable].[Occupation (Pre-COVID)].[Occupation (Pre-COVID)]" caption="Occupation (Pre-COVID)" numFmtId="0" hierarchy="5" level="1">
      <sharedItems count="5">
        <s v="Full-time"/>
        <s v="Part-time"/>
        <s v="Student"/>
        <s v="Unemployed, looking for work"/>
        <s v="Unemployed, not looking for work"/>
      </sharedItems>
    </cacheField>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2" memberValueDatatype="130" unbalanced="0">
      <fieldsUsage count="2">
        <fieldUsage x="-1"/>
        <fieldUsage x="0"/>
      </fieldsUsage>
    </cacheHierarchy>
    <cacheHierarchy uniqueName="[DataTable].[Age]" caption="Age" attribute="1" defaultMemberUniqueName="[DataTable].[Age].[All]" allUniqueName="[DataTable].[Age].[All]" dimensionUniqueName="[DataTable]" displayFolder="" count="0" memberValueDatatype="130" unbalanced="0"/>
    <cacheHierarchy uniqueName="[DataTable].[Area of Residence]" caption="Area of Residence" attribute="1" defaultMemberUniqueName="[DataTable].[Area of Residence].[All]" allUniqueName="[DataTable].[Area of Residence].[All]" dimensionUniqueName="[DataTable]" displayFolder="" count="0" memberValueDatatype="130" unbalanced="0"/>
    <cacheHierarchy uniqueName="[DataTable].[Occupation (Pre-COVID)]" caption="Occupation (Pre-COVID)" attribute="1" defaultMemberUniqueName="[DataTable].[Occupation (Pre-COVID)].[All]" allUniqueName="[DataTable].[Occupation (Pre-COVID)].[All]" dimensionUniqueName="[DataTable]" displayFolder="" count="2" memberValueDatatype="130" unbalanced="0">
      <fieldsUsage count="2">
        <fieldUsage x="-1"/>
        <fieldUsage x="2"/>
      </fieldsUsage>
    </cacheHierarchy>
    <cacheHierarchy uniqueName="[DataTable].[Occupation (Post-COVID)]" caption="Occupation (Post-COVID)" attribute="1" defaultMemberUniqueName="[DataTable].[Occupation (Post-COVID)].[All]" allUniqueName="[DataTable].[Occupation (Post-COVID)].[All]" dimensionUniqueName="[DataTable]" displayFolder="" count="0" memberValueDatatype="130" unbalanced="0"/>
    <cacheHierarchy uniqueName="[DataTable].[Q1. Pre-COVID]" caption="Q1. Pre-COVID" attribute="1" defaultMemberUniqueName="[DataTable].[Q1. Pre-COVID].[All]" allUniqueName="[DataTable].[Q1. Pre-COVID].[All]" dimensionUniqueName="[DataTable]" displayFolder="" count="0" memberValueDatatype="130" unbalanced="0"/>
    <cacheHierarchy uniqueName="[DataTable].[Q1. Post-COVID]" caption="Q1. Post-COVID" attribute="1" defaultMemberUniqueName="[DataTable].[Q1. Post-COVID].[All]" allUniqueName="[DataTable].[Q1. Post-COVID].[All]" dimensionUniqueName="[DataTable]" displayFolder="" count="0" memberValueDatatype="130" unbalanced="0"/>
    <cacheHierarchy uniqueName="[DataTable].[Q2. Pre-COVID]" caption="Q2. Pre-COVID" attribute="1" defaultMemberUniqueName="[DataTable].[Q2. Pre-COVID].[All]" allUniqueName="[DataTable].[Q2. Pre-COVID].[All]" dimensionUniqueName="[DataTable]" displayFolder="" count="0" memberValueDatatype="130" unbalanced="0"/>
    <cacheHierarchy uniqueName="[DataTable].[Q2. Post-COVID]" caption="Q2. Post-COVID" attribute="1" defaultMemberUniqueName="[DataTable].[Q2. Post-COVID].[All]" allUniqueName="[DataTable].[Q2. Post-COVID].[All]" dimensionUniqueName="[DataTable]" displayFolder="" count="0" memberValueDatatype="130" unbalanced="0"/>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pivotCacheId="17080283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67.699472453707" backgroundQuery="1" createdVersion="8" refreshedVersion="8" minRefreshableVersion="3" recordCount="0" supportSubquery="1" supportAdvancedDrill="1" xr:uid="{6608FD86-CF6D-4B7B-B050-C4E4354B0BFA}">
  <cacheSource type="external" connectionId="1">
    <extLst>
      <ext xmlns:x14="http://schemas.microsoft.com/office/spreadsheetml/2009/9/main" uri="{F057638F-6D5F-4e77-A914-E7F072B9BCA8}">
        <x14:sourceConnection name="ThisWorkbookDataModel"/>
      </ext>
    </extLst>
  </cacheSource>
  <cacheFields count="3">
    <cacheField name="[DataTable].[Gender].[Gender]" caption="Gender" numFmtId="0" hierarchy="2" level="1">
      <sharedItems count="2">
        <s v="Female"/>
        <s v="Male"/>
      </sharedItems>
    </cacheField>
    <cacheField name="[Measures].[Count of Gender 3]" caption="Count of Gender 3" numFmtId="0" hierarchy="128" level="32767"/>
    <cacheField name="[DataTable].[Occupation (Post-COVID)].[Occupation (Post-COVID)]" caption="Occupation (Post-COVID)" numFmtId="0" hierarchy="6" level="1">
      <sharedItems count="5">
        <s v="Full-time"/>
        <s v="Part-time"/>
        <s v="Student"/>
        <s v="Unemployed, looking for work"/>
        <s v="Unemployed, not looking for work"/>
      </sharedItems>
    </cacheField>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2" memberValueDatatype="130" unbalanced="0">
      <fieldsUsage count="2">
        <fieldUsage x="-1"/>
        <fieldUsage x="0"/>
      </fieldsUsage>
    </cacheHierarchy>
    <cacheHierarchy uniqueName="[DataTable].[Age]" caption="Age" attribute="1" defaultMemberUniqueName="[DataTable].[Age].[All]" allUniqueName="[DataTable].[Age].[All]" dimensionUniqueName="[DataTable]" displayFolder="" count="0" memberValueDatatype="130" unbalanced="0"/>
    <cacheHierarchy uniqueName="[DataTable].[Area of Residence]" caption="Area of Residence" attribute="1" defaultMemberUniqueName="[DataTable].[Area of Residence].[All]" allUniqueName="[DataTable].[Area of Residence].[All]" dimensionUniqueName="[DataTable]" displayFolder="" count="0" memberValueDatatype="130" unbalanced="0"/>
    <cacheHierarchy uniqueName="[DataTable].[Occupation (Pre-COVID)]" caption="Occupation (Pre-COVID)" attribute="1" defaultMemberUniqueName="[DataTable].[Occupation (Pre-COVID)].[All]" allUniqueName="[DataTable].[Occupation (Pre-COVID)].[All]" dimensionUniqueName="[DataTable]" displayFolder="" count="0"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2" memberValueDatatype="130" unbalanced="0">
      <fieldsUsage count="2">
        <fieldUsage x="-1"/>
        <fieldUsage x="2"/>
      </fieldsUsage>
    </cacheHierarchy>
    <cacheHierarchy uniqueName="[DataTable].[Q1. Pre-COVID]" caption="Q1. Pre-COVID" attribute="1" defaultMemberUniqueName="[DataTable].[Q1. Pre-COVID].[All]" allUniqueName="[DataTable].[Q1. Pre-COVID].[All]" dimensionUniqueName="[DataTable]" displayFolder="" count="0" memberValueDatatype="130" unbalanced="0"/>
    <cacheHierarchy uniqueName="[DataTable].[Q1. Post-COVID]" caption="Q1. Post-COVID" attribute="1" defaultMemberUniqueName="[DataTable].[Q1. Post-COVID].[All]" allUniqueName="[DataTable].[Q1. Post-COVID].[All]" dimensionUniqueName="[DataTable]" displayFolder="" count="0" memberValueDatatype="130" unbalanced="0"/>
    <cacheHierarchy uniqueName="[DataTable].[Q2. Pre-COVID]" caption="Q2. Pre-COVID" attribute="1" defaultMemberUniqueName="[DataTable].[Q2. Pre-COVID].[All]" allUniqueName="[DataTable].[Q2. Pre-COVID].[All]" dimensionUniqueName="[DataTable]" displayFolder="" count="0" memberValueDatatype="130" unbalanced="0"/>
    <cacheHierarchy uniqueName="[DataTable].[Q2. Post-COVID]" caption="Q2. Post-COVID" attribute="1" defaultMemberUniqueName="[DataTable].[Q2. Post-COVID].[All]" allUniqueName="[DataTable].[Q2. Post-COVID].[All]" dimensionUniqueName="[DataTable]" displayFolder="" count="0" memberValueDatatype="130" unbalanced="0"/>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pivotCacheId="14372413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67.873700810182" backgroundQuery="1" createdVersion="8" refreshedVersion="8" minRefreshableVersion="3" recordCount="0" supportSubquery="1" supportAdvancedDrill="1" xr:uid="{3BDD59B9-41BD-439F-A455-479DE632CD83}">
  <cacheSource type="external" connectionId="1">
    <extLst>
      <ext xmlns:x14="http://schemas.microsoft.com/office/spreadsheetml/2009/9/main" uri="{F057638F-6D5F-4e77-A914-E7F072B9BCA8}">
        <x14:sourceConnection name="ThisWorkbookDataModel"/>
      </ext>
    </extLst>
  </cacheSource>
  <cacheFields count="4">
    <cacheField name="[DataTable].[Gender].[Gender]" caption="Gender" numFmtId="0" hierarchy="2" level="1">
      <sharedItems containsBlank="1" count="3">
        <s v="Female"/>
        <s v="Male"/>
        <m u="1"/>
      </sharedItems>
    </cacheField>
    <cacheField name="[DataTable].[Q1. Post-COVID].[Q1. Post-COVID]" caption="Q1. Post-COVID" numFmtId="0" hierarchy="8" level="1">
      <sharedItems count="7">
        <s v="1 km to 5 km"/>
        <s v="11 km to 15 km"/>
        <s v="16 km to 20 km"/>
        <s v="6 km to 10 km"/>
        <s v="Less than 1 km"/>
        <s v="More than 20 km"/>
        <s v="School/Work at home"/>
      </sharedItems>
    </cacheField>
    <cacheField name="[DataTable].[Area of Residence].[Area of Residence]" caption="Area of Residence" numFmtId="0" hierarchy="4" level="1">
      <sharedItems count="11">
        <s v="Lipa City"/>
        <s v="Batangas City"/>
        <s v="Taysan"/>
        <s v="Rosario"/>
        <s v="Tanauan"/>
        <s v="Ibaan"/>
        <s v="Alitagtag"/>
        <s v="Cuenca"/>
        <s v="San Jose"/>
        <s v="San Juan"/>
        <s v="Santa Teresita"/>
      </sharedItems>
    </cacheField>
    <cacheField name="[Measures].[Count of Gender 3]" caption="Count of Gender 3" numFmtId="0" hierarchy="128" level="32767"/>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2" memberValueDatatype="130" unbalanced="0">
      <fieldsUsage count="2">
        <fieldUsage x="-1"/>
        <fieldUsage x="0"/>
      </fieldsUsage>
    </cacheHierarchy>
    <cacheHierarchy uniqueName="[DataTable].[Age]" caption="Age" attribute="1" defaultMemberUniqueName="[DataTable].[Age].[All]" allUniqueName="[DataTable].[Age].[All]" dimensionUniqueName="[DataTable]" displayFolder="" count="0" memberValueDatatype="130" unbalanced="0"/>
    <cacheHierarchy uniqueName="[DataTable].[Area of Residence]" caption="Area of Residence" attribute="1" defaultMemberUniqueName="[DataTable].[Area of Residence].[All]" allUniqueName="[DataTable].[Area of Residence].[All]" dimensionUniqueName="[DataTable]" displayFolder="" count="2" memberValueDatatype="130" unbalanced="0">
      <fieldsUsage count="2">
        <fieldUsage x="-1"/>
        <fieldUsage x="2"/>
      </fieldsUsage>
    </cacheHierarchy>
    <cacheHierarchy uniqueName="[DataTable].[Occupation (Pre-COVID)]" caption="Occupation (Pre-COVID)" attribute="1" defaultMemberUniqueName="[DataTable].[Occupation (Pre-COVID)].[All]" allUniqueName="[DataTable].[Occupation (Pre-COVID)].[All]" dimensionUniqueName="[DataTable]" displayFolder="" count="0"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0" memberValueDatatype="130" unbalanced="0"/>
    <cacheHierarchy uniqueName="[DataTable].[Q1. Pre-COVID]" caption="Q1. Pre-COVID" attribute="1" defaultMemberUniqueName="[DataTable].[Q1. Pre-COVID].[All]" allUniqueName="[DataTable].[Q1. Pre-COVID].[All]" dimensionUniqueName="[DataTable]" displayFolder="" count="0" memberValueDatatype="130" unbalanced="0"/>
    <cacheHierarchy uniqueName="[DataTable].[Q1. Post-COVID]" caption="Q1. Post-COVID" attribute="1" defaultMemberUniqueName="[DataTable].[Q1. Post-COVID].[All]" allUniqueName="[DataTable].[Q1. Post-COVID].[All]" dimensionUniqueName="[DataTable]" displayFolder="" count="2" memberValueDatatype="130" unbalanced="0">
      <fieldsUsage count="2">
        <fieldUsage x="-1"/>
        <fieldUsage x="1"/>
      </fieldsUsage>
    </cacheHierarchy>
    <cacheHierarchy uniqueName="[DataTable].[Q2. Pre-COVID]" caption="Q2. Pre-COVID" attribute="1" defaultMemberUniqueName="[DataTable].[Q2. Pre-COVID].[All]" allUniqueName="[DataTable].[Q2. Pre-COVID].[All]" dimensionUniqueName="[DataTable]" displayFolder="" count="0" memberValueDatatype="130" unbalanced="0"/>
    <cacheHierarchy uniqueName="[DataTable].[Q2. Post-COVID]" caption="Q2. Post-COVID" attribute="1" defaultMemberUniqueName="[DataTable].[Q2. Post-COVID].[All]" allUniqueName="[DataTable].[Q2. Post-COVID].[All]" dimensionUniqueName="[DataTable]" displayFolder="" count="0" memberValueDatatype="130" unbalanced="0"/>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oneField="1" hidden="1">
      <fieldsUsage count="1">
        <fieldUsage x="3"/>
      </fieldsUsage>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pivotCacheId="131139325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on" refreshedDate="44768.008366319445" backgroundQuery="1" createdVersion="8" refreshedVersion="8" minRefreshableVersion="3" recordCount="0" supportSubquery="1" supportAdvancedDrill="1" xr:uid="{315DE821-9D26-4F65-9F6C-8432411B5AC8}">
  <cacheSource type="external" connectionId="1">
    <extLst>
      <ext xmlns:x14="http://schemas.microsoft.com/office/spreadsheetml/2009/9/main" uri="{F057638F-6D5F-4e77-A914-E7F072B9BCA8}">
        <x14:sourceConnection name="ThisWorkbookDataModel"/>
      </ext>
    </extLst>
  </cacheSource>
  <cacheFields count="4">
    <cacheField name="[DataTable].[Q1. Pre-COVID].[Q1. Pre-COVID]" caption="Q1. Pre-COVID" numFmtId="0" hierarchy="7" level="1">
      <sharedItems count="7">
        <s v="1 km to 5 km"/>
        <s v="11 km to 15 km"/>
        <s v="16 km to 20 km"/>
        <s v="6 km to 10 km"/>
        <s v="Less than 1 km"/>
        <s v="More than 20 km"/>
        <s v="School/Work at home"/>
      </sharedItems>
    </cacheField>
    <cacheField name="[DataTable].[Area of Residence].[Area of Residence]" caption="Area of Residence" numFmtId="0" hierarchy="4" level="1">
      <sharedItems count="11">
        <s v="Batangas City"/>
        <s v="Lipa City"/>
        <s v="Rosario"/>
        <s v="Alitagtag"/>
        <s v="Taysan"/>
        <s v="Tanauan"/>
        <s v="Ibaan"/>
        <s v="San Juan"/>
        <s v="Cuenca"/>
        <s v="San Jose"/>
        <s v="Santa Teresita"/>
      </sharedItems>
    </cacheField>
    <cacheField name="[Measures].[Count of Gender 3]" caption="Count of Gender 3" numFmtId="0" hierarchy="128" level="32767"/>
    <cacheField name="[DataTable].[Gender].[Gender]" caption="Gender" numFmtId="0" hierarchy="2" level="1">
      <sharedItems count="2">
        <s v="Female"/>
        <s v="Male"/>
      </sharedItems>
    </cacheField>
  </cacheFields>
  <cacheHierarchies count="149">
    <cacheHierarchy uniqueName="[DataTable].[#]" caption="#" attribute="1" defaultMemberUniqueName="[DataTable].[#].[All]" allUniqueName="[DataTable].[#].[All]" dimensionUniqueName="[DataTable]" displayFolder="" count="0" memberValueDatatype="20" unbalanced="0"/>
    <cacheHierarchy uniqueName="[DataTable].[Name (Optional)]" caption="Name (Optional)" attribute="1" defaultMemberUniqueName="[DataTable].[Name (Optional)].[All]" allUniqueName="[DataTable].[Name (Optional)].[All]" dimensionUniqueName="[DataTable]" displayFolder="" count="0" memberValueDatatype="130" unbalanced="0"/>
    <cacheHierarchy uniqueName="[DataTable].[Gender]" caption="Gender" attribute="1" defaultMemberUniqueName="[DataTable].[Gender].[All]" allUniqueName="[DataTable].[Gender].[All]" dimensionUniqueName="[DataTable]" displayFolder="" count="2" memberValueDatatype="130" unbalanced="0">
      <fieldsUsage count="2">
        <fieldUsage x="-1"/>
        <fieldUsage x="3"/>
      </fieldsUsage>
    </cacheHierarchy>
    <cacheHierarchy uniqueName="[DataTable].[Age]" caption="Age" attribute="1" defaultMemberUniqueName="[DataTable].[Age].[All]" allUniqueName="[DataTable].[Age].[All]" dimensionUniqueName="[DataTable]" displayFolder="" count="2" memberValueDatatype="130" unbalanced="0"/>
    <cacheHierarchy uniqueName="[DataTable].[Area of Residence]" caption="Area of Residence" attribute="1" defaultMemberUniqueName="[DataTable].[Area of Residence].[All]" allUniqueName="[DataTable].[Area of Residence].[All]" dimensionUniqueName="[DataTable]" displayFolder="" count="2" memberValueDatatype="130" unbalanced="0">
      <fieldsUsage count="2">
        <fieldUsage x="-1"/>
        <fieldUsage x="1"/>
      </fieldsUsage>
    </cacheHierarchy>
    <cacheHierarchy uniqueName="[DataTable].[Occupation (Pre-COVID)]" caption="Occupation (Pre-COVID)" attribute="1" defaultMemberUniqueName="[DataTable].[Occupation (Pre-COVID)].[All]" allUniqueName="[DataTable].[Occupation (Pre-COVID)].[All]" dimensionUniqueName="[DataTable]" displayFolder="" count="2" memberValueDatatype="130" unbalanced="0"/>
    <cacheHierarchy uniqueName="[DataTable].[Occupation (Post-COVID)]" caption="Occupation (Post-COVID)" attribute="1" defaultMemberUniqueName="[DataTable].[Occupation (Post-COVID)].[All]" allUniqueName="[DataTable].[Occupation (Post-COVID)].[All]" dimensionUniqueName="[DataTable]" displayFolder="" count="2" memberValueDatatype="130" unbalanced="0"/>
    <cacheHierarchy uniqueName="[DataTable].[Q1. Pre-COVID]" caption="Q1. Pre-COVID" attribute="1" defaultMemberUniqueName="[DataTable].[Q1. Pre-COVID].[All]" allUniqueName="[DataTable].[Q1. Pre-COVID].[All]" dimensionUniqueName="[DataTable]" displayFolder="" count="2" memberValueDatatype="130" unbalanced="0">
      <fieldsUsage count="2">
        <fieldUsage x="-1"/>
        <fieldUsage x="0"/>
      </fieldsUsage>
    </cacheHierarchy>
    <cacheHierarchy uniqueName="[DataTable].[Q1. Post-COVID]" caption="Q1. Post-COVID" attribute="1" defaultMemberUniqueName="[DataTable].[Q1. Post-COVID].[All]" allUniqueName="[DataTable].[Q1. Post-COVID].[All]" dimensionUniqueName="[DataTable]" displayFolder="" count="0" memberValueDatatype="130" unbalanced="0"/>
    <cacheHierarchy uniqueName="[DataTable].[Q2. Pre-COVID]" caption="Q2. Pre-COVID" attribute="1" defaultMemberUniqueName="[DataTable].[Q2. Pre-COVID].[All]" allUniqueName="[DataTable].[Q2. Pre-COVID].[All]" dimensionUniqueName="[DataTable]" displayFolder="" count="0" memberValueDatatype="130" unbalanced="0"/>
    <cacheHierarchy uniqueName="[DataTable].[Q2. Post-COVID]" caption="Q2. Post-COVID" attribute="1" defaultMemberUniqueName="[DataTable].[Q2. Post-COVID].[All]" allUniqueName="[DataTable].[Q2. Post-COVID].[All]" dimensionUniqueName="[DataTable]" displayFolder="" count="0" memberValueDatatype="130" unbalanced="0"/>
    <cacheHierarchy uniqueName="[DataTable].[Q3. Pre-COVID]" caption="Q3. Pre-COVID" attribute="1" defaultMemberUniqueName="[DataTable].[Q3. Pre-COVID].[All]" allUniqueName="[DataTable].[Q3. Pre-COVID].[All]" dimensionUniqueName="[DataTable]" displayFolder="" count="0" memberValueDatatype="130" unbalanced="0"/>
    <cacheHierarchy uniqueName="[DataTable].[Q3. Post-COVID]" caption="Q3. Post-COVID" attribute="1" defaultMemberUniqueName="[DataTable].[Q3. Post-COVID].[All]" allUniqueName="[DataTable].[Q3. Post-COVID].[All]" dimensionUniqueName="[DataTable]" displayFolder="" count="0" memberValueDatatype="130" unbalanced="0"/>
    <cacheHierarchy uniqueName="[DataTable].[Q4. Pre-COVID]" caption="Q4. Pre-COVID" attribute="1" defaultMemberUniqueName="[DataTable].[Q4. Pre-COVID].[All]" allUniqueName="[DataTable].[Q4. Pre-COVID].[All]" dimensionUniqueName="[DataTable]" displayFolder="" count="0" memberValueDatatype="130" unbalanced="0"/>
    <cacheHierarchy uniqueName="[DataTable].[Q4. Post-COVID]" caption="Q4. Post-COVID" attribute="1" defaultMemberUniqueName="[DataTable].[Q4. Post-COVID].[All]" allUniqueName="[DataTable].[Q4. Post-COVID].[All]" dimensionUniqueName="[DataTable]" displayFolder="" count="0" memberValueDatatype="130" unbalanced="0"/>
    <cacheHierarchy uniqueName="[DataTable].[Q5. Pre-COVID]" caption="Q5. Pre-COVID" attribute="1" defaultMemberUniqueName="[DataTable].[Q5. Pre-COVID].[All]" allUniqueName="[DataTable].[Q5. Pre-COVID].[All]" dimensionUniqueName="[DataTable]" displayFolder="" count="0" memberValueDatatype="130" unbalanced="0"/>
    <cacheHierarchy uniqueName="[DataTable].[Q5. Post-COVID]" caption="Q5. Post-COVID" attribute="1" defaultMemberUniqueName="[DataTable].[Q5. Post-COVID].[All]" allUniqueName="[DataTable].[Q5. Post-COVID].[All]" dimensionUniqueName="[DataTable]" displayFolder="" count="0" memberValueDatatype="130" unbalanced="0"/>
    <cacheHierarchy uniqueName="[DataTable  Gender   Q5  Post-COVID].[Gender]" caption="Gender" attribute="1" defaultMemberUniqueName="[DataTable  Gender   Q5  Post-COVID].[Gender].[All]" allUniqueName="[DataTable  Gender   Q5  Post-COVID].[Gender].[All]" dimensionUniqueName="[DataTable  Gender   Q5  Post-COVID]" displayFolder="" count="0" memberValueDatatype="130" unbalanced="0"/>
    <cacheHierarchy uniqueName="[DataTable  Gender   Q5  Post-COVID].[Age]" caption="Age" attribute="1" defaultMemberUniqueName="[DataTable  Gender   Q5  Post-COVID].[Age].[All]" allUniqueName="[DataTable  Gender   Q5  Post-COVID].[Age].[All]" dimensionUniqueName="[DataTable  Gender   Q5  Post-COVID]" displayFolder="" count="0" memberValueDatatype="130" unbalanced="0"/>
    <cacheHierarchy uniqueName="[DataTable  Gender   Q5  Post-COVID].[Area of Residence]" caption="Area of Residence" attribute="1" defaultMemberUniqueName="[DataTable  Gender   Q5  Post-COVID].[Area of Residence].[All]" allUniqueName="[DataTable  Gender   Q5  Post-COVID].[Area of Residence].[All]" dimensionUniqueName="[DataTable  Gender   Q5  Post-COVID]" displayFolder="" count="0" memberValueDatatype="130" unbalanced="0"/>
    <cacheHierarchy uniqueName="[DataTable  Gender   Q5  Post-COVID].[Occupation (Pre-COVID)]" caption="Occupation (Pre-COVID)" attribute="1" defaultMemberUniqueName="[DataTable  Gender   Q5  Post-COVID].[Occupation (Pre-COVID)].[All]" allUniqueName="[DataTable  Gender   Q5  Post-COVID].[Occupation (Pre-COVID)].[All]" dimensionUniqueName="[DataTable  Gender   Q5  Post-COVID]" displayFolder="" count="0" memberValueDatatype="130" unbalanced="0"/>
    <cacheHierarchy uniqueName="[DataTable  Gender   Q5  Post-COVID].[Occupation (Post-COVID)]" caption="Occupation (Post-COVID)" attribute="1" defaultMemberUniqueName="[DataTable  Gender   Q5  Post-COVID].[Occupation (Post-COVID)].[All]" allUniqueName="[DataTable  Gender   Q5  Post-COVID].[Occupation (Post-COVID)].[All]" dimensionUniqueName="[DataTable  Gender   Q5  Post-COVID]" displayFolder="" count="0" memberValueDatatype="130" unbalanced="0"/>
    <cacheHierarchy uniqueName="[DataTable  Gender   Q5  Post-COVID].[Q1. Pre-COVID]" caption="Q1. Pre-COVID" attribute="1" defaultMemberUniqueName="[DataTable  Gender   Q5  Post-COVID].[Q1. Pre-COVID].[All]" allUniqueName="[DataTable  Gender   Q5  Post-COVID].[Q1. Pre-COVID].[All]" dimensionUniqueName="[DataTable  Gender   Q5  Post-COVID]" displayFolder="" count="0" memberValueDatatype="130" unbalanced="0"/>
    <cacheHierarchy uniqueName="[DataTable  Gender   Q5  Post-COVID].[Q1. Post-COVID]" caption="Q1. Post-COVID" attribute="1" defaultMemberUniqueName="[DataTable  Gender   Q5  Post-COVID].[Q1. Post-COVID].[All]" allUniqueName="[DataTable  Gender   Q5  Post-COVID].[Q1. Post-COVID].[All]" dimensionUniqueName="[DataTable  Gender   Q5  Post-COVID]" displayFolder="" count="0" memberValueDatatype="130" unbalanced="0"/>
    <cacheHierarchy uniqueName="[DataTable  Gender   Q5  Post-COVID].[Q2. Pre-COVID]" caption="Q2. Pre-COVID" attribute="1" defaultMemberUniqueName="[DataTable  Gender   Q5  Post-COVID].[Q2. Pre-COVID].[All]" allUniqueName="[DataTable  Gender   Q5  Post-COVID].[Q2. Pre-COVID].[All]" dimensionUniqueName="[DataTable  Gender   Q5  Post-COVID]" displayFolder="" count="0" memberValueDatatype="130" unbalanced="0"/>
    <cacheHierarchy uniqueName="[DataTable  Gender   Q5  Post-COVID].[Q2. Post-COVID]" caption="Q2. Post-COVID" attribute="1" defaultMemberUniqueName="[DataTable  Gender   Q5  Post-COVID].[Q2. Post-COVID].[All]" allUniqueName="[DataTable  Gender   Q5  Post-COVID].[Q2. Post-COVID].[All]" dimensionUniqueName="[DataTable  Gender   Q5  Post-COVID]" displayFolder="" count="0" memberValueDatatype="130" unbalanced="0"/>
    <cacheHierarchy uniqueName="[DataTable  Gender   Q5  Post-COVID].[Q3. Pre-COVID]" caption="Q3. Pre-COVID" attribute="1" defaultMemberUniqueName="[DataTable  Gender   Q5  Post-COVID].[Q3. Pre-COVID].[All]" allUniqueName="[DataTable  Gender   Q5  Post-COVID].[Q3. Pre-COVID].[All]" dimensionUniqueName="[DataTable  Gender   Q5  Post-COVID]" displayFolder="" count="0" memberValueDatatype="130" unbalanced="0"/>
    <cacheHierarchy uniqueName="[DataTable  Gender   Q5  Post-COVID].[Q3. Post-COVID]" caption="Q3. Post-COVID" attribute="1" defaultMemberUniqueName="[DataTable  Gender   Q5  Post-COVID].[Q3. Post-COVID].[All]" allUniqueName="[DataTable  Gender   Q5  Post-COVID].[Q3. Post-COVID].[All]" dimensionUniqueName="[DataTable  Gender   Q5  Post-COVID]" displayFolder="" count="0" memberValueDatatype="130" unbalanced="0"/>
    <cacheHierarchy uniqueName="[DataTable  Gender   Q5  Post-COVID].[Q4. Pre-COVID]" caption="Q4. Pre-COVID" attribute="1" defaultMemberUniqueName="[DataTable  Gender   Q5  Post-COVID].[Q4. Pre-COVID].[All]" allUniqueName="[DataTable  Gender   Q5  Post-COVID].[Q4. Pre-COVID].[All]" dimensionUniqueName="[DataTable  Gender   Q5  Post-COVID]" displayFolder="" count="0" memberValueDatatype="130" unbalanced="0"/>
    <cacheHierarchy uniqueName="[DataTable  Gender   Q5  Post-COVID].[Q4. Post-COVID]" caption="Q4. Post-COVID" attribute="1" defaultMemberUniqueName="[DataTable  Gender   Q5  Post-COVID].[Q4. Post-COVID].[All]" allUniqueName="[DataTable  Gender   Q5  Post-COVID].[Q4. Post-COVID].[All]" dimensionUniqueName="[DataTable  Gender   Q5  Post-COVID]" displayFolder="" count="0" memberValueDatatype="130" unbalanced="0"/>
    <cacheHierarchy uniqueName="[DataTable  Gender   Q5  Post-COVID].[Q5. Pre-COVID]" caption="Q5. Pre-COVID" attribute="1" defaultMemberUniqueName="[DataTable  Gender   Q5  Post-COVID].[Q5. Pre-COVID].[All]" allUniqueName="[DataTable  Gender   Q5  Post-COVID].[Q5. Pre-COVID].[All]" dimensionUniqueName="[DataTable  Gender   Q5  Post-COVID]" displayFolder="" count="0" memberValueDatatype="130" unbalanced="0"/>
    <cacheHierarchy uniqueName="[DataTable  Gender   Q5  Post-COVID].[Q5. Post-COVID]" caption="Q5. Post-COVID" attribute="1" defaultMemberUniqueName="[DataTable  Gender   Q5  Post-COVID].[Q5. Post-COVID].[All]" allUniqueName="[DataTable  Gender   Q5  Post-COVID].[Q5. Post-COVID].[All]" dimensionUniqueName="[DataTable  Gender   Q5  Post-COVID]" displayFolder="" count="0" memberValueDatatype="130" unbalanced="0"/>
    <cacheHierarchy uniqueName="[DataTable1].[#]" caption="#" attribute="1" defaultMemberUniqueName="[DataTable1].[#].[All]" allUniqueName="[DataTable1].[#].[All]" dimensionUniqueName="[DataTable1]" displayFolder="" count="0" memberValueDatatype="20" unbalanced="0"/>
    <cacheHierarchy uniqueName="[DataTable1].[Name (Optional)]" caption="Name (Optional)" attribute="1" defaultMemberUniqueName="[DataTable1].[Name (Optional)].[All]" allUniqueName="[DataTable1].[Name (Optional)].[All]" dimensionUniqueName="[DataTable1]" displayFolder="" count="0" memberValueDatatype="130" unbalanced="0"/>
    <cacheHierarchy uniqueName="[DataTable1].[Gender]" caption="Gender" attribute="1" defaultMemberUniqueName="[DataTable1].[Gender].[All]" allUniqueName="[DataTable1].[Gender].[All]" dimensionUniqueName="[DataTable1]" displayFolder="" count="0" memberValueDatatype="130" unbalanced="0"/>
    <cacheHierarchy uniqueName="[DataTable1].[Age]" caption="Age" attribute="1" defaultMemberUniqueName="[DataTable1].[Age].[All]" allUniqueName="[DataTable1].[Age].[All]" dimensionUniqueName="[DataTable1]" displayFolder="" count="0" memberValueDatatype="130" unbalanced="0"/>
    <cacheHierarchy uniqueName="[DataTable1].[Area of Residence]" caption="Area of Residence" attribute="1" defaultMemberUniqueName="[DataTable1].[Area of Residence].[All]" allUniqueName="[DataTable1].[Area of Residence].[All]" dimensionUniqueName="[DataTable1]" displayFolder="" count="0" memberValueDatatype="130" unbalanced="0"/>
    <cacheHierarchy uniqueName="[DataTable1].[Occupation (Pre-COVID)]" caption="Occupation (Pre-COVID)" attribute="1" defaultMemberUniqueName="[DataTable1].[Occupation (Pre-COVID)].[All]" allUniqueName="[DataTable1].[Occupation (Pre-COVID)].[All]" dimensionUniqueName="[DataTable1]" displayFolder="" count="0" memberValueDatatype="130" unbalanced="0"/>
    <cacheHierarchy uniqueName="[DataTable1].[Occupation (Post-COVID)]" caption="Occupation (Post-COVID)" attribute="1" defaultMemberUniqueName="[DataTable1].[Occupation (Post-COVID)].[All]" allUniqueName="[DataTable1].[Occupation (Post-COVID)].[All]" dimensionUniqueName="[DataTable1]" displayFolder="" count="0" memberValueDatatype="130" unbalanced="0"/>
    <cacheHierarchy uniqueName="[DataTable1].[Q1. Pre-COVID]" caption="Q1. Pre-COVID" attribute="1" defaultMemberUniqueName="[DataTable1].[Q1. Pre-COVID].[All]" allUniqueName="[DataTable1].[Q1. Pre-COVID].[All]" dimensionUniqueName="[DataTable1]" displayFolder="" count="0" memberValueDatatype="130" unbalanced="0"/>
    <cacheHierarchy uniqueName="[DataTable1].[Q1. Post-COVID]" caption="Q1. Post-COVID" attribute="1" defaultMemberUniqueName="[DataTable1].[Q1. Post-COVID].[All]" allUniqueName="[DataTable1].[Q1. Post-COVID].[All]" dimensionUniqueName="[DataTable1]" displayFolder="" count="0" memberValueDatatype="130" unbalanced="0"/>
    <cacheHierarchy uniqueName="[DataTable1].[Q2. Pre-COVID]" caption="Q2. Pre-COVID" attribute="1" defaultMemberUniqueName="[DataTable1].[Q2. Pre-COVID].[All]" allUniqueName="[DataTable1].[Q2. Pre-COVID].[All]" dimensionUniqueName="[DataTable1]" displayFolder="" count="0" memberValueDatatype="130" unbalanced="0"/>
    <cacheHierarchy uniqueName="[DataTable1].[Q2. Post-COVID]" caption="Q2. Post-COVID" attribute="1" defaultMemberUniqueName="[DataTable1].[Q2. Post-COVID].[All]" allUniqueName="[DataTable1].[Q2. Post-COVID].[All]" dimensionUniqueName="[DataTable1]" displayFolder="" count="0" memberValueDatatype="130" unbalanced="0"/>
    <cacheHierarchy uniqueName="[DataTable1].[Q3. Pre-COVID]" caption="Q3. Pre-COVID" attribute="1" defaultMemberUniqueName="[DataTable1].[Q3. Pre-COVID].[All]" allUniqueName="[DataTable1].[Q3. Pre-COVID].[All]" dimensionUniqueName="[DataTable1]" displayFolder="" count="0" memberValueDatatype="130" unbalanced="0"/>
    <cacheHierarchy uniqueName="[DataTable1].[Q3. Post-COVID]" caption="Q3. Post-COVID" attribute="1" defaultMemberUniqueName="[DataTable1].[Q3. Post-COVID].[All]" allUniqueName="[DataTable1].[Q3. Post-COVID].[All]" dimensionUniqueName="[DataTable1]" displayFolder="" count="0" memberValueDatatype="130" unbalanced="0"/>
    <cacheHierarchy uniqueName="[DataTable1].[Q4. Pre-COVID]" caption="Q4. Pre-COVID" attribute="1" defaultMemberUniqueName="[DataTable1].[Q4. Pre-COVID].[All]" allUniqueName="[DataTable1].[Q4. Pre-COVID].[All]" dimensionUniqueName="[DataTable1]" displayFolder="" count="0" memberValueDatatype="130" unbalanced="0"/>
    <cacheHierarchy uniqueName="[DataTable1].[Q4. Post-COVID]" caption="Q4. Post-COVID" attribute="1" defaultMemberUniqueName="[DataTable1].[Q4. Post-COVID].[All]" allUniqueName="[DataTable1].[Q4. Post-COVID].[All]" dimensionUniqueName="[DataTable1]" displayFolder="" count="0" memberValueDatatype="130" unbalanced="0"/>
    <cacheHierarchy uniqueName="[DataTable1].[Q5. Pre-COVID]" caption="Q5. Pre-COVID" attribute="1" defaultMemberUniqueName="[DataTable1].[Q5. Pre-COVID].[All]" allUniqueName="[DataTable1].[Q5. Pre-COVID].[All]" dimensionUniqueName="[DataTable1]" displayFolder="" count="0" memberValueDatatype="130" unbalanced="0"/>
    <cacheHierarchy uniqueName="[DataTable1].[Q5. Post-COVID]" caption="Q5. Post-COVID" attribute="1" defaultMemberUniqueName="[DataTable1].[Q5. Post-COVID].[All]" allUniqueName="[DataTable1].[Q5. Post-COVID].[All]" dimensionUniqueName="[DataTable1]" displayFolder="" count="0" memberValueDatatype="130" unbalanced="0"/>
    <cacheHierarchy uniqueName="[DataTable2].[#]" caption="#" attribute="1" defaultMemberUniqueName="[DataTable2].[#].[All]" allUniqueName="[DataTable2].[#].[All]" dimensionUniqueName="[DataTable2]" displayFolder="" count="0" memberValueDatatype="20" unbalanced="0"/>
    <cacheHierarchy uniqueName="[DataTable2].[Name (Optional)]" caption="Name (Optional)" attribute="1" defaultMemberUniqueName="[DataTable2].[Name (Optional)].[All]" allUniqueName="[DataTable2].[Name (Optional)].[All]" dimensionUniqueName="[DataTable2]" displayFolder="" count="0" memberValueDatatype="130" unbalanced="0"/>
    <cacheHierarchy uniqueName="[DataTable2].[Gender]" caption="Gender" attribute="1" defaultMemberUniqueName="[DataTable2].[Gender].[All]" allUniqueName="[DataTable2].[Gender].[All]" dimensionUniqueName="[DataTable2]" displayFolder="" count="0" memberValueDatatype="130" unbalanced="0"/>
    <cacheHierarchy uniqueName="[DataTable2].[Age]" caption="Age" attribute="1" defaultMemberUniqueName="[DataTable2].[Age].[All]" allUniqueName="[DataTable2].[Age].[All]" dimensionUniqueName="[DataTable2]" displayFolder="" count="0" memberValueDatatype="130" unbalanced="0"/>
    <cacheHierarchy uniqueName="[DataTable2].[Area of Residence]" caption="Area of Residence" attribute="1" defaultMemberUniqueName="[DataTable2].[Area of Residence].[All]" allUniqueName="[DataTable2].[Area of Residence].[All]" dimensionUniqueName="[DataTable2]" displayFolder="" count="0" memberValueDatatype="130" unbalanced="0"/>
    <cacheHierarchy uniqueName="[DataTable2].[Occupation (Pre-COVID)]" caption="Occupation (Pre-COVID)" attribute="1" defaultMemberUniqueName="[DataTable2].[Occupation (Pre-COVID)].[All]" allUniqueName="[DataTable2].[Occupation (Pre-COVID)].[All]" dimensionUniqueName="[DataTable2]" displayFolder="" count="0" memberValueDatatype="130" unbalanced="0"/>
    <cacheHierarchy uniqueName="[DataTable2].[Occupation (Post-COVID)]" caption="Occupation (Post-COVID)" attribute="1" defaultMemberUniqueName="[DataTable2].[Occupation (Post-COVID)].[All]" allUniqueName="[DataTable2].[Occupation (Post-COVID)].[All]" dimensionUniqueName="[DataTable2]" displayFolder="" count="0" memberValueDatatype="130" unbalanced="0"/>
    <cacheHierarchy uniqueName="[DataTable2].[Q1. Pre-COVID]" caption="Q1. Pre-COVID" attribute="1" defaultMemberUniqueName="[DataTable2].[Q1. Pre-COVID].[All]" allUniqueName="[DataTable2].[Q1. Pre-COVID].[All]" dimensionUniqueName="[DataTable2]" displayFolder="" count="0" memberValueDatatype="130" unbalanced="0"/>
    <cacheHierarchy uniqueName="[DataTable2].[Q1. Post-COVID]" caption="Q1. Post-COVID" attribute="1" defaultMemberUniqueName="[DataTable2].[Q1. Post-COVID].[All]" allUniqueName="[DataTable2].[Q1. Post-COVID].[All]" dimensionUniqueName="[DataTable2]" displayFolder="" count="0" memberValueDatatype="130" unbalanced="0"/>
    <cacheHierarchy uniqueName="[DataTable2].[Q2. Pre-COVID]" caption="Q2. Pre-COVID" attribute="1" defaultMemberUniqueName="[DataTable2].[Q2. Pre-COVID].[All]" allUniqueName="[DataTable2].[Q2. Pre-COVID].[All]" dimensionUniqueName="[DataTable2]" displayFolder="" count="0" memberValueDatatype="130" unbalanced="0"/>
    <cacheHierarchy uniqueName="[DataTable2].[Q2. Post-COVID]" caption="Q2. Post-COVID" attribute="1" defaultMemberUniqueName="[DataTable2].[Q2. Post-COVID].[All]" allUniqueName="[DataTable2].[Q2. Post-COVID].[All]" dimensionUniqueName="[DataTable2]" displayFolder="" count="0" memberValueDatatype="130" unbalanced="0"/>
    <cacheHierarchy uniqueName="[DataTable2].[Q3. Pre-COVID]" caption="Q3. Pre-COVID" attribute="1" defaultMemberUniqueName="[DataTable2].[Q3. Pre-COVID].[All]" allUniqueName="[DataTable2].[Q3. Pre-COVID].[All]" dimensionUniqueName="[DataTable2]" displayFolder="" count="0" memberValueDatatype="130" unbalanced="0"/>
    <cacheHierarchy uniqueName="[DataTable2].[Q3. Post-COVID]" caption="Q3. Post-COVID" attribute="1" defaultMemberUniqueName="[DataTable2].[Q3. Post-COVID].[All]" allUniqueName="[DataTable2].[Q3. Post-COVID].[All]" dimensionUniqueName="[DataTable2]" displayFolder="" count="0" memberValueDatatype="130" unbalanced="0"/>
    <cacheHierarchy uniqueName="[DataTable2].[Q4. Pre-COVID]" caption="Q4. Pre-COVID" attribute="1" defaultMemberUniqueName="[DataTable2].[Q4. Pre-COVID].[All]" allUniqueName="[DataTable2].[Q4. Pre-COVID].[All]" dimensionUniqueName="[DataTable2]" displayFolder="" count="0" memberValueDatatype="130" unbalanced="0"/>
    <cacheHierarchy uniqueName="[DataTable2].[Q4. Post-COVID]" caption="Q4. Post-COVID" attribute="1" defaultMemberUniqueName="[DataTable2].[Q4. Post-COVID].[All]" allUniqueName="[DataTable2].[Q4. Post-COVID].[All]" dimensionUniqueName="[DataTable2]" displayFolder="" count="0" memberValueDatatype="130" unbalanced="0"/>
    <cacheHierarchy uniqueName="[DataTable2].[Q5. Pre-COVID]" caption="Q5. Pre-COVID" attribute="1" defaultMemberUniqueName="[DataTable2].[Q5. Pre-COVID].[All]" allUniqueName="[DataTable2].[Q5. Pre-COVID].[All]" dimensionUniqueName="[DataTable2]" displayFolder="" count="0" memberValueDatatype="130" unbalanced="0"/>
    <cacheHierarchy uniqueName="[DataTable2].[Q5. Post-COVID]" caption="Q5. Post-COVID" attribute="1" defaultMemberUniqueName="[DataTable2].[Q5. Post-COVID].[All]" allUniqueName="[DataTable2].[Q5. Post-COVID].[All]" dimensionUniqueName="[DataTable2]" displayFolder="" count="0" memberValueDatatype="130" unbalanced="0"/>
    <cacheHierarchy uniqueName="[DataTable3].[#]" caption="#" attribute="1" defaultMemberUniqueName="[DataTable3].[#].[All]" allUniqueName="[DataTable3].[#].[All]" dimensionUniqueName="[DataTable3]" displayFolder="" count="0" memberValueDatatype="20" unbalanced="0"/>
    <cacheHierarchy uniqueName="[DataTable3].[Name (Optional)]" caption="Name (Optional)" attribute="1" defaultMemberUniqueName="[DataTable3].[Name (Optional)].[All]" allUniqueName="[DataTable3].[Name (Optional)].[All]" dimensionUniqueName="[DataTable3]" displayFolder="" count="0" memberValueDatatype="130" unbalanced="0"/>
    <cacheHierarchy uniqueName="[DataTable3].[Gender]" caption="Gender" attribute="1" defaultMemberUniqueName="[DataTable3].[Gender].[All]" allUniqueName="[DataTable3].[Gender].[All]" dimensionUniqueName="[DataTable3]" displayFolder="" count="0" memberValueDatatype="130" unbalanced="0"/>
    <cacheHierarchy uniqueName="[DataTable3].[Age]" caption="Age" attribute="1" defaultMemberUniqueName="[DataTable3].[Age].[All]" allUniqueName="[DataTable3].[Age].[All]" dimensionUniqueName="[DataTable3]" displayFolder="" count="0" memberValueDatatype="130" unbalanced="0"/>
    <cacheHierarchy uniqueName="[DataTable3].[Area of Residence]" caption="Area of Residence" attribute="1" defaultMemberUniqueName="[DataTable3].[Area of Residence].[All]" allUniqueName="[DataTable3].[Area of Residence].[All]" dimensionUniqueName="[DataTable3]" displayFolder="" count="0" memberValueDatatype="130" unbalanced="0"/>
    <cacheHierarchy uniqueName="[DataTable3].[Occupation (Pre-COVID)]" caption="Occupation (Pre-COVID)" attribute="1" defaultMemberUniqueName="[DataTable3].[Occupation (Pre-COVID)].[All]" allUniqueName="[DataTable3].[Occupation (Pre-COVID)].[All]" dimensionUniqueName="[DataTable3]" displayFolder="" count="0" memberValueDatatype="130" unbalanced="0"/>
    <cacheHierarchy uniqueName="[DataTable3].[Occupation (Post-COVID)]" caption="Occupation (Post-COVID)" attribute="1" defaultMemberUniqueName="[DataTable3].[Occupation (Post-COVID)].[All]" allUniqueName="[DataTable3].[Occupation (Post-COVID)].[All]" dimensionUniqueName="[DataTable3]" displayFolder="" count="0" memberValueDatatype="130" unbalanced="0"/>
    <cacheHierarchy uniqueName="[DataTable3].[Q1. Pre-COVID]" caption="Q1. Pre-COVID" attribute="1" defaultMemberUniqueName="[DataTable3].[Q1. Pre-COVID].[All]" allUniqueName="[DataTable3].[Q1. Pre-COVID].[All]" dimensionUniqueName="[DataTable3]" displayFolder="" count="0" memberValueDatatype="130" unbalanced="0"/>
    <cacheHierarchy uniqueName="[DataTable3].[Q1. Post-COVID]" caption="Q1. Post-COVID" attribute="1" defaultMemberUniqueName="[DataTable3].[Q1. Post-COVID].[All]" allUniqueName="[DataTable3].[Q1. Post-COVID].[All]" dimensionUniqueName="[DataTable3]" displayFolder="" count="0" memberValueDatatype="130" unbalanced="0"/>
    <cacheHierarchy uniqueName="[DataTable3].[Q2. Pre-COVID]" caption="Q2. Pre-COVID" attribute="1" defaultMemberUniqueName="[DataTable3].[Q2. Pre-COVID].[All]" allUniqueName="[DataTable3].[Q2. Pre-COVID].[All]" dimensionUniqueName="[DataTable3]" displayFolder="" count="0" memberValueDatatype="130" unbalanced="0"/>
    <cacheHierarchy uniqueName="[DataTable3].[Q2. Post-COVID]" caption="Q2. Post-COVID" attribute="1" defaultMemberUniqueName="[DataTable3].[Q2. Post-COVID].[All]" allUniqueName="[DataTable3].[Q2. Post-COVID].[All]" dimensionUniqueName="[DataTable3]" displayFolder="" count="0" memberValueDatatype="130" unbalanced="0"/>
    <cacheHierarchy uniqueName="[DataTable3].[Q3. Pre-COVID]" caption="Q3. Pre-COVID" attribute="1" defaultMemberUniqueName="[DataTable3].[Q3. Pre-COVID].[All]" allUniqueName="[DataTable3].[Q3. Pre-COVID].[All]" dimensionUniqueName="[DataTable3]" displayFolder="" count="0" memberValueDatatype="130" unbalanced="0"/>
    <cacheHierarchy uniqueName="[DataTable3].[Q3. Post-COVID]" caption="Q3. Post-COVID" attribute="1" defaultMemberUniqueName="[DataTable3].[Q3. Post-COVID].[All]" allUniqueName="[DataTable3].[Q3. Post-COVID].[All]" dimensionUniqueName="[DataTable3]" displayFolder="" count="0" memberValueDatatype="130" unbalanced="0"/>
    <cacheHierarchy uniqueName="[DataTable3].[Q4. Pre-COVID]" caption="Q4. Pre-COVID" attribute="1" defaultMemberUniqueName="[DataTable3].[Q4. Pre-COVID].[All]" allUniqueName="[DataTable3].[Q4. Pre-COVID].[All]" dimensionUniqueName="[DataTable3]" displayFolder="" count="0" memberValueDatatype="130" unbalanced="0"/>
    <cacheHierarchy uniqueName="[DataTable3].[Q4. Post-COVID]" caption="Q4. Post-COVID" attribute="1" defaultMemberUniqueName="[DataTable3].[Q4. Post-COVID].[All]" allUniqueName="[DataTable3].[Q4. Post-COVID].[All]" dimensionUniqueName="[DataTable3]" displayFolder="" count="0" memberValueDatatype="130" unbalanced="0"/>
    <cacheHierarchy uniqueName="[DataTable3].[Q5. Pre-COVID]" caption="Q5. Pre-COVID" attribute="1" defaultMemberUniqueName="[DataTable3].[Q5. Pre-COVID].[All]" allUniqueName="[DataTable3].[Q5. Pre-COVID].[All]" dimensionUniqueName="[DataTable3]" displayFolder="" count="0" memberValueDatatype="130" unbalanced="0"/>
    <cacheHierarchy uniqueName="[DataTable3].[Q5. Post-COVID]" caption="Q5. Post-COVID" attribute="1" defaultMemberUniqueName="[DataTable3].[Q5. Post-COVID].[All]" allUniqueName="[DataTable3].[Q5. Post-COVID].[All]" dimensionUniqueName="[DataTable3]" displayFolder="" count="0" memberValueDatatype="130" unbalanced="0"/>
    <cacheHierarchy uniqueName="[Table1].[#]" caption="#" attribute="1" defaultMemberUniqueName="[Table1].[#].[All]" allUniqueName="[Table1].[#].[All]" dimensionUniqueName="[Table1]" displayFolder="" count="0" memberValueDatatype="20" unbalanced="0"/>
    <cacheHierarchy uniqueName="[Table1].[Name (Optional)]" caption="Name (Optional)" attribute="1" defaultMemberUniqueName="[Table1].[Name (Optional)].[All]" allUniqueName="[Table1].[Name (Optional)].[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ge]" caption="Age" attribute="1" defaultMemberUniqueName="[Table1].[Age].[All]" allUniqueName="[Table1].[Age].[All]" dimensionUniqueName="[Table1]" displayFolder="" count="0" memberValueDatatype="130" unbalanced="0"/>
    <cacheHierarchy uniqueName="[Table1].[Area of Residence]" caption="Area of Residence" attribute="1" defaultMemberUniqueName="[Table1].[Area of Residence].[All]" allUniqueName="[Table1].[Area of Residence].[All]" dimensionUniqueName="[Table1]" displayFolder="" count="0" memberValueDatatype="130" unbalanced="0"/>
    <cacheHierarchy uniqueName="[Table1].[Occupation (Pre-COVID)]" caption="Occupation (Pre-COVID)" attribute="1" defaultMemberUniqueName="[Table1].[Occupation (Pre-COVID)].[All]" allUniqueName="[Table1].[Occupation (Pre-COVID)].[All]" dimensionUniqueName="[Table1]" displayFolder="" count="0" memberValueDatatype="130" unbalanced="0"/>
    <cacheHierarchy uniqueName="[Table1].[Occupation (Post-COVID)]" caption="Occupation (Post-COVID)" attribute="1" defaultMemberUniqueName="[Table1].[Occupation (Post-COVID)].[All]" allUniqueName="[Table1].[Occupation (Post-COVID)].[All]" dimensionUniqueName="[Table1]" displayFolder="" count="0" memberValueDatatype="130" unbalanced="0"/>
    <cacheHierarchy uniqueName="[Table1  Gender   Occupation  Post-COVID].[Gender]" caption="Gender" attribute="1" defaultMemberUniqueName="[Table1  Gender   Occupation  Post-COVID].[Gender].[All]" allUniqueName="[Table1  Gender   Occupation  Post-COVID].[Gender].[All]" dimensionUniqueName="[Table1  Gender   Occupation  Post-COVID]" displayFolder="" count="0" memberValueDatatype="130" unbalanced="0"/>
    <cacheHierarchy uniqueName="[Table1  Gender   Occupation  Post-COVID].[Age]" caption="Age" attribute="1" defaultMemberUniqueName="[Table1  Gender   Occupation  Post-COVID].[Age].[All]" allUniqueName="[Table1  Gender   Occupation  Post-COVID].[Age].[All]" dimensionUniqueName="[Table1  Gender   Occupation  Post-COVID]" displayFolder="" count="0" memberValueDatatype="130" unbalanced="0"/>
    <cacheHierarchy uniqueName="[Table1  Gender   Occupation  Post-COVID].[Area of Residence]" caption="Area of Residence" attribute="1" defaultMemberUniqueName="[Table1  Gender   Occupation  Post-COVID].[Area of Residence].[All]" allUniqueName="[Table1  Gender   Occupation  Post-COVID].[Area of Residence].[All]" dimensionUniqueName="[Table1  Gender   Occupation  Post-COVID]" displayFolder="" count="0" memberValueDatatype="130" unbalanced="0"/>
    <cacheHierarchy uniqueName="[Table1  Gender   Occupation  Post-COVID].[Occupation (Pre-COVID)]" caption="Occupation (Pre-COVID)" attribute="1" defaultMemberUniqueName="[Table1  Gender   Occupation  Post-COVID].[Occupation (Pre-COVID)].[All]" allUniqueName="[Table1  Gender   Occupation  Post-COVID].[Occupation (Pre-COVID)].[All]" dimensionUniqueName="[Table1  Gender   Occupation  Post-COVID]" displayFolder="" count="0" memberValueDatatype="130" unbalanced="0"/>
    <cacheHierarchy uniqueName="[Table1  Gender   Occupation  Post-COVID].[Occupation (Post-COVID)]" caption="Occupation (Post-COVID)" attribute="1" defaultMemberUniqueName="[Table1  Gender   Occupation  Post-COVID].[Occupation (Post-COVID)].[All]" allUniqueName="[Table1  Gender   Occupation  Post-COVID].[Occupation (Post-COVID)].[All]" dimensionUniqueName="[Table1  Gender   Occupation  Post-COVID]" displayFolder="" count="0" memberValueDatatype="130" unbalanced="0"/>
    <cacheHierarchy uniqueName="[Table9].[#]" caption="#" attribute="1" defaultMemberUniqueName="[Table9].[#].[All]" allUniqueName="[Table9].[#].[All]" dimensionUniqueName="[Table9]" displayFolder="" count="0" memberValueDatatype="20" unbalanced="0"/>
    <cacheHierarchy uniqueName="[Table9].[Q1. Pre-COVID]" caption="Q1. Pre-COVID" attribute="1" defaultMemberUniqueName="[Table9].[Q1. Pre-COVID].[All]" allUniqueName="[Table9].[Q1. Pre-COVID].[All]" dimensionUniqueName="[Table9]" displayFolder="" count="0" memberValueDatatype="130" unbalanced="0"/>
    <cacheHierarchy uniqueName="[Table9].[Q1. Post-COVID]" caption="Q1. Post-COVID" attribute="1" defaultMemberUniqueName="[Table9].[Q1. Post-COVID].[All]" allUniqueName="[Table9].[Q1. Post-COVID].[All]" dimensionUniqueName="[Table9]" displayFolder="" count="0" memberValueDatatype="130" unbalanced="0"/>
    <cacheHierarchy uniqueName="[Table9].[Q2. Pre-COVID]" caption="Q2. Pre-COVID" attribute="1" defaultMemberUniqueName="[Table9].[Q2. Pre-COVID].[All]" allUniqueName="[Table9].[Q2. Pre-COVID].[All]" dimensionUniqueName="[Table9]" displayFolder="" count="0" memberValueDatatype="130" unbalanced="0"/>
    <cacheHierarchy uniqueName="[Table9].[Q2. Post-COVID]" caption="Q2. Post-COVID" attribute="1" defaultMemberUniqueName="[Table9].[Q2. Post-COVID].[All]" allUniqueName="[Table9].[Q2. Post-COVID].[All]" dimensionUniqueName="[Table9]" displayFolder="" count="0" memberValueDatatype="130" unbalanced="0"/>
    <cacheHierarchy uniqueName="[Table9].[Q3. Pre-COVID]" caption="Q3. Pre-COVID" attribute="1" defaultMemberUniqueName="[Table9].[Q3. Pre-COVID].[All]" allUniqueName="[Table9].[Q3. Pre-COVID].[All]" dimensionUniqueName="[Table9]" displayFolder="" count="0" memberValueDatatype="130" unbalanced="0"/>
    <cacheHierarchy uniqueName="[Table9].[Q3. Post-COVID]" caption="Q3. Post-COVID" attribute="1" defaultMemberUniqueName="[Table9].[Q3. Post-COVID].[All]" allUniqueName="[Table9].[Q3. Post-COVID].[All]" dimensionUniqueName="[Table9]" displayFolder="" count="0" memberValueDatatype="130" unbalanced="0"/>
    <cacheHierarchy uniqueName="[Table9].[Q4. Pre-COVID]" caption="Q4. Pre-COVID" attribute="1" defaultMemberUniqueName="[Table9].[Q4. Pre-COVID].[All]" allUniqueName="[Table9].[Q4. Pre-COVID].[All]" dimensionUniqueName="[Table9]" displayFolder="" count="0" memberValueDatatype="130" unbalanced="0"/>
    <cacheHierarchy uniqueName="[Table9].[Q4. Post-COVID]" caption="Q4. Post-COVID" attribute="1" defaultMemberUniqueName="[Table9].[Q4. Post-COVID].[All]" allUniqueName="[Table9].[Q4. Post-COVID].[All]" dimensionUniqueName="[Table9]" displayFolder="" count="0" memberValueDatatype="130" unbalanced="0"/>
    <cacheHierarchy uniqueName="[Table9].[Q5. Pre-COVID]" caption="Q5. Pre-COVID" attribute="1" defaultMemberUniqueName="[Table9].[Q5. Pre-COVID].[All]" allUniqueName="[Table9].[Q5. Pre-COVID].[All]" dimensionUniqueName="[Table9]" displayFolder="" count="0" memberValueDatatype="130" unbalanced="0"/>
    <cacheHierarchy uniqueName="[Table9].[Q5. Post-COVID]" caption="Q5. Post-COVID" attribute="1" defaultMemberUniqueName="[Table9].[Q5. Post-COVID].[All]" allUniqueName="[Table9].[Q5. Post-COVID].[All]" dimensionUniqueName="[Table9]" displayFolder="" count="0" memberValueDatatype="130" unbalanced="0"/>
    <cacheHierarchy uniqueName="[Measures].[__XL_Count Table1  Gender   Occupation  Post-COVID]" caption="__XL_Count Table1  Gender   Occupation  Post-COVID" measure="1" displayFolder="" measureGroup="Table1  Gender   Occupation  Post-COVID" count="0" hidden="1"/>
    <cacheHierarchy uniqueName="[Measures].[__XL_Count Table1]" caption="__XL_Count Table1" measure="1" displayFolder="" measureGroup="Table1" count="0" hidden="1"/>
    <cacheHierarchy uniqueName="[Measures].[__XL_Count Table9]" caption="__XL_Count Table9" measure="1" displayFolder="" measureGroup="Table9" count="0" hidden="1"/>
    <cacheHierarchy uniqueName="[Measures].[__XL_Count DataTable]" caption="__XL_Count DataTable" measure="1" displayFolder="" measureGroup="DataTable" count="0" hidden="1"/>
    <cacheHierarchy uniqueName="[Measures].[__XL_Count DataTable  Gender   Q5  Post-COVID]" caption="__XL_Count DataTable  Gender   Q5  Post-COVID" measure="1" displayFolder="" measureGroup="DataTable  Gender   Q5  Post-COVID" count="0" hidden="1"/>
    <cacheHierarchy uniqueName="[Measures].[__XL_Count DataTable1]" caption="__XL_Count DataTable1" measure="1" displayFolder="" measureGroup="DataTable1" count="0" hidden="1"/>
    <cacheHierarchy uniqueName="[Measures].[__XL_Count DataTable2]" caption="__XL_Count DataTable2" measure="1" displayFolder="" measureGroup="DataTable2" count="0" hidden="1"/>
    <cacheHierarchy uniqueName="[Measures].[__XL_Count DataTable3]" caption="__XL_Count DataTable3" measure="1" displayFolder="" measureGroup="DataTable3" count="0" hidden="1"/>
    <cacheHierarchy uniqueName="[Measures].[__No measures defined]" caption="__No measures defined" measure="1" displayFolder="" count="0" hidden="1"/>
    <cacheHierarchy uniqueName="[Measures].[Count of Age]" caption="Count of Age" measure="1" displayFolder="" measureGroup="Table1" count="0" hidden="1">
      <extLst>
        <ext xmlns:x15="http://schemas.microsoft.com/office/spreadsheetml/2010/11/main" uri="{B97F6D7D-B522-45F9-BDA1-12C45D357490}">
          <x15:cacheHierarchy aggregatedColumn="86"/>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85"/>
        </ext>
      </extLst>
    </cacheHierarchy>
    <cacheHierarchy uniqueName="[Measures].[Count of Area of Residence]" caption="Count of Area of Residence" measure="1" displayFolder="" measureGroup="Table1" count="0" hidden="1">
      <extLst>
        <ext xmlns:x15="http://schemas.microsoft.com/office/spreadsheetml/2010/11/main" uri="{B97F6D7D-B522-45F9-BDA1-12C45D357490}">
          <x15:cacheHierarchy aggregatedColumn="87"/>
        </ext>
      </extLst>
    </cacheHierarchy>
    <cacheHierarchy uniqueName="[Measures].[Count of Occupation (Pre-COVID)]" caption="Count of Occupation (Pre-COVID)" measure="1" displayFolder="" measureGroup="Table1" count="0" hidden="1">
      <extLst>
        <ext xmlns:x15="http://schemas.microsoft.com/office/spreadsheetml/2010/11/main" uri="{B97F6D7D-B522-45F9-BDA1-12C45D357490}">
          <x15:cacheHierarchy aggregatedColumn="88"/>
        </ext>
      </extLst>
    </cacheHierarchy>
    <cacheHierarchy uniqueName="[Measures].[Count of Gender 2]" caption="Count of Gender 2" measure="1" displayFolder="" measureGroup="Table1  Gender   Occupation  Post-COVID" count="0" hidden="1">
      <extLst>
        <ext xmlns:x15="http://schemas.microsoft.com/office/spreadsheetml/2010/11/main" uri="{B97F6D7D-B522-45F9-BDA1-12C45D357490}">
          <x15:cacheHierarchy aggregatedColumn="90"/>
        </ext>
      </extLst>
    </cacheHierarchy>
    <cacheHierarchy uniqueName="[Measures].[Count of Age 2]" caption="Count of Age 2" measure="1" displayFolder="" measureGroup="Table1  Gender   Occupation  Post-COVID" count="0" hidden="1">
      <extLst>
        <ext xmlns:x15="http://schemas.microsoft.com/office/spreadsheetml/2010/11/main" uri="{B97F6D7D-B522-45F9-BDA1-12C45D357490}">
          <x15:cacheHierarchy aggregatedColumn="91"/>
        </ext>
      </extLst>
    </cacheHierarchy>
    <cacheHierarchy uniqueName="[Measures].[Count of Occupation (Post-COVID)]" caption="Count of Occupation (Post-COVID)" measure="1" displayFolder="" measureGroup="Table1" count="0" hidden="1">
      <extLst>
        <ext xmlns:x15="http://schemas.microsoft.com/office/spreadsheetml/2010/11/main" uri="{B97F6D7D-B522-45F9-BDA1-12C45D357490}">
          <x15:cacheHierarchy aggregatedColumn="89"/>
        </ext>
      </extLst>
    </cacheHierarchy>
    <cacheHierarchy uniqueName="[Measures].[Count of Q1. Pre-COVID]" caption="Count of Q1. Pre-COVID" measure="1" displayFolder="" measureGroup="Table9" count="0" hidden="1">
      <extLst>
        <ext xmlns:x15="http://schemas.microsoft.com/office/spreadsheetml/2010/11/main" uri="{B97F6D7D-B522-45F9-BDA1-12C45D357490}">
          <x15:cacheHierarchy aggregatedColumn="96"/>
        </ext>
      </extLst>
    </cacheHierarchy>
    <cacheHierarchy uniqueName="[Measures].[Count of Q1. Post-COVID]" caption="Count of Q1. Post-COVID" measure="1" displayFolder="" measureGroup="Table9" count="0" hidden="1">
      <extLst>
        <ext xmlns:x15="http://schemas.microsoft.com/office/spreadsheetml/2010/11/main" uri="{B97F6D7D-B522-45F9-BDA1-12C45D357490}">
          <x15:cacheHierarchy aggregatedColumn="97"/>
        </ext>
      </extLst>
    </cacheHierarchy>
    <cacheHierarchy uniqueName="[Measures].[Sum of #]" caption="Sum of #" measure="1" displayFolder="" measureGroup="Table9" count="0" hidden="1">
      <extLst>
        <ext xmlns:x15="http://schemas.microsoft.com/office/spreadsheetml/2010/11/main" uri="{B97F6D7D-B522-45F9-BDA1-12C45D357490}">
          <x15:cacheHierarchy aggregatedColumn="95"/>
        </ext>
      </extLst>
    </cacheHierarchy>
    <cacheHierarchy uniqueName="[Measures].[Count of Area of Residence 2]" caption="Count of Area of Residence 2" measure="1" displayFolder="" measureGroup="DataTable" count="0" hidden="1">
      <extLst>
        <ext xmlns:x15="http://schemas.microsoft.com/office/spreadsheetml/2010/11/main" uri="{B97F6D7D-B522-45F9-BDA1-12C45D357490}">
          <x15:cacheHierarchy aggregatedColumn="4"/>
        </ext>
      </extLst>
    </cacheHierarchy>
    <cacheHierarchy uniqueName="[Measures].[Count of Age 3]" caption="Count of Age 3" measure="1" displayFolder="" measureGroup="DataTable" count="0" hidden="1">
      <extLst>
        <ext xmlns:x15="http://schemas.microsoft.com/office/spreadsheetml/2010/11/main" uri="{B97F6D7D-B522-45F9-BDA1-12C45D357490}">
          <x15:cacheHierarchy aggregatedColumn="3"/>
        </ext>
      </extLst>
    </cacheHierarchy>
    <cacheHierarchy uniqueName="[Measures].[Count of Occupation (Pre-COVID) 2]" caption="Count of Occupation (Pre-COVID) 2" measure="1" displayFolder="" measureGroup="DataTable" count="0" hidden="1">
      <extLst>
        <ext xmlns:x15="http://schemas.microsoft.com/office/spreadsheetml/2010/11/main" uri="{B97F6D7D-B522-45F9-BDA1-12C45D357490}">
          <x15:cacheHierarchy aggregatedColumn="5"/>
        </ext>
      </extLst>
    </cacheHierarchy>
    <cacheHierarchy uniqueName="[Measures].[Count of Gender 3]" caption="Count of Gender 3" measure="1" displayFolder="" measureGroup="DataTable"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Occupation (Post-COVID) 2]" caption="Count of Occupation (Post-COVID) 2" measure="1" displayFolder="" measureGroup="DataTable" count="0" hidden="1">
      <extLst>
        <ext xmlns:x15="http://schemas.microsoft.com/office/spreadsheetml/2010/11/main" uri="{B97F6D7D-B522-45F9-BDA1-12C45D357490}">
          <x15:cacheHierarchy aggregatedColumn="6"/>
        </ext>
      </extLst>
    </cacheHierarchy>
    <cacheHierarchy uniqueName="[Measures].[Count of Q1. Pre-COVID 2]" caption="Count of Q1. Pre-COVID 2" measure="1" displayFolder="" measureGroup="DataTable" count="0" hidden="1">
      <extLst>
        <ext xmlns:x15="http://schemas.microsoft.com/office/spreadsheetml/2010/11/main" uri="{B97F6D7D-B522-45F9-BDA1-12C45D357490}">
          <x15:cacheHierarchy aggregatedColumn="7"/>
        </ext>
      </extLst>
    </cacheHierarchy>
    <cacheHierarchy uniqueName="[Measures].[Count of Area of Residence 3]" caption="Count of Area of Residence 3" measure="1" displayFolder="" measureGroup="DataTable1" count="0" hidden="1">
      <extLst>
        <ext xmlns:x15="http://schemas.microsoft.com/office/spreadsheetml/2010/11/main" uri="{B97F6D7D-B522-45F9-BDA1-12C45D357490}">
          <x15:cacheHierarchy aggregatedColumn="36"/>
        </ext>
      </extLst>
    </cacheHierarchy>
    <cacheHierarchy uniqueName="[Measures].[Count of Age 4]" caption="Count of Age 4" measure="1" displayFolder="" measureGroup="DataTable1" count="0" hidden="1">
      <extLst>
        <ext xmlns:x15="http://schemas.microsoft.com/office/spreadsheetml/2010/11/main" uri="{B97F6D7D-B522-45F9-BDA1-12C45D357490}">
          <x15:cacheHierarchy aggregatedColumn="35"/>
        </ext>
      </extLst>
    </cacheHierarchy>
    <cacheHierarchy uniqueName="[Measures].[Count of Occupation (Pre-COVID) 3]" caption="Count of Occupation (Pre-COVID) 3" measure="1" displayFolder="" measureGroup="DataTable1" count="0" hidden="1">
      <extLst>
        <ext xmlns:x15="http://schemas.microsoft.com/office/spreadsheetml/2010/11/main" uri="{B97F6D7D-B522-45F9-BDA1-12C45D357490}">
          <x15:cacheHierarchy aggregatedColumn="37"/>
        </ext>
      </extLst>
    </cacheHierarchy>
    <cacheHierarchy uniqueName="[Measures].[Count of Gender 4]" caption="Count of Gender 4" measure="1" displayFolder="" measureGroup="DataTable1" count="0" hidden="1">
      <extLst>
        <ext xmlns:x15="http://schemas.microsoft.com/office/spreadsheetml/2010/11/main" uri="{B97F6D7D-B522-45F9-BDA1-12C45D357490}">
          <x15:cacheHierarchy aggregatedColumn="34"/>
        </ext>
      </extLst>
    </cacheHierarchy>
    <cacheHierarchy uniqueName="[Measures].[Count of Occupation (Post-COVID) 3]" caption="Count of Occupation (Post-COVID) 3" measure="1" displayFolder="" measureGroup="DataTable1" count="0" hidden="1">
      <extLst>
        <ext xmlns:x15="http://schemas.microsoft.com/office/spreadsheetml/2010/11/main" uri="{B97F6D7D-B522-45F9-BDA1-12C45D357490}">
          <x15:cacheHierarchy aggregatedColumn="38"/>
        </ext>
      </extLst>
    </cacheHierarchy>
    <cacheHierarchy uniqueName="[Measures].[Count of Q1. Pre-COVID 3]" caption="Count of Q1. Pre-COVID 3" measure="1" displayFolder="" measureGroup="DataTable1" count="0" hidden="1">
      <extLst>
        <ext xmlns:x15="http://schemas.microsoft.com/office/spreadsheetml/2010/11/main" uri="{B97F6D7D-B522-45F9-BDA1-12C45D357490}">
          <x15:cacheHierarchy aggregatedColumn="39"/>
        </ext>
      </extLst>
    </cacheHierarchy>
    <cacheHierarchy uniqueName="[Measures].[Count of Area of Residence 4]" caption="Count of Area of Residence 4" measure="1" displayFolder="" measureGroup="DataTable2" count="0" hidden="1">
      <extLst>
        <ext xmlns:x15="http://schemas.microsoft.com/office/spreadsheetml/2010/11/main" uri="{B97F6D7D-B522-45F9-BDA1-12C45D357490}">
          <x15:cacheHierarchy aggregatedColumn="53"/>
        </ext>
      </extLst>
    </cacheHierarchy>
    <cacheHierarchy uniqueName="[Measures].[Count of Age 5]" caption="Count of Age 5" measure="1" displayFolder="" measureGroup="DataTable2" count="0" hidden="1">
      <extLst>
        <ext xmlns:x15="http://schemas.microsoft.com/office/spreadsheetml/2010/11/main" uri="{B97F6D7D-B522-45F9-BDA1-12C45D357490}">
          <x15:cacheHierarchy aggregatedColumn="52"/>
        </ext>
      </extLst>
    </cacheHierarchy>
    <cacheHierarchy uniqueName="[Measures].[Count of Occupation (Pre-COVID) 4]" caption="Count of Occupation (Pre-COVID) 4" measure="1" displayFolder="" measureGroup="DataTable2" count="0" hidden="1">
      <extLst>
        <ext xmlns:x15="http://schemas.microsoft.com/office/spreadsheetml/2010/11/main" uri="{B97F6D7D-B522-45F9-BDA1-12C45D357490}">
          <x15:cacheHierarchy aggregatedColumn="54"/>
        </ext>
      </extLst>
    </cacheHierarchy>
    <cacheHierarchy uniqueName="[Measures].[Count of Gender 5]" caption="Count of Gender 5" measure="1" displayFolder="" measureGroup="DataTable2" count="0" hidden="1">
      <extLst>
        <ext xmlns:x15="http://schemas.microsoft.com/office/spreadsheetml/2010/11/main" uri="{B97F6D7D-B522-45F9-BDA1-12C45D357490}">
          <x15:cacheHierarchy aggregatedColumn="51"/>
        </ext>
      </extLst>
    </cacheHierarchy>
    <cacheHierarchy uniqueName="[Measures].[Count of Occupation (Post-COVID) 4]" caption="Count of Occupation (Post-COVID) 4" measure="1" displayFolder="" measureGroup="DataTable2" count="0" hidden="1">
      <extLst>
        <ext xmlns:x15="http://schemas.microsoft.com/office/spreadsheetml/2010/11/main" uri="{B97F6D7D-B522-45F9-BDA1-12C45D357490}">
          <x15:cacheHierarchy aggregatedColumn="55"/>
        </ext>
      </extLst>
    </cacheHierarchy>
    <cacheHierarchy uniqueName="[Measures].[Count of Q1. Pre-COVID 4]" caption="Count of Q1. Pre-COVID 4" measure="1" displayFolder="" measureGroup="DataTable2" count="0" hidden="1">
      <extLst>
        <ext xmlns:x15="http://schemas.microsoft.com/office/spreadsheetml/2010/11/main" uri="{B97F6D7D-B522-45F9-BDA1-12C45D357490}">
          <x15:cacheHierarchy aggregatedColumn="56"/>
        </ext>
      </extLst>
    </cacheHierarchy>
    <cacheHierarchy uniqueName="[Measures].[Count of Area of Residence 5]" caption="Count of Area of Residence 5" measure="1" displayFolder="" measureGroup="DataTable3" count="0" hidden="1">
      <extLst>
        <ext xmlns:x15="http://schemas.microsoft.com/office/spreadsheetml/2010/11/main" uri="{B97F6D7D-B522-45F9-BDA1-12C45D357490}">
          <x15:cacheHierarchy aggregatedColumn="70"/>
        </ext>
      </extLst>
    </cacheHierarchy>
    <cacheHierarchy uniqueName="[Measures].[Count of Age 6]" caption="Count of Age 6" measure="1" displayFolder="" measureGroup="DataTable3" count="0" hidden="1">
      <extLst>
        <ext xmlns:x15="http://schemas.microsoft.com/office/spreadsheetml/2010/11/main" uri="{B97F6D7D-B522-45F9-BDA1-12C45D357490}">
          <x15:cacheHierarchy aggregatedColumn="69"/>
        </ext>
      </extLst>
    </cacheHierarchy>
    <cacheHierarchy uniqueName="[Measures].[Count of Occupation (Pre-COVID) 5]" caption="Count of Occupation (Pre-COVID) 5" measure="1" displayFolder="" measureGroup="DataTable3" count="0" hidden="1">
      <extLst>
        <ext xmlns:x15="http://schemas.microsoft.com/office/spreadsheetml/2010/11/main" uri="{B97F6D7D-B522-45F9-BDA1-12C45D357490}">
          <x15:cacheHierarchy aggregatedColumn="71"/>
        </ext>
      </extLst>
    </cacheHierarchy>
    <cacheHierarchy uniqueName="[Measures].[Count of Gender 6]" caption="Count of Gender 6" measure="1" displayFolder="" measureGroup="DataTable3" count="0" hidden="1">
      <extLst>
        <ext xmlns:x15="http://schemas.microsoft.com/office/spreadsheetml/2010/11/main" uri="{B97F6D7D-B522-45F9-BDA1-12C45D357490}">
          <x15:cacheHierarchy aggregatedColumn="68"/>
        </ext>
      </extLst>
    </cacheHierarchy>
    <cacheHierarchy uniqueName="[Measures].[Count of Occupation (Post-COVID) 5]" caption="Count of Occupation (Post-COVID) 5" measure="1" displayFolder="" measureGroup="DataTable3" count="0" hidden="1">
      <extLst>
        <ext xmlns:x15="http://schemas.microsoft.com/office/spreadsheetml/2010/11/main" uri="{B97F6D7D-B522-45F9-BDA1-12C45D357490}">
          <x15:cacheHierarchy aggregatedColumn="72"/>
        </ext>
      </extLst>
    </cacheHierarchy>
    <cacheHierarchy uniqueName="[Measures].[Count of Q1. Pre-COVID 5]" caption="Count of Q1. Pre-COVID 5" measure="1" displayFolder="" measureGroup="DataTable3" count="0" hidden="1">
      <extLst>
        <ext xmlns:x15="http://schemas.microsoft.com/office/spreadsheetml/2010/11/main" uri="{B97F6D7D-B522-45F9-BDA1-12C45D357490}">
          <x15:cacheHierarchy aggregatedColumn="73"/>
        </ext>
      </extLst>
    </cacheHierarchy>
  </cacheHierarchies>
  <kpis count="0"/>
  <dimensions count="9">
    <dimension name="DataTable" uniqueName="[DataTable]" caption="DataTable"/>
    <dimension name="DataTable  Gender   Q5  Post-COVID" uniqueName="[DataTable  Gender   Q5  Post-COVID]" caption="DataTable  Gender   Q5  Post-COVID"/>
    <dimension name="DataTable1" uniqueName="[DataTable1]" caption="DataTable1"/>
    <dimension name="DataTable2" uniqueName="[DataTable2]" caption="DataTable2"/>
    <dimension name="DataTable3" uniqueName="[DataTable3]" caption="DataTable3"/>
    <dimension measure="1" name="Measures" uniqueName="[Measures]" caption="Measures"/>
    <dimension name="Table1" uniqueName="[Table1]" caption="Table1"/>
    <dimension name="Table1  Gender   Occupation  Post-COVID" uniqueName="[Table1  Gender   Occupation  Post-COVID]" caption="Table1  Gender   Occupation  Post-COVID"/>
    <dimension name="Table9" uniqueName="[Table9]" caption="Table9"/>
  </dimensions>
  <measureGroups count="8">
    <measureGroup name="DataTable" caption="DataTable"/>
    <measureGroup name="DataTable  Gender   Q5  Post-COVID" caption="DataTable  Gender   Q5  Post-COVID"/>
    <measureGroup name="DataTable1" caption="DataTable1"/>
    <measureGroup name="DataTable2" caption="DataTable2"/>
    <measureGroup name="DataTable3" caption="DataTable3"/>
    <measureGroup name="Table1" caption="Table1"/>
    <measureGroup name="Table1  Gender   Occupation  Post-COVID" caption="Table1  Gender   Occupation  Post-COVID"/>
    <measureGroup name="Table9" caption="Table9"/>
  </measureGroups>
  <maps count="9">
    <map measureGroup="0" dimension="0"/>
    <map measureGroup="1" dimension="1"/>
    <map measureGroup="2" dimension="2"/>
    <map measureGroup="3" dimension="3"/>
    <map measureGroup="4" dimension="4"/>
    <map measureGroup="5" dimension="6"/>
    <map measureGroup="5" dimension="8"/>
    <map measureGroup="6" dimension="7"/>
    <map measureGroup="7" dimension="8"/>
  </maps>
  <extLst>
    <ext xmlns:x14="http://schemas.microsoft.com/office/spreadsheetml/2009/9/main" uri="{725AE2AE-9491-48be-B2B4-4EB974FC3084}">
      <x14:pivotCacheDefinition pivotCacheId="120595504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x v="0"/>
    <x v="0"/>
    <x v="0"/>
    <x v="0"/>
    <x v="0"/>
  </r>
  <r>
    <x v="0"/>
    <x v="0"/>
    <x v="0"/>
    <x v="0"/>
    <x v="1"/>
  </r>
  <r>
    <x v="1"/>
    <x v="1"/>
    <x v="0"/>
    <x v="1"/>
    <x v="2"/>
  </r>
  <r>
    <x v="0"/>
    <x v="0"/>
    <x v="0"/>
    <x v="0"/>
    <x v="0"/>
  </r>
  <r>
    <x v="0"/>
    <x v="0"/>
    <x v="1"/>
    <x v="0"/>
    <x v="0"/>
  </r>
  <r>
    <x v="1"/>
    <x v="0"/>
    <x v="0"/>
    <x v="0"/>
    <x v="0"/>
  </r>
  <r>
    <x v="0"/>
    <x v="0"/>
    <x v="2"/>
    <x v="0"/>
    <x v="0"/>
  </r>
  <r>
    <x v="0"/>
    <x v="1"/>
    <x v="3"/>
    <x v="1"/>
    <x v="2"/>
  </r>
  <r>
    <x v="1"/>
    <x v="2"/>
    <x v="0"/>
    <x v="1"/>
    <x v="2"/>
  </r>
  <r>
    <x v="1"/>
    <x v="3"/>
    <x v="0"/>
    <x v="2"/>
    <x v="3"/>
  </r>
  <r>
    <x v="0"/>
    <x v="2"/>
    <x v="0"/>
    <x v="1"/>
    <x v="2"/>
  </r>
  <r>
    <x v="0"/>
    <x v="1"/>
    <x v="0"/>
    <x v="1"/>
    <x v="2"/>
  </r>
  <r>
    <x v="1"/>
    <x v="1"/>
    <x v="4"/>
    <x v="1"/>
    <x v="2"/>
  </r>
  <r>
    <x v="0"/>
    <x v="0"/>
    <x v="0"/>
    <x v="3"/>
    <x v="1"/>
  </r>
  <r>
    <x v="0"/>
    <x v="3"/>
    <x v="5"/>
    <x v="1"/>
    <x v="2"/>
  </r>
  <r>
    <x v="1"/>
    <x v="1"/>
    <x v="0"/>
    <x v="4"/>
    <x v="4"/>
  </r>
  <r>
    <x v="1"/>
    <x v="4"/>
    <x v="0"/>
    <x v="1"/>
    <x v="2"/>
  </r>
  <r>
    <x v="0"/>
    <x v="4"/>
    <x v="4"/>
    <x v="1"/>
    <x v="2"/>
  </r>
  <r>
    <x v="0"/>
    <x v="0"/>
    <x v="0"/>
    <x v="0"/>
    <x v="0"/>
  </r>
  <r>
    <x v="1"/>
    <x v="0"/>
    <x v="2"/>
    <x v="0"/>
    <x v="0"/>
  </r>
  <r>
    <x v="0"/>
    <x v="0"/>
    <x v="6"/>
    <x v="0"/>
    <x v="0"/>
  </r>
  <r>
    <x v="1"/>
    <x v="0"/>
    <x v="2"/>
    <x v="0"/>
    <x v="0"/>
  </r>
  <r>
    <x v="1"/>
    <x v="0"/>
    <x v="6"/>
    <x v="0"/>
    <x v="0"/>
  </r>
  <r>
    <x v="0"/>
    <x v="0"/>
    <x v="7"/>
    <x v="0"/>
    <x v="0"/>
  </r>
  <r>
    <x v="0"/>
    <x v="0"/>
    <x v="8"/>
    <x v="0"/>
    <x v="0"/>
  </r>
  <r>
    <x v="0"/>
    <x v="0"/>
    <x v="9"/>
    <x v="0"/>
    <x v="0"/>
  </r>
  <r>
    <x v="0"/>
    <x v="0"/>
    <x v="6"/>
    <x v="0"/>
    <x v="0"/>
  </r>
  <r>
    <x v="1"/>
    <x v="5"/>
    <x v="10"/>
    <x v="1"/>
    <x v="2"/>
  </r>
  <r>
    <x v="1"/>
    <x v="1"/>
    <x v="2"/>
    <x v="1"/>
    <x v="2"/>
  </r>
  <r>
    <x v="1"/>
    <x v="0"/>
    <x v="2"/>
    <x v="1"/>
    <x v="2"/>
  </r>
  <r>
    <x v="1"/>
    <x v="0"/>
    <x v="2"/>
    <x v="4"/>
    <x v="2"/>
  </r>
  <r>
    <x v="0"/>
    <x v="3"/>
    <x v="3"/>
    <x v="2"/>
    <x v="4"/>
  </r>
  <r>
    <x v="1"/>
    <x v="5"/>
    <x v="10"/>
    <x v="4"/>
    <x v="2"/>
  </r>
  <r>
    <x v="1"/>
    <x v="5"/>
    <x v="5"/>
    <x v="3"/>
    <x v="4"/>
  </r>
  <r>
    <x v="1"/>
    <x v="2"/>
    <x v="6"/>
    <x v="2"/>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x v="0"/>
    <s v="19 - 24"/>
    <s v="Lipa City"/>
    <x v="0"/>
    <s v="Student"/>
    <x v="0"/>
    <s v="School/Work at home"/>
    <s v="Tricycle"/>
    <s v="None"/>
    <s v="1 full trip"/>
    <s v="None"/>
    <s v="Less than 10 mins"/>
    <s v="No travel time"/>
    <s v="Above Average Satisfaction"/>
    <s v="Average Satisfaction"/>
  </r>
  <r>
    <x v="0"/>
    <s v="19 - 24"/>
    <s v="Lipa City"/>
    <x v="0"/>
    <s v="Part-time"/>
    <x v="1"/>
    <s v="1 km to 5 km"/>
    <s v="Tricycle"/>
    <s v="Bike"/>
    <s v="2-3 trips"/>
    <s v="1 full trip"/>
    <s v="10 - 30 mins"/>
    <s v="Less than 10 mins"/>
    <s v="Above Average Satisfaction"/>
    <s v="High Satisfaction"/>
  </r>
  <r>
    <x v="1"/>
    <s v="25 - 29"/>
    <s v="Lipa City"/>
    <x v="1"/>
    <s v="Full-time"/>
    <x v="2"/>
    <s v="School/Work at home"/>
    <s v="Tricycle"/>
    <s v="None"/>
    <s v="1 full trip"/>
    <s v="None"/>
    <s v="Less than 10 mins"/>
    <s v="No travel time"/>
    <s v="Above Average Satisfaction"/>
    <s v="Above Average Satisfaction"/>
  </r>
  <r>
    <x v="0"/>
    <s v="19 - 24"/>
    <s v="Lipa City"/>
    <x v="0"/>
    <s v="Student"/>
    <x v="0"/>
    <s v="School/Work at home"/>
    <s v="Tricycle"/>
    <s v="None"/>
    <s v="1 full trip"/>
    <s v="None"/>
    <s v="Less than 10 mins"/>
    <s v="No travel time"/>
    <s v="Average Satisfaction"/>
    <s v="Above Average Satisfaction"/>
  </r>
  <r>
    <x v="0"/>
    <s v="19 - 24"/>
    <s v="San Juan"/>
    <x v="0"/>
    <s v="Student"/>
    <x v="3"/>
    <s v="School/Work at home"/>
    <s v="Private Car"/>
    <s v="None"/>
    <s v="1 full trip"/>
    <s v="None"/>
    <s v="Less than 10 mins"/>
    <s v="No travel time"/>
    <s v="High Satisfaction"/>
    <s v="High Satisfaction"/>
  </r>
  <r>
    <x v="1"/>
    <s v="19 - 24"/>
    <s v="Lipa City"/>
    <x v="0"/>
    <s v="Student"/>
    <x v="1"/>
    <s v="More than 20 km"/>
    <s v="Bus"/>
    <s v="Private Car"/>
    <s v="2-3 trips"/>
    <s v="2-3 trips"/>
    <s v="1 - 2 hours"/>
    <s v="31 mins to 1 hour"/>
    <s v="Above Average Satisfaction"/>
    <s v="Average Satisfaction"/>
  </r>
  <r>
    <x v="0"/>
    <s v="19 - 24"/>
    <s v="Batangas City"/>
    <x v="0"/>
    <s v="Student"/>
    <x v="0"/>
    <s v="School/Work at home"/>
    <s v="Just Walking"/>
    <s v="None"/>
    <s v="1 full trip"/>
    <s v="None"/>
    <s v="Less than 10 mins"/>
    <s v="No travel time"/>
    <s v="High Satisfaction"/>
    <s v="Minimal Satisfaction"/>
  </r>
  <r>
    <x v="0"/>
    <s v="25 - 29"/>
    <s v="Cuenca"/>
    <x v="1"/>
    <s v="Full-time"/>
    <x v="1"/>
    <s v="More than 20 km"/>
    <s v="Jeepney"/>
    <s v="Jeepney"/>
    <s v="2-3 trips"/>
    <s v="2-3 trips"/>
    <s v="1 - 2 hours"/>
    <s v="1 - 2 hours"/>
    <s v="Above Average Satisfaction"/>
    <s v="Above Average Satisfaction"/>
  </r>
  <r>
    <x v="1"/>
    <s v="40 - 44"/>
    <s v="Lipa City"/>
    <x v="1"/>
    <s v="Full-time"/>
    <x v="0"/>
    <s v="1 km to 5 km"/>
    <s v="Tricycle"/>
    <s v="Private Car"/>
    <s v="1 full trip"/>
    <s v="None"/>
    <s v="Less than 10 mins"/>
    <s v="No travel time"/>
    <s v="Above Average Satisfaction"/>
    <s v="Low Satisfaction"/>
  </r>
  <r>
    <x v="1"/>
    <s v="45 - 49"/>
    <s v="Lipa City"/>
    <x v="2"/>
    <s v="Unemployed, not looking for work"/>
    <x v="4"/>
    <s v="School/Work at home"/>
    <s v="None"/>
    <s v="None"/>
    <s v="None"/>
    <s v="None"/>
    <s v="No travel time"/>
    <s v="No travel time"/>
    <s v="Average Satisfaction"/>
    <s v="Average Satisfaction"/>
  </r>
  <r>
    <x v="0"/>
    <s v="40 - 44"/>
    <s v="Lipa City"/>
    <x v="1"/>
    <s v="Full-time"/>
    <x v="0"/>
    <s v="1 km to 5 km"/>
    <s v="Bike"/>
    <s v="Bike"/>
    <s v="1 full trip"/>
    <s v="1 full trip"/>
    <s v="10 - 30 mins"/>
    <s v="10 - 30 mins"/>
    <s v="High Satisfaction"/>
    <s v="High Satisfaction"/>
  </r>
  <r>
    <x v="0"/>
    <s v="25 - 29"/>
    <s v="Lipa City"/>
    <x v="1"/>
    <s v="Full-time"/>
    <x v="3"/>
    <s v="1 km to 5 km"/>
    <s v="Just Walking"/>
    <s v="Tricycle"/>
    <s v="None"/>
    <s v="1 full trip"/>
    <s v="Less than 10 mins"/>
    <s v="10 - 30 mins"/>
    <s v="High Satisfaction"/>
    <s v="Above Average Satisfaction"/>
  </r>
  <r>
    <x v="1"/>
    <s v="25 - 29"/>
    <s v="Ibaan"/>
    <x v="1"/>
    <s v="Full-time"/>
    <x v="3"/>
    <s v="6 km to 10 km"/>
    <s v="Just Walking"/>
    <s v="Motorcycle"/>
    <s v="1 full trip"/>
    <s v="1 full trip"/>
    <s v="Less than 10 mins"/>
    <s v="Less than 10 mins"/>
    <s v="Above Average Satisfaction"/>
    <s v="Above Average Satisfaction"/>
  </r>
  <r>
    <x v="0"/>
    <s v="19 - 24"/>
    <s v="Lipa City"/>
    <x v="3"/>
    <s v="Part-time"/>
    <x v="4"/>
    <s v="School/Work at home"/>
    <s v="None"/>
    <s v="None"/>
    <s v="None"/>
    <s v="None"/>
    <s v="No travel time"/>
    <s v="No travel time"/>
    <s v="Above Average Satisfaction"/>
    <s v="Low Satisfaction"/>
  </r>
  <r>
    <x v="0"/>
    <s v="45 - 49"/>
    <s v="Rosario"/>
    <x v="1"/>
    <s v="Full-time"/>
    <x v="5"/>
    <s v="16 km to 20 km"/>
    <s v="Jeepney"/>
    <s v="Jeepney"/>
    <s v="2-3 trips"/>
    <s v="2-3 trips"/>
    <s v="1 - 2 hours"/>
    <s v="1 - 2 hours"/>
    <s v="Above Average Satisfaction"/>
    <s v="Minimal Satisfaction"/>
  </r>
  <r>
    <x v="1"/>
    <s v="25 - 29"/>
    <s v="Lipa City"/>
    <x v="4"/>
    <s v="Unemployed, looking for work"/>
    <x v="4"/>
    <s v="School/Work at home"/>
    <s v="None"/>
    <s v="None"/>
    <s v="None"/>
    <s v="None"/>
    <s v="No travel time"/>
    <s v="No travel time"/>
    <s v="Minimal Satisfaction"/>
    <s v="Minimal Satisfaction"/>
  </r>
  <r>
    <x v="1"/>
    <s v="35 - 39"/>
    <s v="Lipa City"/>
    <x v="1"/>
    <s v="Full-time"/>
    <x v="4"/>
    <s v="School/Work at home"/>
    <s v="None"/>
    <s v="None"/>
    <s v="None"/>
    <s v="None"/>
    <s v="No travel time"/>
    <s v="No travel time"/>
    <s v="High Satisfaction"/>
    <s v="High Satisfaction"/>
  </r>
  <r>
    <x v="0"/>
    <s v="35 - 39"/>
    <s v="Ibaan"/>
    <x v="1"/>
    <s v="Full-time"/>
    <x v="4"/>
    <s v="School/Work at home"/>
    <s v="None"/>
    <s v="None"/>
    <s v="None"/>
    <s v="None"/>
    <s v="No travel time"/>
    <s v="No travel time"/>
    <s v="Average Satisfaction"/>
    <s v="Average Satisfaction"/>
  </r>
  <r>
    <x v="0"/>
    <s v="19 - 24"/>
    <s v="Lipa City"/>
    <x v="0"/>
    <s v="Student"/>
    <x v="2"/>
    <s v="School/Work at home"/>
    <s v="Jeepney"/>
    <s v="None"/>
    <s v="1 full trip"/>
    <s v="None"/>
    <s v="10 - 30 mins"/>
    <s v="No travel time"/>
    <s v="Average Satisfaction"/>
    <s v="Low Satisfaction"/>
  </r>
  <r>
    <x v="1"/>
    <s v="19 - 24"/>
    <s v="Batangas City"/>
    <x v="0"/>
    <s v="Student"/>
    <x v="6"/>
    <s v="11 km to 15 km"/>
    <s v="Jeepney"/>
    <s v="Private Car"/>
    <s v="2-3 trips"/>
    <s v="1 full trip"/>
    <s v="31 mins to 1 hour"/>
    <s v="31 mins to 1 hour"/>
    <s v="Above Average Satisfaction"/>
    <s v="Average Satisfaction"/>
  </r>
  <r>
    <x v="0"/>
    <s v="19 - 24"/>
    <s v="Alitagtag"/>
    <x v="0"/>
    <s v="Student"/>
    <x v="6"/>
    <s v="School/Work at home"/>
    <s v="Jeepney"/>
    <s v="Private Car"/>
    <s v="1 full trip"/>
    <s v="None"/>
    <s v="31 mins to 1 hour"/>
    <s v="10 - 30 mins"/>
    <s v="Average Satisfaction"/>
    <s v="Minimal Satisfaction"/>
  </r>
  <r>
    <x v="1"/>
    <s v="19 - 24"/>
    <s v="Batangas City"/>
    <x v="0"/>
    <s v="Student"/>
    <x v="0"/>
    <s v="School/Work at home"/>
    <s v="Jeepney"/>
    <s v="None"/>
    <s v="2-3 trips"/>
    <s v="None"/>
    <s v="31 mins to 1 hour"/>
    <s v="No travel time"/>
    <s v="Above Average Satisfaction"/>
    <s v="Low Satisfaction"/>
  </r>
  <r>
    <x v="1"/>
    <s v="19 - 24"/>
    <s v="Alitagtag"/>
    <x v="0"/>
    <s v="Student"/>
    <x v="1"/>
    <s v="School/Work at home"/>
    <s v="Just Walking"/>
    <s v="None"/>
    <s v="1 full trip"/>
    <s v="None"/>
    <s v="Less than 10 mins"/>
    <s v="No travel time"/>
    <s v="Above Average Satisfaction"/>
    <s v="Minimal Satisfaction"/>
  </r>
  <r>
    <x v="0"/>
    <s v="19 - 24"/>
    <s v="Taysan"/>
    <x v="0"/>
    <s v="Student"/>
    <x v="6"/>
    <s v="11 km to 15 km"/>
    <s v="Jeepney"/>
    <s v="Jeepney"/>
    <s v="2-3 trips"/>
    <s v="2-3 trips"/>
    <s v="31 mins to 1 hour"/>
    <s v="31 mins to 1 hour"/>
    <s v="Above Average Satisfaction"/>
    <s v="Average Satisfaction"/>
  </r>
  <r>
    <x v="0"/>
    <s v="19 - 24"/>
    <s v="Santa Teresita"/>
    <x v="0"/>
    <s v="Student"/>
    <x v="4"/>
    <s v="School/Work at home"/>
    <s v="None"/>
    <s v="None"/>
    <s v="None"/>
    <s v="None"/>
    <s v="No travel time"/>
    <s v="No travel time"/>
    <s v="Average Satisfaction"/>
    <s v="Average Satisfaction"/>
  </r>
  <r>
    <x v="0"/>
    <s v="19 - 24"/>
    <s v="San Jose"/>
    <x v="0"/>
    <s v="Student"/>
    <x v="1"/>
    <s v="More than 20 km"/>
    <s v="Jeepney"/>
    <s v="Motorcycle"/>
    <s v="2-3 trips"/>
    <s v="1 full trip"/>
    <s v="10 - 30 mins"/>
    <s v="10 - 30 mins"/>
    <s v="Average Satisfaction"/>
    <s v="High Satisfaction"/>
  </r>
  <r>
    <x v="0"/>
    <s v="19 - 24"/>
    <s v="Alitagtag"/>
    <x v="0"/>
    <s v="Student"/>
    <x v="1"/>
    <s v="More than 20 km"/>
    <s v="Jeepney"/>
    <s v="Jeepney"/>
    <s v="2-3 trips"/>
    <s v="More than 4 trips"/>
    <s v="31 mins to 1 hour"/>
    <s v="1 - 2 hours"/>
    <s v="Average Satisfaction"/>
    <s v="Average Satisfaction"/>
  </r>
  <r>
    <x v="1"/>
    <s v="30 - 34"/>
    <s v="Tanauan"/>
    <x v="1"/>
    <s v="Full-time"/>
    <x v="5"/>
    <s v="16 km to 20 km"/>
    <s v="Jeepney"/>
    <s v="Jeepney"/>
    <s v="2-3 trips"/>
    <s v="2-3 trips"/>
    <s v="1 - 2 hours"/>
    <s v="1 - 2 hours"/>
    <s v="Above Average Satisfaction"/>
    <s v="Above Average Satisfaction"/>
  </r>
  <r>
    <x v="1"/>
    <s v="25 - 29"/>
    <s v="Batangas City"/>
    <x v="1"/>
    <s v="Full-time"/>
    <x v="5"/>
    <s v="School/Work at home"/>
    <s v="Private Car"/>
    <s v="Private Car"/>
    <s v="1 full trip"/>
    <s v="None"/>
    <s v="1 - 2 hours"/>
    <s v="1 - 2 hours"/>
    <s v="Average Satisfaction"/>
    <s v="High Satisfaction"/>
  </r>
  <r>
    <x v="1"/>
    <s v="19 - 24"/>
    <s v="Batangas City"/>
    <x v="1"/>
    <s v="Full-time"/>
    <x v="0"/>
    <s v="School/Work at home"/>
    <s v="Jeepney"/>
    <s v="None"/>
    <s v="1 full trip"/>
    <s v="None"/>
    <s v="10 - 30 mins"/>
    <s v="No travel time"/>
    <s v="Average Satisfaction"/>
    <s v="Low Satisfaction"/>
  </r>
  <r>
    <x v="1"/>
    <s v="19 - 24"/>
    <s v="Batangas City"/>
    <x v="4"/>
    <s v="Full-time"/>
    <x v="0"/>
    <s v="School/Work at home"/>
    <s v="Private Car"/>
    <s v="None"/>
    <s v="2-3 trips"/>
    <s v="None"/>
    <s v="10 - 30 mins"/>
    <s v="No travel time"/>
    <s v="Low Satisfaction"/>
    <s v="High Satisfaction"/>
  </r>
  <r>
    <x v="0"/>
    <s v="45 - 49"/>
    <s v="Cuenca"/>
    <x v="2"/>
    <s v="Unemployed, looking for work"/>
    <x v="4"/>
    <s v="School/Work at home"/>
    <s v="None"/>
    <s v="None"/>
    <s v="None"/>
    <s v="None"/>
    <s v="No travel time"/>
    <s v="No travel time"/>
    <s v="Average Satisfaction"/>
    <s v="Average Satisfaction"/>
  </r>
  <r>
    <x v="1"/>
    <s v="30 - 34"/>
    <s v="Tanauan"/>
    <x v="4"/>
    <s v="Full-time"/>
    <x v="4"/>
    <s v="School/Work at home"/>
    <s v="None"/>
    <s v="None"/>
    <s v="None"/>
    <s v="None"/>
    <s v="No travel time"/>
    <s v="No travel time"/>
    <s v="Average Satisfaction"/>
    <s v="Average Satisfaction"/>
  </r>
  <r>
    <x v="1"/>
    <s v="30 - 34"/>
    <s v="Rosario"/>
    <x v="3"/>
    <s v="Unemployed, looking for work"/>
    <x v="0"/>
    <s v="School/Work at home"/>
    <s v="Motorcycle"/>
    <s v="None"/>
    <s v="1 full trip"/>
    <s v="None"/>
    <s v="Less than 10 mins"/>
    <s v="No travel time"/>
    <s v="Above Average Satisfaction"/>
    <s v="Average Satisfaction"/>
  </r>
  <r>
    <x v="1"/>
    <s v="40 - 44"/>
    <s v="Alitagtag"/>
    <x v="2"/>
    <s v="Part-time"/>
    <x v="4"/>
    <s v="Less than 1 km"/>
    <s v="None"/>
    <s v="Just Walking"/>
    <s v="None"/>
    <s v="1 full trip"/>
    <s v="No travel time"/>
    <s v="Less than 10 mins"/>
    <s v="Average Satisfaction"/>
    <s v="Average Satisfaction"/>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n v="1"/>
    <m/>
    <x v="0"/>
    <x v="0"/>
    <s v="Lipa City"/>
    <s v="Student"/>
    <s v="Student"/>
    <x v="0"/>
    <s v="School/Work at home"/>
    <s v="Tricycle"/>
    <s v="None"/>
    <s v="1 full trip"/>
    <s v="None"/>
    <s v="Less than 10 mins"/>
    <s v="No travel time"/>
    <s v="Above Average Satisfaction"/>
    <s v="Average Satisfaction"/>
  </r>
  <r>
    <n v="2"/>
    <m/>
    <x v="0"/>
    <x v="0"/>
    <s v="Lipa City"/>
    <s v="Student"/>
    <s v="Part-time"/>
    <x v="1"/>
    <s v="1 km to 5 km"/>
    <s v="Tricycle"/>
    <s v="Bike"/>
    <s v="2-3 trips"/>
    <s v="1 full trip"/>
    <s v="10 - 30 mins"/>
    <s v="Less than 10 mins"/>
    <s v="Above Average Satisfaction"/>
    <s v="High Satisfaction"/>
  </r>
  <r>
    <n v="3"/>
    <m/>
    <x v="1"/>
    <x v="1"/>
    <s v="Lipa City"/>
    <s v="Full-time"/>
    <s v="Full-time"/>
    <x v="2"/>
    <s v="School/Work at home"/>
    <s v="Tricycle"/>
    <s v="None"/>
    <s v="1 full trip"/>
    <s v="None"/>
    <s v="Less than 10 mins"/>
    <s v="No travel time"/>
    <s v="Above Average Satisfaction"/>
    <s v="Above Average Satisfaction"/>
  </r>
  <r>
    <n v="4"/>
    <m/>
    <x v="0"/>
    <x v="0"/>
    <s v="Lipa City"/>
    <s v="Student"/>
    <s v="Student"/>
    <x v="0"/>
    <s v="School/Work at home"/>
    <s v="Tricycle"/>
    <s v="None"/>
    <s v="1 full trip"/>
    <s v="None"/>
    <s v="Less than 10 mins"/>
    <s v="No travel time"/>
    <s v="Average Satisfaction"/>
    <s v="Above Average Satisfaction"/>
  </r>
  <r>
    <n v="5"/>
    <m/>
    <x v="0"/>
    <x v="0"/>
    <s v="San Juan"/>
    <s v="Student"/>
    <s v="Student"/>
    <x v="3"/>
    <s v="School/Work at home"/>
    <s v="Private Car"/>
    <s v="None"/>
    <s v="1 full trip"/>
    <s v="None"/>
    <s v="Less than 10 mins"/>
    <s v="No travel time"/>
    <s v="High Satisfaction"/>
    <s v="High Satisfaction"/>
  </r>
  <r>
    <n v="6"/>
    <m/>
    <x v="1"/>
    <x v="0"/>
    <s v="Lipa City"/>
    <s v="Student"/>
    <s v="Student"/>
    <x v="1"/>
    <s v="More than 20 km"/>
    <s v="Bus"/>
    <s v="Private Car"/>
    <s v="2-3 trips"/>
    <s v="2-3 trips"/>
    <s v="1 - 2 hours"/>
    <s v="31 mins to 1 hour"/>
    <s v="Above Average Satisfaction"/>
    <s v="Average Satisfaction"/>
  </r>
  <r>
    <n v="7"/>
    <m/>
    <x v="0"/>
    <x v="0"/>
    <s v="Batangas City"/>
    <s v="Student"/>
    <s v="Student"/>
    <x v="0"/>
    <s v="School/Work at home"/>
    <s v="Just Walking"/>
    <s v="None"/>
    <s v="1 full trip"/>
    <s v="None"/>
    <s v="Less than 10 mins"/>
    <s v="No travel time"/>
    <s v="High Satisfaction"/>
    <s v="Minimal Satisfaction"/>
  </r>
  <r>
    <n v="8"/>
    <s v="Jan amiel polintan"/>
    <x v="0"/>
    <x v="1"/>
    <s v="Cuenca"/>
    <s v="Full-time"/>
    <s v="Full-time"/>
    <x v="1"/>
    <s v="More than 20 km"/>
    <s v="Jeepney"/>
    <s v="Jeepney"/>
    <s v="2-3 trips"/>
    <s v="2-3 trips"/>
    <s v="1 - 2 hours"/>
    <s v="1 - 2 hours"/>
    <s v="Above Average Satisfaction"/>
    <s v="Above Average Satisfaction"/>
  </r>
  <r>
    <n v="9"/>
    <s v="Sherrie"/>
    <x v="1"/>
    <x v="2"/>
    <s v="Lipa City"/>
    <s v="Full-time"/>
    <s v="Full-time"/>
    <x v="0"/>
    <s v="1 km to 5 km"/>
    <s v="Tricycle"/>
    <s v="Private Car"/>
    <s v="1 full trip"/>
    <s v="None"/>
    <s v="Less than 10 mins"/>
    <s v="No travel time"/>
    <s v="Above Average Satisfaction"/>
    <s v="Low Satisfaction"/>
  </r>
  <r>
    <n v="10"/>
    <s v="beth canonigo"/>
    <x v="1"/>
    <x v="3"/>
    <s v="Lipa City"/>
    <s v="Unemployed, not looking for work"/>
    <s v="Unemployed, not looking for work"/>
    <x v="4"/>
    <s v="School/Work at home"/>
    <s v="None"/>
    <s v="None"/>
    <s v="None"/>
    <s v="None"/>
    <s v="No travel time"/>
    <s v="No travel time"/>
    <s v="Average Satisfaction"/>
    <s v="Average Satisfaction"/>
  </r>
  <r>
    <n v="11"/>
    <s v="Andy"/>
    <x v="0"/>
    <x v="2"/>
    <s v="Lipa City"/>
    <s v="Full-time"/>
    <s v="Full-time"/>
    <x v="0"/>
    <s v="1 km to 5 km"/>
    <s v="Bike"/>
    <s v="Bike"/>
    <s v="1 full trip"/>
    <s v="1 full trip"/>
    <s v="10 - 30 mins"/>
    <s v="10 - 30 mins"/>
    <s v="High Satisfaction"/>
    <s v="High Satisfaction"/>
  </r>
  <r>
    <n v="12"/>
    <m/>
    <x v="0"/>
    <x v="1"/>
    <s v="Lipa City"/>
    <s v="Full-time"/>
    <s v="Full-time"/>
    <x v="3"/>
    <s v="1 km to 5 km"/>
    <s v="Just Walking"/>
    <s v="Tricycle"/>
    <s v="None"/>
    <s v="1 full trip"/>
    <s v="Less than 10 mins"/>
    <s v="10 - 30 mins"/>
    <s v="High Satisfaction"/>
    <s v="Above Average Satisfaction"/>
  </r>
  <r>
    <n v="13"/>
    <m/>
    <x v="1"/>
    <x v="1"/>
    <s v="Ibaan"/>
    <s v="Full-time"/>
    <s v="Full-time"/>
    <x v="3"/>
    <s v="6 km to 10 km"/>
    <s v="Just Walking"/>
    <s v="Motorcycle"/>
    <s v="1 full trip"/>
    <s v="1 full trip"/>
    <s v="Less than 10 mins"/>
    <s v="Less than 10 mins"/>
    <s v="Above Average Satisfaction"/>
    <s v="Above Average Satisfaction"/>
  </r>
  <r>
    <n v="14"/>
    <s v="Niejel"/>
    <x v="0"/>
    <x v="0"/>
    <s v="Lipa City"/>
    <s v="Part-time"/>
    <s v="Part-time"/>
    <x v="4"/>
    <s v="School/Work at home"/>
    <s v="None"/>
    <s v="None"/>
    <s v="None"/>
    <s v="None"/>
    <s v="No travel time"/>
    <s v="No travel time"/>
    <s v="Above Average Satisfaction"/>
    <s v="Low Satisfaction"/>
  </r>
  <r>
    <n v="15"/>
    <s v="Renz"/>
    <x v="0"/>
    <x v="3"/>
    <s v="Rosario"/>
    <s v="Full-time"/>
    <s v="Full-time"/>
    <x v="5"/>
    <s v="16 km to 20 km"/>
    <s v="Jeepney"/>
    <s v="Jeepney"/>
    <s v="2-3 trips"/>
    <s v="2-3 trips"/>
    <s v="1 - 2 hours"/>
    <s v="1 - 2 hours"/>
    <s v="Above Average Satisfaction"/>
    <s v="Minimal Satisfaction"/>
  </r>
  <r>
    <n v="16"/>
    <m/>
    <x v="1"/>
    <x v="1"/>
    <s v="Lipa City"/>
    <s v="Unemployed, looking for work"/>
    <s v="Unemployed, looking for work"/>
    <x v="4"/>
    <s v="School/Work at home"/>
    <s v="None"/>
    <s v="None"/>
    <s v="None"/>
    <s v="None"/>
    <s v="No travel time"/>
    <s v="No travel time"/>
    <s v="Minimal Satisfaction"/>
    <s v="Minimal Satisfaction"/>
  </r>
  <r>
    <n v="17"/>
    <m/>
    <x v="1"/>
    <x v="4"/>
    <s v="Lipa City"/>
    <s v="Full-time"/>
    <s v="Full-time"/>
    <x v="4"/>
    <s v="School/Work at home"/>
    <s v="None"/>
    <s v="None"/>
    <s v="None"/>
    <s v="None"/>
    <s v="No travel time"/>
    <s v="No travel time"/>
    <s v="High Satisfaction"/>
    <s v="High Satisfaction"/>
  </r>
  <r>
    <n v="18"/>
    <m/>
    <x v="0"/>
    <x v="4"/>
    <s v="Ibaan"/>
    <s v="Full-time"/>
    <s v="Full-time"/>
    <x v="4"/>
    <s v="School/Work at home"/>
    <s v="None"/>
    <s v="None"/>
    <s v="None"/>
    <s v="None"/>
    <s v="No travel time"/>
    <s v="No travel time"/>
    <s v="Average Satisfaction"/>
    <s v="Average Satisfaction"/>
  </r>
  <r>
    <n v="19"/>
    <m/>
    <x v="0"/>
    <x v="0"/>
    <s v="Lipa City"/>
    <s v="Student"/>
    <s v="Student"/>
    <x v="2"/>
    <s v="School/Work at home"/>
    <s v="Jeepney"/>
    <s v="None"/>
    <s v="1 full trip"/>
    <s v="None"/>
    <s v="10 - 30 mins"/>
    <s v="No travel time"/>
    <s v="Average Satisfaction"/>
    <s v="Low Satisfaction"/>
  </r>
  <r>
    <n v="20"/>
    <m/>
    <x v="1"/>
    <x v="0"/>
    <s v="Batangas City"/>
    <s v="Student"/>
    <s v="Student"/>
    <x v="6"/>
    <s v="11 km to 15 km"/>
    <s v="Jeepney"/>
    <s v="Private Car"/>
    <s v="2-3 trips"/>
    <s v="1 full trip"/>
    <s v="31 mins to 1 hour"/>
    <s v="31 mins to 1 hour"/>
    <s v="Above Average Satisfaction"/>
    <s v="Average Satisfaction"/>
  </r>
  <r>
    <n v="21"/>
    <s v="Russel"/>
    <x v="0"/>
    <x v="0"/>
    <s v="Alitagtag"/>
    <s v="Student"/>
    <s v="Student"/>
    <x v="6"/>
    <s v="School/Work at home"/>
    <s v="Jeepney"/>
    <s v="Private Car"/>
    <s v="1 full trip"/>
    <s v="None"/>
    <s v="31 mins to 1 hour"/>
    <s v="10 - 30 mins"/>
    <s v="Average Satisfaction"/>
    <s v="Minimal Satisfaction"/>
  </r>
  <r>
    <n v="22"/>
    <m/>
    <x v="1"/>
    <x v="0"/>
    <s v="Batangas City"/>
    <s v="Student"/>
    <s v="Student"/>
    <x v="0"/>
    <s v="School/Work at home"/>
    <s v="Jeepney"/>
    <s v="None"/>
    <s v="2-3 trips"/>
    <s v="None"/>
    <s v="31 mins to 1 hour"/>
    <s v="No travel time"/>
    <s v="Above Average Satisfaction"/>
    <s v="Low Satisfaction"/>
  </r>
  <r>
    <n v="23"/>
    <s v="Trixia"/>
    <x v="1"/>
    <x v="0"/>
    <s v="Alitagtag"/>
    <s v="Student"/>
    <s v="Student"/>
    <x v="1"/>
    <s v="School/Work at home"/>
    <s v="Just Walking"/>
    <s v="None"/>
    <s v="1 full trip"/>
    <s v="None"/>
    <s v="Less than 10 mins"/>
    <s v="No travel time"/>
    <s v="Above Average Satisfaction"/>
    <s v="Minimal Satisfaction"/>
  </r>
  <r>
    <n v="24"/>
    <s v="Ace Ashley A Tubig"/>
    <x v="0"/>
    <x v="0"/>
    <s v="Taysan"/>
    <s v="Student"/>
    <s v="Student"/>
    <x v="6"/>
    <s v="11 km to 15 km"/>
    <s v="Jeepney"/>
    <s v="Jeepney"/>
    <s v="2-3 trips"/>
    <s v="2-3 trips"/>
    <s v="31 mins to 1 hour"/>
    <s v="31 mins to 1 hour"/>
    <s v="Above Average Satisfaction"/>
    <s v="Average Satisfaction"/>
  </r>
  <r>
    <n v="25"/>
    <m/>
    <x v="0"/>
    <x v="0"/>
    <s v="Santa Teresita"/>
    <s v="Student"/>
    <s v="Student"/>
    <x v="4"/>
    <s v="School/Work at home"/>
    <s v="None"/>
    <s v="None"/>
    <s v="None"/>
    <s v="None"/>
    <s v="No travel time"/>
    <s v="No travel time"/>
    <s v="Average Satisfaction"/>
    <s v="Average Satisfaction"/>
  </r>
  <r>
    <n v="26"/>
    <m/>
    <x v="0"/>
    <x v="0"/>
    <s v="San Jose"/>
    <s v="Student"/>
    <s v="Student"/>
    <x v="1"/>
    <s v="More than 20 km"/>
    <s v="Jeepney"/>
    <s v="Motorcycle"/>
    <s v="2-3 trips"/>
    <s v="1 full trip"/>
    <s v="10 - 30 mins"/>
    <s v="10 - 30 mins"/>
    <s v="Average Satisfaction"/>
    <s v="High Satisfaction"/>
  </r>
  <r>
    <n v="27"/>
    <m/>
    <x v="0"/>
    <x v="0"/>
    <s v="Alitagtag"/>
    <s v="Student"/>
    <s v="Student"/>
    <x v="1"/>
    <s v="More than 20 km"/>
    <s v="Jeepney"/>
    <s v="Jeepney"/>
    <s v="2-3 trips"/>
    <s v="More than 4 trips"/>
    <s v="31 mins to 1 hour"/>
    <s v="1 - 2 hours"/>
    <s v="Average Satisfaction"/>
    <s v="Average Satisfaction"/>
  </r>
  <r>
    <n v="28"/>
    <m/>
    <x v="1"/>
    <x v="5"/>
    <s v="Tanauan"/>
    <s v="Full-time"/>
    <s v="Full-time"/>
    <x v="5"/>
    <s v="16 km to 20 km"/>
    <s v="Jeepney"/>
    <s v="Jeepney"/>
    <s v="2-3 trips"/>
    <s v="2-3 trips"/>
    <s v="1 - 2 hours"/>
    <s v="1 - 2 hours"/>
    <s v="Above Average Satisfaction"/>
    <s v="Above Average Satisfaction"/>
  </r>
  <r>
    <n v="29"/>
    <s v="Bea"/>
    <x v="1"/>
    <x v="1"/>
    <s v="Batangas City"/>
    <s v="Full-time"/>
    <s v="Full-time"/>
    <x v="5"/>
    <s v="School/Work at home"/>
    <s v="Private Car"/>
    <s v="Private Car"/>
    <s v="1 full trip"/>
    <s v="None"/>
    <s v="1 - 2 hours"/>
    <s v="1 - 2 hours"/>
    <s v="Average Satisfaction"/>
    <s v="High Satisfaction"/>
  </r>
  <r>
    <n v="30"/>
    <s v="Marya Mikaela Arguelles"/>
    <x v="1"/>
    <x v="0"/>
    <s v="Batangas City"/>
    <s v="Full-time"/>
    <s v="Full-time"/>
    <x v="0"/>
    <s v="School/Work at home"/>
    <s v="Jeepney"/>
    <s v="None"/>
    <s v="1 full trip"/>
    <s v="None"/>
    <s v="10 - 30 mins"/>
    <s v="No travel time"/>
    <s v="Average Satisfaction"/>
    <s v="Low Satisfaction"/>
  </r>
  <r>
    <n v="31"/>
    <m/>
    <x v="1"/>
    <x v="0"/>
    <s v="Batangas City"/>
    <s v="Unemployed, looking for work"/>
    <s v="Full-time"/>
    <x v="0"/>
    <s v="School/Work at home"/>
    <s v="Private Car"/>
    <s v="None"/>
    <s v="2-3 trips"/>
    <s v="None"/>
    <s v="10 - 30 mins"/>
    <s v="No travel time"/>
    <s v="Low Satisfaction"/>
    <s v="High Satisfaction"/>
  </r>
  <r>
    <n v="32"/>
    <m/>
    <x v="0"/>
    <x v="3"/>
    <s v="Cuenca"/>
    <s v="Unemployed, not looking for work"/>
    <s v="Unemployed, looking for work"/>
    <x v="4"/>
    <s v="School/Work at home"/>
    <s v="None"/>
    <s v="None"/>
    <s v="None"/>
    <s v="None"/>
    <s v="No travel time"/>
    <s v="No travel time"/>
    <s v="Average Satisfaction"/>
    <s v="Average Satisfaction"/>
  </r>
  <r>
    <n v="33"/>
    <m/>
    <x v="1"/>
    <x v="5"/>
    <s v="Tanauan"/>
    <s v="Unemployed, looking for work"/>
    <s v="Full-time"/>
    <x v="4"/>
    <s v="School/Work at home"/>
    <s v="None"/>
    <s v="None"/>
    <s v="None"/>
    <s v="None"/>
    <s v="No travel time"/>
    <s v="No travel time"/>
    <s v="Average Satisfaction"/>
    <s v="Average Satisfaction"/>
  </r>
  <r>
    <n v="34"/>
    <m/>
    <x v="1"/>
    <x v="5"/>
    <s v="Rosario"/>
    <s v="Part-time"/>
    <s v="Unemployed, looking for work"/>
    <x v="0"/>
    <s v="School/Work at home"/>
    <s v="Motorcycle"/>
    <s v="None"/>
    <s v="1 full trip"/>
    <s v="None"/>
    <s v="Less than 10 mins"/>
    <s v="No travel time"/>
    <s v="Above Average Satisfaction"/>
    <s v="Average Satisfaction"/>
  </r>
  <r>
    <n v="35"/>
    <m/>
    <x v="1"/>
    <x v="2"/>
    <s v="Alitagtag"/>
    <s v="Unemployed, not looking for work"/>
    <s v="Part-time"/>
    <x v="4"/>
    <s v="Less than 1 km"/>
    <s v="None"/>
    <s v="Just Walking"/>
    <s v="None"/>
    <s v="1 full trip"/>
    <s v="No travel time"/>
    <s v="Less than 10 mins"/>
    <s v="Average Satisfaction"/>
    <s v="Average Satisfaction"/>
  </r>
  <r>
    <n v="36"/>
    <m/>
    <x v="2"/>
    <x v="6"/>
    <m/>
    <m/>
    <m/>
    <x v="7"/>
    <m/>
    <m/>
    <m/>
    <m/>
    <m/>
    <m/>
    <m/>
    <m/>
    <m/>
  </r>
  <r>
    <n v="37"/>
    <m/>
    <x v="2"/>
    <x v="6"/>
    <m/>
    <m/>
    <m/>
    <x v="7"/>
    <m/>
    <m/>
    <m/>
    <m/>
    <m/>
    <m/>
    <m/>
    <m/>
    <m/>
  </r>
  <r>
    <n v="38"/>
    <m/>
    <x v="2"/>
    <x v="6"/>
    <m/>
    <m/>
    <m/>
    <x v="7"/>
    <m/>
    <m/>
    <m/>
    <m/>
    <m/>
    <m/>
    <m/>
    <m/>
    <m/>
  </r>
  <r>
    <n v="39"/>
    <m/>
    <x v="2"/>
    <x v="6"/>
    <m/>
    <m/>
    <m/>
    <x v="7"/>
    <m/>
    <m/>
    <m/>
    <m/>
    <m/>
    <m/>
    <m/>
    <m/>
    <m/>
  </r>
  <r>
    <n v="40"/>
    <m/>
    <x v="2"/>
    <x v="6"/>
    <m/>
    <m/>
    <m/>
    <x v="7"/>
    <m/>
    <m/>
    <m/>
    <m/>
    <m/>
    <m/>
    <m/>
    <m/>
    <m/>
  </r>
  <r>
    <n v="41"/>
    <m/>
    <x v="2"/>
    <x v="6"/>
    <m/>
    <m/>
    <m/>
    <x v="7"/>
    <m/>
    <m/>
    <m/>
    <m/>
    <m/>
    <m/>
    <m/>
    <m/>
    <m/>
  </r>
  <r>
    <n v="42"/>
    <m/>
    <x v="2"/>
    <x v="6"/>
    <m/>
    <m/>
    <m/>
    <x v="7"/>
    <m/>
    <m/>
    <m/>
    <m/>
    <m/>
    <m/>
    <m/>
    <m/>
    <m/>
  </r>
  <r>
    <n v="43"/>
    <m/>
    <x v="2"/>
    <x v="6"/>
    <m/>
    <m/>
    <m/>
    <x v="7"/>
    <m/>
    <m/>
    <m/>
    <m/>
    <m/>
    <m/>
    <m/>
    <m/>
    <m/>
  </r>
  <r>
    <n v="44"/>
    <m/>
    <x v="2"/>
    <x v="6"/>
    <m/>
    <m/>
    <m/>
    <x v="7"/>
    <m/>
    <m/>
    <m/>
    <m/>
    <m/>
    <m/>
    <m/>
    <m/>
    <m/>
  </r>
  <r>
    <n v="45"/>
    <m/>
    <x v="2"/>
    <x v="6"/>
    <m/>
    <m/>
    <m/>
    <x v="7"/>
    <m/>
    <m/>
    <m/>
    <m/>
    <m/>
    <m/>
    <m/>
    <m/>
    <m/>
  </r>
  <r>
    <n v="46"/>
    <m/>
    <x v="2"/>
    <x v="6"/>
    <m/>
    <m/>
    <m/>
    <x v="7"/>
    <m/>
    <m/>
    <m/>
    <m/>
    <m/>
    <m/>
    <m/>
    <m/>
    <m/>
  </r>
  <r>
    <n v="47"/>
    <m/>
    <x v="2"/>
    <x v="6"/>
    <m/>
    <m/>
    <m/>
    <x v="7"/>
    <m/>
    <m/>
    <m/>
    <m/>
    <m/>
    <m/>
    <m/>
    <m/>
    <m/>
  </r>
  <r>
    <n v="48"/>
    <m/>
    <x v="2"/>
    <x v="6"/>
    <m/>
    <m/>
    <m/>
    <x v="7"/>
    <m/>
    <m/>
    <m/>
    <m/>
    <m/>
    <m/>
    <m/>
    <m/>
    <m/>
  </r>
  <r>
    <n v="49"/>
    <m/>
    <x v="2"/>
    <x v="6"/>
    <m/>
    <m/>
    <m/>
    <x v="7"/>
    <m/>
    <m/>
    <m/>
    <m/>
    <m/>
    <m/>
    <m/>
    <m/>
    <m/>
  </r>
  <r>
    <n v="50"/>
    <m/>
    <x v="2"/>
    <x v="6"/>
    <m/>
    <m/>
    <m/>
    <x v="7"/>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ECDC20-C37C-4C22-A7D7-C00196B23137}" name="PivotChartTable5"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1:D30"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s>
  <rowFields count="2">
    <field x="1"/>
    <field x="2"/>
  </rowFields>
  <rowItems count="28">
    <i>
      <x/>
    </i>
    <i r="1">
      <x/>
    </i>
    <i>
      <x v="1"/>
    </i>
    <i r="1">
      <x v="1"/>
    </i>
    <i r="1">
      <x v="2"/>
    </i>
    <i>
      <x v="2"/>
    </i>
    <i r="1">
      <x v="3"/>
    </i>
    <i r="1">
      <x v="4"/>
    </i>
    <i>
      <x v="3"/>
    </i>
    <i r="1">
      <x v="5"/>
    </i>
    <i>
      <x v="4"/>
    </i>
    <i r="1">
      <x v="6"/>
    </i>
    <i>
      <x v="5"/>
    </i>
    <i r="1">
      <x v="6"/>
    </i>
    <i r="1">
      <x v="7"/>
    </i>
    <i r="1">
      <x/>
    </i>
    <i r="1">
      <x v="8"/>
    </i>
    <i>
      <x v="6"/>
    </i>
    <i r="1">
      <x v="6"/>
    </i>
    <i r="1">
      <x v="1"/>
    </i>
    <i r="1">
      <x v="7"/>
    </i>
    <i r="1">
      <x v="5"/>
    </i>
    <i r="1">
      <x/>
    </i>
    <i r="1">
      <x v="3"/>
    </i>
    <i r="1">
      <x v="9"/>
    </i>
    <i r="1">
      <x v="10"/>
    </i>
    <i r="1">
      <x v="4"/>
    </i>
    <i t="grand">
      <x/>
    </i>
  </rowItems>
  <colFields count="1">
    <field x="0"/>
  </colFields>
  <colItems count="3">
    <i>
      <x/>
    </i>
    <i>
      <x v="1"/>
    </i>
    <i t="grand">
      <x/>
    </i>
  </colItems>
  <dataFields count="1">
    <dataField name="Count of Gender" fld="3" subtotal="count" baseField="0" baseItem="0"/>
  </dataFields>
  <chartFormats count="5">
    <chartFormat chart="0" format="0" series="1">
      <pivotArea type="data" outline="0" fieldPosition="0">
        <references count="1">
          <reference field="0" count="1" selected="0">
            <x v="2"/>
          </reference>
        </references>
      </pivotArea>
    </chartFormat>
    <chartFormat chart="0" format="1" series="1">
      <pivotArea type="data" outline="0" fieldPosition="0">
        <references count="1">
          <reference field="0" count="1" selected="0">
            <x v="0"/>
          </reference>
        </references>
      </pivotArea>
    </chartFormat>
    <chartFormat chart="0" format="2" series="1">
      <pivotArea type="data" outline="0" fieldPosition="0">
        <references count="1">
          <reference field="0" count="1" selected="0">
            <x v="1"/>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2">
    <rowHierarchyUsage hierarchyUsage="8"/>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3" cacheId="1311393252">
        <x15:pivotRow count="3">
          <x15:c t="e">
            <x15:v/>
          </x15:c>
          <x15:c t="e">
            <x15:v/>
          </x15:c>
          <x15:c t="e">
            <x15:v/>
          </x15:c>
        </x15:pivotRow>
        <x15:pivotRow count="3">
          <x15:c>
            <x15:v>1</x15:v>
          </x15:c>
          <x15:c>
            <x15:v>3</x15:v>
          </x15:c>
          <x15:c>
            <x15:v>4</x15:v>
          </x15:c>
        </x15:pivotRow>
        <x15:pivotRow count="3">
          <x15:c t="e">
            <x15:v/>
          </x15:c>
          <x15:c t="e">
            <x15:v/>
          </x15:c>
          <x15:c t="e">
            <x15:v/>
          </x15:c>
        </x15:pivotRow>
        <x15:pivotRow count="3">
          <x15:c>
            <x15:v>1</x15:v>
          </x15:c>
          <x15:c t="e">
            <x15:v/>
          </x15:c>
          <x15:c>
            <x15:v>1</x15:v>
          </x15:c>
        </x15:pivotRow>
        <x15:pivotRow count="3">
          <x15:c t="e">
            <x15:v/>
          </x15:c>
          <x15:c>
            <x15:v>1</x15:v>
          </x15:c>
          <x15:c>
            <x15:v>1</x15:v>
          </x15:c>
        </x15:pivotRow>
        <x15:pivotRow count="3">
          <x15:c t="e">
            <x15:v/>
          </x15:c>
          <x15:c t="e">
            <x15:v/>
          </x15:c>
          <x15:c t="e">
            <x15:v/>
          </x15:c>
        </x15:pivotRow>
        <x15:pivotRow count="3">
          <x15:c t="e">
            <x15:v/>
          </x15:c>
          <x15:c>
            <x15:v>1</x15:v>
          </x15:c>
          <x15:c>
            <x15:v>1</x15:v>
          </x15:c>
        </x15:pivotRow>
        <x15:pivotRow count="3">
          <x15:c>
            <x15:v>1</x15:v>
          </x15:c>
          <x15:c t="e">
            <x15:v/>
          </x15:c>
          <x15:c>
            <x15:v>1</x15:v>
          </x15:c>
        </x15:pivotRow>
        <x15:pivotRow count="3">
          <x15:c t="e">
            <x15:v/>
          </x15:c>
          <x15:c t="e">
            <x15:v/>
          </x15:c>
          <x15:c t="e">
            <x15:v/>
          </x15:c>
        </x15:pivotRow>
        <x15:pivotRow count="3">
          <x15:c>
            <x15:v>1</x15:v>
          </x15:c>
          <x15:c t="e">
            <x15:v/>
          </x15:c>
          <x15:c>
            <x15:v>1</x15:v>
          </x15:c>
        </x15:pivotRow>
        <x15:pivotRow count="3">
          <x15:c t="e">
            <x15:v/>
          </x15:c>
          <x15:c t="e">
            <x15:v/>
          </x15:c>
          <x15:c t="e">
            <x15:v/>
          </x15:c>
        </x15:pivotRow>
        <x15:pivotRow count="3">
          <x15:c>
            <x15:v>1</x15:v>
          </x15:c>
          <x15:c t="e">
            <x15:v/>
          </x15:c>
          <x15:c>
            <x15:v>1</x15:v>
          </x15:c>
        </x15:pivotRow>
        <x15:pivotRow count="3">
          <x15:c t="e">
            <x15:v/>
          </x15:c>
          <x15:c t="e">
            <x15:v/>
          </x15:c>
          <x15:c t="e">
            <x15:v/>
          </x15:c>
        </x15:pivotRow>
        <x15:pivotRow count="3">
          <x15:c t="e">
            <x15:v/>
          </x15:c>
          <x15:c>
            <x15:v>1</x15:v>
          </x15:c>
          <x15:c>
            <x15:v>1</x15:v>
          </x15:c>
        </x15:pivotRow>
        <x15:pivotRow count="3">
          <x15:c t="e">
            <x15:v/>
          </x15:c>
          <x15:c>
            <x15:v>1</x15:v>
          </x15:c>
          <x15:c>
            <x15:v>1</x15:v>
          </x15:c>
        </x15:pivotRow>
        <x15:pivotRow count="3">
          <x15:c>
            <x15:v>1</x15:v>
          </x15:c>
          <x15:c t="e">
            <x15:v/>
          </x15:c>
          <x15:c>
            <x15:v>1</x15:v>
          </x15:c>
        </x15:pivotRow>
        <x15:pivotRow count="3">
          <x15:c t="e">
            <x15:v/>
          </x15:c>
          <x15:c>
            <x15:v>1</x15:v>
          </x15:c>
          <x15:c>
            <x15:v>1</x15:v>
          </x15:c>
        </x15:pivotRow>
        <x15:pivotRow count="3">
          <x15:c t="e">
            <x15:v/>
          </x15:c>
          <x15:c t="e">
            <x15:v/>
          </x15:c>
          <x15:c t="e">
            <x15:v/>
          </x15:c>
        </x15:pivotRow>
        <x15:pivotRow count="3">
          <x15:c>
            <x15:v>1</x15:v>
          </x15:c>
          <x15:c>
            <x15:v>1</x15:v>
          </x15:c>
          <x15:c>
            <x15:v>2</x15:v>
          </x15:c>
        </x15:pivotRow>
        <x15:pivotRow count="3">
          <x15:c>
            <x15:v>4</x15:v>
          </x15:c>
          <x15:c>
            <x15:v>1</x15:v>
          </x15:c>
          <x15:c>
            <x15:v>5</x15:v>
          </x15:c>
        </x15:pivotRow>
        <x15:pivotRow count="3">
          <x15:c t="e">
            <x15:v/>
          </x15:c>
          <x15:c>
            <x15:v>1</x15:v>
          </x15:c>
          <x15:c>
            <x15:v>1</x15:v>
          </x15:c>
        </x15:pivotRow>
        <x15:pivotRow count="3">
          <x15:c t="e">
            <x15:v/>
          </x15:c>
          <x15:c>
            <x15:v>1</x15:v>
          </x15:c>
          <x15:c>
            <x15:v>1</x15:v>
          </x15:c>
        </x15:pivotRow>
        <x15:pivotRow count="3">
          <x15:c>
            <x15:v>4</x15:v>
          </x15:c>
          <x15:c>
            <x15:v>4</x15:v>
          </x15:c>
          <x15:c>
            <x15:v>8</x15:v>
          </x15:c>
        </x15:pivotRow>
        <x15:pivotRow count="3">
          <x15:c>
            <x15:v>1</x15:v>
          </x15:c>
          <x15:c t="e">
            <x15:v/>
          </x15:c>
          <x15:c>
            <x15:v>1</x15:v>
          </x15:c>
        </x15:pivotRow>
        <x15:pivotRow count="3">
          <x15:c t="e">
            <x15:v/>
          </x15:c>
          <x15:c>
            <x15:v>1</x15:v>
          </x15:c>
          <x15:c>
            <x15:v>1</x15:v>
          </x15:c>
        </x15:pivotRow>
        <x15:pivotRow count="3">
          <x15:c t="e">
            <x15:v/>
          </x15:c>
          <x15:c>
            <x15:v>1</x15:v>
          </x15:c>
          <x15:c>
            <x15:v>1</x15:v>
          </x15:c>
        </x15:pivotRow>
        <x15:pivotRow count="3">
          <x15:c>
            <x15:v>1</x15:v>
          </x15:c>
          <x15:c t="e">
            <x15:v/>
          </x15:c>
          <x15:c>
            <x15:v>1</x15:v>
          </x15:c>
        </x15:pivotRow>
        <x15:pivotRow count="3">
          <x15:c>
            <x15:v>17</x15:v>
          </x15:c>
          <x15:c>
            <x15:v>18</x15:v>
          </x15:c>
          <x15:c>
            <x15:v>35</x15:v>
          </x15:c>
        </x15:pivotRow>
      </x15:pivotTableData>
    </ext>
    <ext xmlns:x15="http://schemas.microsoft.com/office/spreadsheetml/2010/11/main" uri="{E67621CE-5B39-4880-91FE-76760E9C1902}">
      <x15:pivotTableUISettings>
        <x15:activeTabTopLevelEntity name="[Data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A3C367-993A-4762-A4E9-3C73BF95B753}" name="PivotChartTable4"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D33" firstHeaderRow="1" firstDataRow="2" firstDataCol="1"/>
  <pivotFields count="4">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xis="axisCol" allDrilled="1" subtotalTop="0" showAll="0" dataSourceSort="1" defaultSubtotal="0" defaultAttributeDrillState="1">
      <items count="2">
        <item x="0"/>
        <item x="1"/>
      </items>
    </pivotField>
  </pivotFields>
  <rowFields count="2">
    <field x="0"/>
    <field x="1"/>
  </rowFields>
  <rowItems count="31">
    <i>
      <x/>
    </i>
    <i r="1">
      <x/>
    </i>
    <i r="1">
      <x v="1"/>
    </i>
    <i r="1">
      <x v="2"/>
    </i>
    <i>
      <x v="1"/>
    </i>
    <i r="1">
      <x v="3"/>
    </i>
    <i r="1">
      <x/>
    </i>
    <i r="1">
      <x v="4"/>
    </i>
    <i>
      <x v="2"/>
    </i>
    <i r="1">
      <x/>
    </i>
    <i r="1">
      <x v="2"/>
    </i>
    <i r="1">
      <x v="5"/>
    </i>
    <i>
      <x v="3"/>
    </i>
    <i r="1">
      <x v="1"/>
    </i>
    <i>
      <x v="4"/>
    </i>
    <i r="1">
      <x v="6"/>
    </i>
    <i r="1">
      <x v="1"/>
    </i>
    <i r="1">
      <x v="7"/>
    </i>
    <i>
      <x v="5"/>
    </i>
    <i r="1">
      <x v="3"/>
    </i>
    <i r="1">
      <x v="8"/>
    </i>
    <i r="1">
      <x v="1"/>
    </i>
    <i r="1">
      <x v="9"/>
    </i>
    <i>
      <x v="6"/>
    </i>
    <i r="1">
      <x v="3"/>
    </i>
    <i r="1">
      <x v="8"/>
    </i>
    <i r="1">
      <x v="6"/>
    </i>
    <i r="1">
      <x v="1"/>
    </i>
    <i r="1">
      <x v="10"/>
    </i>
    <i r="1">
      <x v="5"/>
    </i>
    <i t="grand">
      <x/>
    </i>
  </rowItems>
  <colFields count="1">
    <field x="3"/>
  </colFields>
  <colItems count="3">
    <i>
      <x/>
    </i>
    <i>
      <x v="1"/>
    </i>
    <i t="grand">
      <x/>
    </i>
  </colItems>
  <dataFields count="1">
    <dataField name="Count of Gender" fld="2" subtotal="count" baseField="0" baseItem="0"/>
  </dataFields>
  <chartFormats count="14">
    <chartFormat chart="0" format="34" series="1">
      <pivotArea type="data" outline="0" fieldPosition="0">
        <references count="2">
          <reference field="4294967294" count="1" selected="0">
            <x v="0"/>
          </reference>
          <reference field="1" count="1" selected="0">
            <x v="2"/>
          </reference>
        </references>
      </pivotArea>
    </chartFormat>
    <chartFormat chart="0" format="35" series="1">
      <pivotArea type="data" outline="0" fieldPosition="0">
        <references count="2">
          <reference field="4294967294" count="1" selected="0">
            <x v="0"/>
          </reference>
          <reference field="1" count="1" selected="0">
            <x v="9"/>
          </reference>
        </references>
      </pivotArea>
    </chartFormat>
    <chartFormat chart="0" format="36" series="1">
      <pivotArea type="data" outline="0" fieldPosition="0">
        <references count="2">
          <reference field="4294967294" count="1" selected="0">
            <x v="0"/>
          </reference>
          <reference field="1" count="1" selected="0">
            <x v="7"/>
          </reference>
        </references>
      </pivotArea>
    </chartFormat>
    <chartFormat chart="0" format="37" series="1">
      <pivotArea type="data" outline="0" fieldPosition="0">
        <references count="2">
          <reference field="4294967294" count="1" selected="0">
            <x v="0"/>
          </reference>
          <reference field="1" count="1" selected="0">
            <x v="10"/>
          </reference>
        </references>
      </pivotArea>
    </chartFormat>
    <chartFormat chart="0" format="38" series="1">
      <pivotArea type="data" outline="0" fieldPosition="0">
        <references count="2">
          <reference field="4294967294" count="1" selected="0">
            <x v="0"/>
          </reference>
          <reference field="1" count="1" selected="0">
            <x v="5"/>
          </reference>
        </references>
      </pivotArea>
    </chartFormat>
    <chartFormat chart="0" format="39" series="1">
      <pivotArea type="data" outline="0" fieldPosition="0">
        <references count="2">
          <reference field="4294967294" count="1" selected="0">
            <x v="0"/>
          </reference>
          <reference field="1" count="1" selected="0">
            <x v="4"/>
          </reference>
        </references>
      </pivotArea>
    </chartFormat>
    <chartFormat chart="0" format="40" series="1">
      <pivotArea type="data" outline="0" fieldPosition="0">
        <references count="2">
          <reference field="4294967294" count="1" selected="0">
            <x v="0"/>
          </reference>
          <reference field="1" count="1" selected="0">
            <x v="3"/>
          </reference>
        </references>
      </pivotArea>
    </chartFormat>
    <chartFormat chart="0" format="41" series="1">
      <pivotArea type="data" outline="0" fieldPosition="0">
        <references count="2">
          <reference field="4294967294" count="1" selected="0">
            <x v="0"/>
          </reference>
          <reference field="1" count="1" selected="0">
            <x v="0"/>
          </reference>
        </references>
      </pivotArea>
    </chartFormat>
    <chartFormat chart="0" format="42" series="1">
      <pivotArea type="data" outline="0" fieldPosition="0">
        <references count="2">
          <reference field="4294967294" count="1" selected="0">
            <x v="0"/>
          </reference>
          <reference field="1" count="1" selected="0">
            <x v="8"/>
          </reference>
        </references>
      </pivotArea>
    </chartFormat>
    <chartFormat chart="0" format="43" series="1">
      <pivotArea type="data" outline="0" fieldPosition="0">
        <references count="2">
          <reference field="4294967294" count="1" selected="0">
            <x v="0"/>
          </reference>
          <reference field="1" count="1" selected="0">
            <x v="6"/>
          </reference>
        </references>
      </pivotArea>
    </chartFormat>
    <chartFormat chart="0" format="44" series="1">
      <pivotArea type="data" outline="0" fieldPosition="0">
        <references count="2">
          <reference field="4294967294" count="1" selected="0">
            <x v="0"/>
          </reference>
          <reference field="1" count="1" selected="0">
            <x v="1"/>
          </reference>
        </references>
      </pivotArea>
    </chartFormat>
    <chartFormat chart="0" format="45" series="1">
      <pivotArea type="data" outline="0" fieldPosition="0">
        <references count="1">
          <reference field="4294967294" count="1" selected="0">
            <x v="0"/>
          </reference>
        </references>
      </pivotArea>
    </chartFormat>
    <chartFormat chart="0" format="46" series="1">
      <pivotArea type="data" outline="0" fieldPosition="0">
        <references count="2">
          <reference field="4294967294" count="1" selected="0">
            <x v="0"/>
          </reference>
          <reference field="3" count="1" selected="0">
            <x v="1"/>
          </reference>
        </references>
      </pivotArea>
    </chartFormat>
    <chartFormat chart="0" format="47" series="1">
      <pivotArea type="data" outline="0" fieldPosition="0">
        <references count="2">
          <reference field="4294967294" count="1" selected="0">
            <x v="0"/>
          </reference>
          <reference field="3" count="1" selected="0">
            <x v="0"/>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2">
    <rowHierarchyUsage hierarchyUsage="7"/>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3" cacheId="1205955047">
        <x15:pivotRow count="3">
          <x15:c t="e">
            <x15:v/>
          </x15:c>
          <x15:c t="e">
            <x15:v/>
          </x15:c>
          <x15:c t="e">
            <x15:v/>
          </x15:c>
        </x15:pivotRow>
        <x15:pivotRow count="3">
          <x15:c>
            <x15:v>3</x15:v>
          </x15:c>
          <x15:c>
            <x15:v>1</x15:v>
          </x15:c>
          <x15:c>
            <x15:v>4</x15:v>
          </x15:c>
        </x15:pivotRow>
        <x15:pivotRow count="3">
          <x15:c>
            <x15:v>1</x15:v>
          </x15:c>
          <x15:c>
            <x15:v>3</x15:v>
          </x15:c>
          <x15:c>
            <x15:v>4</x15:v>
          </x15:c>
        </x15:pivotRow>
        <x15:pivotRow count="3">
          <x15:c>
            <x15:v>1</x15:v>
          </x15:c>
          <x15:c t="e">
            <x15:v/>
          </x15:c>
          <x15:c>
            <x15:v>1</x15:v>
          </x15:c>
        </x15:pivotRow>
        <x15:pivotRow count="3">
          <x15:c t="e">
            <x15:v/>
          </x15:c>
          <x15:c t="e">
            <x15:v/>
          </x15:c>
          <x15:c t="e">
            <x15:v/>
          </x15:c>
        </x15:pivotRow>
        <x15:pivotRow count="3">
          <x15:c t="e">
            <x15:v/>
          </x15:c>
          <x15:c>
            <x15:v>1</x15:v>
          </x15:c>
          <x15:c>
            <x15:v>1</x15:v>
          </x15:c>
        </x15:pivotRow>
        <x15:pivotRow count="3">
          <x15:c>
            <x15:v>1</x15:v>
          </x15:c>
          <x15:c t="e">
            <x15:v/>
          </x15:c>
          <x15:c>
            <x15:v>1</x15:v>
          </x15:c>
        </x15:pivotRow>
        <x15:pivotRow count="3">
          <x15:c t="e">
            <x15:v/>
          </x15:c>
          <x15:c>
            <x15:v>1</x15:v>
          </x15:c>
          <x15:c>
            <x15:v>1</x15:v>
          </x15:c>
        </x15:pivotRow>
        <x15:pivotRow count="3">
          <x15:c t="e">
            <x15:v/>
          </x15:c>
          <x15:c t="e">
            <x15:v/>
          </x15:c>
          <x15:c t="e">
            <x15:v/>
          </x15:c>
        </x15:pivotRow>
        <x15:pivotRow count="3">
          <x15:c>
            <x15:v>1</x15:v>
          </x15:c>
          <x15:c t="e">
            <x15:v/>
          </x15:c>
          <x15:c>
            <x15:v>1</x15:v>
          </x15:c>
        </x15:pivotRow>
        <x15:pivotRow count="3">
          <x15:c t="e">
            <x15:v/>
          </x15:c>
          <x15:c>
            <x15:v>1</x15:v>
          </x15:c>
          <x15:c>
            <x15:v>1</x15:v>
          </x15:c>
        </x15:pivotRow>
        <x15:pivotRow count="3">
          <x15:c>
            <x15:v>1</x15:v>
          </x15:c>
          <x15:c t="e">
            <x15:v/>
          </x15:c>
          <x15:c>
            <x15:v>1</x15:v>
          </x15:c>
        </x15:pivotRow>
        <x15:pivotRow count="3">
          <x15:c t="e">
            <x15:v/>
          </x15:c>
          <x15:c t="e">
            <x15:v/>
          </x15:c>
          <x15:c t="e">
            <x15:v/>
          </x15:c>
        </x15:pivotRow>
        <x15:pivotRow count="3">
          <x15:c>
            <x15:v>1</x15:v>
          </x15:c>
          <x15:c>
            <x15:v>1</x15:v>
          </x15:c>
          <x15:c>
            <x15:v>2</x15:v>
          </x15:c>
        </x15:pivotRow>
        <x15:pivotRow count="3">
          <x15:c t="e">
            <x15:v/>
          </x15:c>
          <x15:c t="e">
            <x15:v/>
          </x15:c>
          <x15:c t="e">
            <x15:v/>
          </x15:c>
        </x15:pivotRow>
        <x15:pivotRow count="3">
          <x15:c>
            <x15:v>1</x15:v>
          </x15:c>
          <x15:c t="e">
            <x15:v/>
          </x15:c>
          <x15:c>
            <x15:v>1</x15:v>
          </x15:c>
        </x15:pivotRow>
        <x15:pivotRow count="3">
          <x15:c t="e">
            <x15:v/>
          </x15:c>
          <x15:c>
            <x15:v>1</x15:v>
          </x15:c>
          <x15:c>
            <x15:v>1</x15:v>
          </x15:c>
        </x15:pivotRow>
        <x15:pivotRow count="3">
          <x15:c t="e">
            <x15:v/>
          </x15:c>
          <x15:c>
            <x15:v>1</x15:v>
          </x15:c>
          <x15:c>
            <x15:v>1</x15:v>
          </x15:c>
        </x15:pivotRow>
        <x15:pivotRow count="3">
          <x15:c t="e">
            <x15:v/>
          </x15:c>
          <x15:c t="e">
            <x15:v/>
          </x15:c>
          <x15:c t="e">
            <x15:v/>
          </x15:c>
        </x15:pivotRow>
        <x15:pivotRow count="3">
          <x15:c>
            <x15:v>1</x15:v>
          </x15:c>
          <x15:c>
            <x15:v>1</x15:v>
          </x15:c>
          <x15:c>
            <x15:v>2</x15:v>
          </x15:c>
        </x15:pivotRow>
        <x15:pivotRow count="3">
          <x15:c t="e">
            <x15:v/>
          </x15:c>
          <x15:c>
            <x15:v>1</x15:v>
          </x15:c>
          <x15:c>
            <x15:v>1</x15:v>
          </x15:c>
        </x15:pivotRow>
        <x15:pivotRow count="3">
          <x15:c>
            <x15:v>1</x15:v>
          </x15:c>
          <x15:c>
            <x15:v>1</x15:v>
          </x15:c>
          <x15:c>
            <x15:v>2</x15:v>
          </x15:c>
        </x15:pivotRow>
        <x15:pivotRow count="3">
          <x15:c t="e">
            <x15:v/>
          </x15:c>
          <x15:c>
            <x15:v>1</x15:v>
          </x15:c>
          <x15:c>
            <x15:v>1</x15:v>
          </x15:c>
        </x15:pivotRow>
        <x15:pivotRow count="3">
          <x15:c t="e">
            <x15:v/>
          </x15:c>
          <x15:c t="e">
            <x15:v/>
          </x15:c>
          <x15:c t="e">
            <x15:v/>
          </x15:c>
        </x15:pivotRow>
        <x15:pivotRow count="3">
          <x15:c>
            <x15:v>1</x15:v>
          </x15:c>
          <x15:c t="e">
            <x15:v/>
          </x15:c>
          <x15:c>
            <x15:v>1</x15:v>
          </x15:c>
        </x15:pivotRow>
        <x15:pivotRow count="3">
          <x15:c t="e">
            <x15:v/>
          </x15:c>
          <x15:c>
            <x15:v>1</x15:v>
          </x15:c>
          <x15:c>
            <x15:v>1</x15:v>
          </x15:c>
        </x15:pivotRow>
        <x15:pivotRow count="3">
          <x15:c t="e">
            <x15:v/>
          </x15:c>
          <x15:c>
            <x15:v>1</x15:v>
          </x15:c>
          <x15:c>
            <x15:v>1</x15:v>
          </x15:c>
        </x15:pivotRow>
        <x15:pivotRow count="3">
          <x15:c>
            <x15:v>3</x15:v>
          </x15:c>
          <x15:c>
            <x15:v>1</x15:v>
          </x15:c>
          <x15:c>
            <x15:v>4</x15:v>
          </x15:c>
        </x15:pivotRow>
        <x15:pivotRow count="3">
          <x15:c t="e">
            <x15:v/>
          </x15:c>
          <x15:c>
            <x15:v>1</x15:v>
          </x15:c>
          <x15:c>
            <x15:v>1</x15:v>
          </x15:c>
        </x15:pivotRow>
        <x15:pivotRow count="3">
          <x15:c>
            <x15:v>1</x15:v>
          </x15:c>
          <x15:c t="e">
            <x15:v/>
          </x15:c>
          <x15:c>
            <x15:v>1</x15:v>
          </x15:c>
        </x15:pivotRow>
        <x15:pivotRow count="3">
          <x15:c>
            <x15:v>17</x15:v>
          </x15:c>
          <x15:c>
            <x15:v>18</x15:v>
          </x15:c>
          <x15:c>
            <x15:v>35</x15:v>
          </x15:c>
        </x15:pivotRow>
      </x15:pivotTableData>
    </ext>
    <ext xmlns:x15="http://schemas.microsoft.com/office/spreadsheetml/2010/11/main" uri="{E67621CE-5B39-4880-91FE-76760E9C1902}">
      <x15:pivotTableUISettings>
        <x15:activeTabTopLevelEntity name="[Data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789B2B-641D-4EF1-9AE2-99757DC66E50}" name="PivotChar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8"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0"/>
  </colFields>
  <colItems count="3">
    <i>
      <x/>
    </i>
    <i>
      <x v="1"/>
    </i>
    <i t="grand">
      <x/>
    </i>
  </colItems>
  <dataFields count="1">
    <dataField name="Count of Gender" fld="1" subtotal="count"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3" cacheId="1437241318">
        <x15:pivotRow count="3">
          <x15:c>
            <x15:v>9</x15:v>
          </x15:c>
          <x15:c>
            <x15:v>5</x15:v>
          </x15:c>
          <x15:c>
            <x15:v>14</x15:v>
          </x15:c>
        </x15:pivotRow>
        <x15:pivotRow count="3">
          <x15:c>
            <x15:v>1</x15:v>
          </x15:c>
          <x15:c>
            <x15:v>2</x15:v>
          </x15:c>
          <x15:c>
            <x15:v>3</x15:v>
          </x15:c>
        </x15:pivotRow>
        <x15:pivotRow count="3">
          <x15:c>
            <x15:v>4</x15:v>
          </x15:c>
          <x15:c>
            <x15:v>10</x15:v>
          </x15:c>
          <x15:c>
            <x15:v>14</x15:v>
          </x15:c>
        </x15:pivotRow>
        <x15:pivotRow count="3">
          <x15:c>
            <x15:v>2</x15:v>
          </x15:c>
          <x15:c>
            <x15:v>1</x15:v>
          </x15:c>
          <x15:c>
            <x15:v>3</x15:v>
          </x15:c>
        </x15:pivotRow>
        <x15:pivotRow count="3">
          <x15:c>
            <x15:v>1</x15:v>
          </x15:c>
          <x15:c t="e">
            <x15:v/>
          </x15:c>
          <x15:c>
            <x15:v>1</x15:v>
          </x15:c>
        </x15:pivotRow>
        <x15:pivotRow count="3">
          <x15:c>
            <x15:v>17</x15:v>
          </x15:c>
          <x15:c>
            <x15:v>18</x15:v>
          </x15:c>
          <x15:c>
            <x15:v>35</x15:v>
          </x15:c>
        </x15:pivotRow>
      </x15:pivotTableData>
    </ext>
    <ext xmlns:x15="http://schemas.microsoft.com/office/spreadsheetml/2010/11/main" uri="{E67621CE-5B39-4880-91FE-76760E9C1902}">
      <x15:pivotTableUISettings>
        <x15:activeTabTopLevelEntity name="[Data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25723B-7AAD-4965-A29D-9BEAFB3E3745}" name="PivotChartTable2"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D8"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0"/>
  </colFields>
  <colItems count="3">
    <i>
      <x/>
    </i>
    <i>
      <x v="1"/>
    </i>
    <i t="grand">
      <x/>
    </i>
  </colItems>
  <dataFields count="1">
    <dataField name="Count of Gender" fld="1" subtotal="count"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3" cacheId="1708028344">
        <x15:pivotRow count="3">
          <x15:c>
            <x15:v>7</x15:v>
          </x15:c>
          <x15:c>
            <x15:v>5</x15:v>
          </x15:c>
          <x15:c>
            <x15:v>12</x15:v>
          </x15:c>
        </x15:pivotRow>
        <x15:pivotRow count="3">
          <x15:c>
            <x15:v>1</x15:v>
          </x15:c>
          <x15:c>
            <x15:v>1</x15:v>
          </x15:c>
          <x15:c>
            <x15:v>2</x15:v>
          </x15:c>
        </x15:pivotRow>
        <x15:pivotRow count="3">
          <x15:c>
            <x15:v>4</x15:v>
          </x15:c>
          <x15:c>
            <x15:v>11</x15:v>
          </x15:c>
          <x15:c>
            <x15:v>15</x15:v>
          </x15:c>
        </x15:pivotRow>
        <x15:pivotRow count="3">
          <x15:c>
            <x15:v>3</x15:v>
          </x15:c>
          <x15:c t="e">
            <x15:v/>
          </x15:c>
          <x15:c>
            <x15:v>3</x15:v>
          </x15:c>
        </x15:pivotRow>
        <x15:pivotRow count="3">
          <x15:c>
            <x15:v>2</x15:v>
          </x15:c>
          <x15:c>
            <x15:v>1</x15:v>
          </x15:c>
          <x15:c>
            <x15:v>3</x15:v>
          </x15:c>
        </x15:pivotRow>
        <x15:pivotRow count="3">
          <x15:c>
            <x15:v>17</x15:v>
          </x15:c>
          <x15:c>
            <x15:v>18</x15:v>
          </x15:c>
          <x15:c>
            <x15:v>35</x15:v>
          </x15:c>
        </x15:pivotRow>
      </x15:pivotTableData>
    </ext>
    <ext xmlns:x15="http://schemas.microsoft.com/office/spreadsheetml/2010/11/main" uri="{E67621CE-5B39-4880-91FE-76760E9C1902}">
      <x15:pivotTableUISettings>
        <x15:activeTabTopLevelEntity name="[Data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DF1426-334C-454B-BF92-F0436F41E864}" name="PivotChar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29"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s>
  <rowFields count="2">
    <field x="1"/>
    <field x="2"/>
  </rowFields>
  <rowItems count="27">
    <i>
      <x/>
    </i>
    <i r="1">
      <x/>
    </i>
    <i r="1">
      <x v="1"/>
    </i>
    <i r="1">
      <x v="2"/>
    </i>
    <i r="1">
      <x v="3"/>
    </i>
    <i r="1">
      <x v="4"/>
    </i>
    <i r="1">
      <x v="5"/>
    </i>
    <i r="1">
      <x v="6"/>
    </i>
    <i>
      <x v="1"/>
    </i>
    <i r="1">
      <x v="1"/>
    </i>
    <i r="1">
      <x v="7"/>
    </i>
    <i r="1">
      <x v="8"/>
    </i>
    <i r="1">
      <x v="2"/>
    </i>
    <i>
      <x v="2"/>
    </i>
    <i r="1">
      <x v="9"/>
    </i>
    <i r="1">
      <x v="10"/>
    </i>
    <i>
      <x v="3"/>
    </i>
    <i r="1">
      <x v="8"/>
    </i>
    <i r="1">
      <x v="2"/>
    </i>
    <i>
      <x v="4"/>
    </i>
    <i r="1">
      <x/>
    </i>
    <i r="1">
      <x v="2"/>
    </i>
    <i>
      <x v="5"/>
    </i>
    <i r="1">
      <x v="7"/>
    </i>
    <i r="1">
      <x v="2"/>
    </i>
    <i r="1">
      <x v="9"/>
    </i>
    <i t="grand">
      <x/>
    </i>
  </rowItems>
  <colFields count="1">
    <field x="0"/>
  </colFields>
  <colItems count="3">
    <i>
      <x/>
    </i>
    <i>
      <x v="1"/>
    </i>
    <i t="grand">
      <x/>
    </i>
  </colItems>
  <dataFields count="1">
    <dataField name="Count of Area of Residence" fld="3" subtotal="count" baseField="0" baseItem="0"/>
  </dataFields>
  <chartFormats count="5">
    <chartFormat chart="0" format="0" series="1">
      <pivotArea type="data" outline="0" fieldPosition="0">
        <references count="1">
          <reference field="0" count="1" selected="0">
            <x v="2"/>
          </reference>
        </references>
      </pivotArea>
    </chartFormat>
    <chartFormat chart="0" format="1" series="1">
      <pivotArea type="data" outline="0" fieldPosition="0">
        <references count="1">
          <reference field="0" count="1" selected="0">
            <x v="0"/>
          </reference>
        </references>
      </pivotArea>
    </chartFormat>
    <chartFormat chart="0" format="2" series="1">
      <pivotArea type="data" outline="0" fieldPosition="0">
        <references count="1">
          <reference field="0" count="1" selected="0">
            <x v="1"/>
          </reference>
        </references>
      </pivotArea>
    </chartFormat>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2">
    <rowHierarchyUsage hierarchyUsage="3"/>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3" cacheId="1119356746">
        <x15:pivotRow count="3">
          <x15:c t="e">
            <x15:v/>
          </x15:c>
          <x15:c t="e">
            <x15:v/>
          </x15:c>
          <x15:c t="e">
            <x15:v/>
          </x15:c>
        </x15:pivotRow>
        <x15:pivotRow count="3">
          <x15:c>
            <x15:v>1</x15:v>
          </x15:c>
          <x15:c>
            <x15:v>2</x15:v>
          </x15:c>
          <x15:c>
            <x15:v>3</x15:v>
          </x15:c>
        </x15:pivotRow>
        <x15:pivotRow count="3">
          <x15:c>
            <x15:v>4</x15:v>
          </x15:c>
          <x15:c>
            <x15:v>1</x15:v>
          </x15:c>
          <x15:c>
            <x15:v>5</x15:v>
          </x15:c>
        </x15:pivotRow>
        <x15:pivotRow count="3">
          <x15:c>
            <x15:v>1</x15:v>
          </x15:c>
          <x15:c>
            <x15:v>5</x15:v>
          </x15:c>
          <x15:c>
            <x15:v>6</x15:v>
          </x15:c>
        </x15:pivotRow>
        <x15:pivotRow count="3">
          <x15:c t="e">
            <x15:v/>
          </x15:c>
          <x15:c>
            <x15:v>1</x15:v>
          </x15:c>
          <x15:c>
            <x15:v>1</x15:v>
          </x15:c>
        </x15:pivotRow>
        <x15:pivotRow count="3">
          <x15:c t="e">
            <x15:v/>
          </x15:c>
          <x15:c>
            <x15:v>1</x15:v>
          </x15:c>
          <x15:c>
            <x15:v>1</x15:v>
          </x15:c>
        </x15:pivotRow>
        <x15:pivotRow count="3">
          <x15:c t="e">
            <x15:v/>
          </x15:c>
          <x15:c>
            <x15:v>1</x15:v>
          </x15:c>
          <x15:c>
            <x15:v>1</x15:v>
          </x15:c>
        </x15:pivotRow>
        <x15:pivotRow count="3">
          <x15:c t="e">
            <x15:v/>
          </x15:c>
          <x15:c>
            <x15:v>1</x15:v>
          </x15:c>
          <x15:c>
            <x15:v>1</x15:v>
          </x15:c>
        </x15:pivotRow>
        <x15:pivotRow count="3">
          <x15:c t="e">
            <x15:v/>
          </x15:c>
          <x15:c t="e">
            <x15:v/>
          </x15:c>
          <x15:c t="e">
            <x15:v/>
          </x15:c>
        </x15:pivotRow>
        <x15:pivotRow count="3">
          <x15:c>
            <x15:v>1</x15:v>
          </x15:c>
          <x15:c t="e">
            <x15:v/>
          </x15:c>
          <x15:c>
            <x15:v>1</x15:v>
          </x15:c>
        </x15:pivotRow>
        <x15:pivotRow count="3">
          <x15:c t="e">
            <x15:v/>
          </x15:c>
          <x15:c>
            <x15:v>1</x15:v>
          </x15:c>
          <x15:c>
            <x15:v>1</x15:v>
          </x15:c>
        </x15:pivotRow>
        <x15:pivotRow count="3">
          <x15:c>
            <x15:v>1</x15:v>
          </x15:c>
          <x15:c t="e">
            <x15:v/>
          </x15:c>
          <x15:c>
            <x15:v>1</x15:v>
          </x15:c>
        </x15:pivotRow>
        <x15:pivotRow count="3">
          <x15:c>
            <x15:v>2</x15:v>
          </x15:c>
          <x15:c>
            <x15:v>1</x15:v>
          </x15:c>
          <x15:c>
            <x15:v>3</x15:v>
          </x15:c>
        </x15:pivotRow>
        <x15:pivotRow count="3">
          <x15:c t="e">
            <x15:v/>
          </x15:c>
          <x15:c t="e">
            <x15:v/>
          </x15:c>
          <x15:c t="e">
            <x15:v/>
          </x15:c>
        </x15:pivotRow>
        <x15:pivotRow count="3">
          <x15:c>
            <x15:v>1</x15:v>
          </x15:c>
          <x15:c t="e">
            <x15:v/>
          </x15:c>
          <x15:c>
            <x15:v>1</x15:v>
          </x15:c>
        </x15:pivotRow>
        <x15:pivotRow count="3">
          <x15:c>
            <x15:v>2</x15:v>
          </x15:c>
          <x15:c t="e">
            <x15:v/>
          </x15:c>
          <x15:c>
            <x15:v>2</x15:v>
          </x15:c>
        </x15:pivotRow>
        <x15:pivotRow count="3">
          <x15:c t="e">
            <x15:v/>
          </x15:c>
          <x15:c t="e">
            <x15:v/>
          </x15:c>
          <x15:c t="e">
            <x15:v/>
          </x15:c>
        </x15:pivotRow>
        <x15:pivotRow count="3">
          <x15:c t="e">
            <x15:v/>
          </x15:c>
          <x15:c>
            <x15:v>1</x15:v>
          </x15:c>
          <x15:c>
            <x15:v>1</x15:v>
          </x15:c>
        </x15:pivotRow>
        <x15:pivotRow count="3">
          <x15:c>
            <x15:v>1</x15:v>
          </x15:c>
          <x15:c t="e">
            <x15:v/>
          </x15:c>
          <x15:c>
            <x15:v>1</x15:v>
          </x15:c>
        </x15:pivotRow>
        <x15:pivotRow count="3">
          <x15:c t="e">
            <x15:v/>
          </x15:c>
          <x15:c t="e">
            <x15:v/>
          </x15:c>
          <x15:c t="e">
            <x15:v/>
          </x15:c>
        </x15:pivotRow>
        <x15:pivotRow count="3">
          <x15:c>
            <x15:v>1</x15:v>
          </x15:c>
          <x15:c t="e">
            <x15:v/>
          </x15:c>
          <x15:c>
            <x15:v>1</x15:v>
          </x15:c>
        </x15:pivotRow>
        <x15:pivotRow count="3">
          <x15:c>
            <x15:v>1</x15:v>
          </x15:c>
          <x15:c>
            <x15:v>1</x15:v>
          </x15:c>
          <x15:c>
            <x15:v>2</x15:v>
          </x15:c>
        </x15:pivotRow>
        <x15:pivotRow count="3">
          <x15:c t="e">
            <x15:v/>
          </x15:c>
          <x15:c t="e">
            <x15:v/>
          </x15:c>
          <x15:c t="e">
            <x15:v/>
          </x15:c>
        </x15:pivotRow>
        <x15:pivotRow count="3">
          <x15:c t="e">
            <x15:v/>
          </x15:c>
          <x15:c>
            <x15:v>1</x15:v>
          </x15:c>
          <x15:c>
            <x15:v>1</x15:v>
          </x15:c>
        </x15:pivotRow>
        <x15:pivotRow count="3">
          <x15:c>
            <x15:v>1</x15:v>
          </x15:c>
          <x15:c t="e">
            <x15:v/>
          </x15:c>
          <x15:c>
            <x15:v>1</x15:v>
          </x15:c>
        </x15:pivotRow>
        <x15:pivotRow count="3">
          <x15:c t="e">
            <x15:v/>
          </x15:c>
          <x15:c>
            <x15:v>1</x15:v>
          </x15:c>
          <x15:c>
            <x15:v>1</x15:v>
          </x15:c>
        </x15:pivotRow>
        <x15:pivotRow count="3">
          <x15:c>
            <x15:v>17</x15:v>
          </x15:c>
          <x15:c>
            <x15:v>18</x15:v>
          </x15:c>
          <x15:c>
            <x15:v>35</x15:v>
          </x15:c>
        </x15:pivotRow>
      </x15:pivotTableData>
    </ext>
    <ext xmlns:x15="http://schemas.microsoft.com/office/spreadsheetml/2010/11/main" uri="{E67621CE-5B39-4880-91FE-76760E9C1902}">
      <x15:pivotTableUISettings>
        <x15:activeTabTopLevelEntity name="[Data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239FD8-E819-40EA-9F4C-E632D8F479A4}" name="PivotTable1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tance by Area of Residence" colHeaderCaption="Gender">
  <location ref="W200:Z229"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11">
        <item x="0"/>
        <item x="1"/>
        <item x="2"/>
        <item x="3"/>
        <item x="4"/>
        <item x="5"/>
        <item x="6"/>
        <item x="7"/>
        <item x="8"/>
        <item x="9"/>
        <item x="10"/>
      </items>
    </pivotField>
  </pivotFields>
  <rowFields count="2">
    <field x="2"/>
    <field x="3"/>
  </rowFields>
  <rowItems count="28">
    <i>
      <x/>
    </i>
    <i r="1">
      <x/>
    </i>
    <i>
      <x v="1"/>
    </i>
    <i r="1">
      <x v="1"/>
    </i>
    <i r="1">
      <x v="2"/>
    </i>
    <i>
      <x v="2"/>
    </i>
    <i r="1">
      <x v="3"/>
    </i>
    <i r="1">
      <x v="4"/>
    </i>
    <i>
      <x v="3"/>
    </i>
    <i r="1">
      <x v="5"/>
    </i>
    <i>
      <x v="4"/>
    </i>
    <i r="1">
      <x v="6"/>
    </i>
    <i>
      <x v="5"/>
    </i>
    <i r="1">
      <x v="6"/>
    </i>
    <i r="1">
      <x v="7"/>
    </i>
    <i r="1">
      <x/>
    </i>
    <i r="1">
      <x v="8"/>
    </i>
    <i>
      <x v="6"/>
    </i>
    <i r="1">
      <x v="6"/>
    </i>
    <i r="1">
      <x v="1"/>
    </i>
    <i r="1">
      <x v="7"/>
    </i>
    <i r="1">
      <x v="5"/>
    </i>
    <i r="1">
      <x/>
    </i>
    <i r="1">
      <x v="3"/>
    </i>
    <i r="1">
      <x v="9"/>
    </i>
    <i r="1">
      <x v="10"/>
    </i>
    <i r="1">
      <x v="4"/>
    </i>
    <i t="grand">
      <x/>
    </i>
  </rowItems>
  <colFields count="1">
    <field x="0"/>
  </colFields>
  <colItems count="3">
    <i>
      <x/>
    </i>
    <i>
      <x v="1"/>
    </i>
    <i t="grand">
      <x/>
    </i>
  </colItems>
  <dataFields count="1">
    <dataField name="# of Respondents" fld="1" subtotal="count" baseField="0" baseItem="0"/>
  </dataFields>
  <conditionalFormats count="3">
    <conditionalFormat priority="15">
      <pivotAreas count="7">
        <pivotArea type="data" collapsedLevelsAreSubtotals="1" fieldPosition="0">
          <references count="4">
            <reference field="4294967294" count="1" selected="0">
              <x v="0"/>
            </reference>
            <reference field="0" count="1" selected="0">
              <x v="0"/>
            </reference>
            <reference field="2" count="1" selected="0">
              <x v="0"/>
            </reference>
            <reference field="3" count="1">
              <x v="0"/>
            </reference>
          </references>
        </pivotArea>
        <pivotArea type="data" collapsedLevelsAreSubtotals="1" fieldPosition="0">
          <references count="4">
            <reference field="4294967294" count="1" selected="0">
              <x v="0"/>
            </reference>
            <reference field="0" count="1" selected="0">
              <x v="0"/>
            </reference>
            <reference field="2" count="1" selected="0">
              <x v="1"/>
            </reference>
            <reference field="3" count="2">
              <x v="1"/>
              <x v="2"/>
            </reference>
          </references>
        </pivotArea>
        <pivotArea type="data" collapsedLevelsAreSubtotals="1" fieldPosition="0">
          <references count="4">
            <reference field="4294967294" count="1" selected="0">
              <x v="0"/>
            </reference>
            <reference field="0" count="1" selected="0">
              <x v="0"/>
            </reference>
            <reference field="2" count="1" selected="0">
              <x v="2"/>
            </reference>
            <reference field="3" count="2">
              <x v="3"/>
              <x v="4"/>
            </reference>
          </references>
        </pivotArea>
        <pivotArea type="data" collapsedLevelsAreSubtotals="1" fieldPosition="0">
          <references count="4">
            <reference field="4294967294" count="1" selected="0">
              <x v="0"/>
            </reference>
            <reference field="0" count="1" selected="0">
              <x v="0"/>
            </reference>
            <reference field="2" count="1" selected="0">
              <x v="3"/>
            </reference>
            <reference field="3" count="1">
              <x v="5"/>
            </reference>
          </references>
        </pivotArea>
        <pivotArea type="data" collapsedLevelsAreSubtotals="1" fieldPosition="0">
          <references count="4">
            <reference field="4294967294" count="1" selected="0">
              <x v="0"/>
            </reference>
            <reference field="0" count="1" selected="0">
              <x v="0"/>
            </reference>
            <reference field="2" count="1" selected="0">
              <x v="4"/>
            </reference>
            <reference field="3" count="1">
              <x v="6"/>
            </reference>
          </references>
        </pivotArea>
        <pivotArea type="data" collapsedLevelsAreSubtotals="1" fieldPosition="0">
          <references count="4">
            <reference field="4294967294" count="1" selected="0">
              <x v="0"/>
            </reference>
            <reference field="0" count="1" selected="0">
              <x v="0"/>
            </reference>
            <reference field="2" count="1" selected="0">
              <x v="5"/>
            </reference>
            <reference field="3" count="4">
              <x v="0"/>
              <x v="6"/>
              <x v="7"/>
              <x v="8"/>
            </reference>
          </references>
        </pivotArea>
        <pivotArea type="data" collapsedLevelsAreSubtotals="1" fieldPosition="0">
          <references count="4">
            <reference field="4294967294" count="1" selected="0">
              <x v="0"/>
            </reference>
            <reference field="0" count="1" selected="0">
              <x v="0"/>
            </reference>
            <reference field="2" count="1" selected="0">
              <x v="6"/>
            </reference>
            <reference field="3" count="9">
              <x v="0"/>
              <x v="1"/>
              <x v="3"/>
              <x v="4"/>
              <x v="5"/>
              <x v="6"/>
              <x v="7"/>
              <x v="9"/>
              <x v="10"/>
            </reference>
          </references>
        </pivotArea>
      </pivotAreas>
    </conditionalFormat>
    <conditionalFormat priority="14">
      <pivotAreas count="7">
        <pivotArea type="data" collapsedLevelsAreSubtotals="1" fieldPosition="0">
          <references count="4">
            <reference field="4294967294" count="1" selected="0">
              <x v="0"/>
            </reference>
            <reference field="0" count="1" selected="0">
              <x v="1"/>
            </reference>
            <reference field="2" count="1" selected="0">
              <x v="0"/>
            </reference>
            <reference field="3" count="1">
              <x v="0"/>
            </reference>
          </references>
        </pivotArea>
        <pivotArea type="data" collapsedLevelsAreSubtotals="1" fieldPosition="0">
          <references count="4">
            <reference field="4294967294" count="1" selected="0">
              <x v="0"/>
            </reference>
            <reference field="0" count="1" selected="0">
              <x v="1"/>
            </reference>
            <reference field="2" count="1" selected="0">
              <x v="1"/>
            </reference>
            <reference field="3" count="2">
              <x v="1"/>
              <x v="2"/>
            </reference>
          </references>
        </pivotArea>
        <pivotArea type="data" collapsedLevelsAreSubtotals="1" fieldPosition="0">
          <references count="4">
            <reference field="4294967294" count="1" selected="0">
              <x v="0"/>
            </reference>
            <reference field="0" count="1" selected="0">
              <x v="1"/>
            </reference>
            <reference field="2" count="1" selected="0">
              <x v="2"/>
            </reference>
            <reference field="3" count="2">
              <x v="3"/>
              <x v="4"/>
            </reference>
          </references>
        </pivotArea>
        <pivotArea type="data" collapsedLevelsAreSubtotals="1" fieldPosition="0">
          <references count="4">
            <reference field="4294967294" count="1" selected="0">
              <x v="0"/>
            </reference>
            <reference field="0" count="1" selected="0">
              <x v="1"/>
            </reference>
            <reference field="2" count="1" selected="0">
              <x v="3"/>
            </reference>
            <reference field="3" count="1">
              <x v="5"/>
            </reference>
          </references>
        </pivotArea>
        <pivotArea type="data" collapsedLevelsAreSubtotals="1" fieldPosition="0">
          <references count="4">
            <reference field="4294967294" count="1" selected="0">
              <x v="0"/>
            </reference>
            <reference field="0" count="1" selected="0">
              <x v="1"/>
            </reference>
            <reference field="2" count="1" selected="0">
              <x v="4"/>
            </reference>
            <reference field="3" count="1">
              <x v="6"/>
            </reference>
          </references>
        </pivotArea>
        <pivotArea type="data" collapsedLevelsAreSubtotals="1" fieldPosition="0">
          <references count="4">
            <reference field="4294967294" count="1" selected="0">
              <x v="0"/>
            </reference>
            <reference field="0" count="1" selected="0">
              <x v="1"/>
            </reference>
            <reference field="2" count="1" selected="0">
              <x v="5"/>
            </reference>
            <reference field="3" count="4">
              <x v="0"/>
              <x v="6"/>
              <x v="7"/>
              <x v="8"/>
            </reference>
          </references>
        </pivotArea>
        <pivotArea type="data" collapsedLevelsAreSubtotals="1" fieldPosition="0">
          <references count="4">
            <reference field="4294967294" count="1" selected="0">
              <x v="0"/>
            </reference>
            <reference field="0" count="1" selected="0">
              <x v="1"/>
            </reference>
            <reference field="2" count="1" selected="0">
              <x v="6"/>
            </reference>
            <reference field="3" count="9">
              <x v="0"/>
              <x v="1"/>
              <x v="3"/>
              <x v="4"/>
              <x v="5"/>
              <x v="6"/>
              <x v="7"/>
              <x v="9"/>
              <x v="10"/>
            </reference>
          </references>
        </pivotArea>
      </pivotAreas>
    </conditionalFormat>
    <conditionalFormat type="all" priority="13">
      <pivotAreas count="7">
        <pivotArea type="data" grandCol="1" collapsedLevelsAreSubtotals="1" fieldPosition="0">
          <references count="3">
            <reference field="4294967294" count="1" selected="0">
              <x v="0"/>
            </reference>
            <reference field="2" count="1" selected="0">
              <x v="0"/>
            </reference>
            <reference field="3" count="1">
              <x v="0"/>
            </reference>
          </references>
        </pivotArea>
        <pivotArea type="data" grandCol="1" collapsedLevelsAreSubtotals="1" fieldPosition="0">
          <references count="3">
            <reference field="4294967294" count="1" selected="0">
              <x v="0"/>
            </reference>
            <reference field="2" count="1" selected="0">
              <x v="1"/>
            </reference>
            <reference field="3" count="2">
              <x v="1"/>
              <x v="2"/>
            </reference>
          </references>
        </pivotArea>
        <pivotArea type="data" grandCol="1" collapsedLevelsAreSubtotals="1" fieldPosition="0">
          <references count="3">
            <reference field="4294967294" count="1" selected="0">
              <x v="0"/>
            </reference>
            <reference field="2" count="1" selected="0">
              <x v="2"/>
            </reference>
            <reference field="3" count="2">
              <x v="3"/>
              <x v="4"/>
            </reference>
          </references>
        </pivotArea>
        <pivotArea type="data" grandCol="1" collapsedLevelsAreSubtotals="1" fieldPosition="0">
          <references count="3">
            <reference field="4294967294" count="1" selected="0">
              <x v="0"/>
            </reference>
            <reference field="2" count="1" selected="0">
              <x v="3"/>
            </reference>
            <reference field="3" count="1">
              <x v="5"/>
            </reference>
          </references>
        </pivotArea>
        <pivotArea type="data" grandCol="1" collapsedLevelsAreSubtotals="1" fieldPosition="0">
          <references count="3">
            <reference field="4294967294" count="1" selected="0">
              <x v="0"/>
            </reference>
            <reference field="2" count="1" selected="0">
              <x v="4"/>
            </reference>
            <reference field="3" count="1">
              <x v="6"/>
            </reference>
          </references>
        </pivotArea>
        <pivotArea type="data" grandCol="1" collapsedLevelsAreSubtotals="1" fieldPosition="0">
          <references count="3">
            <reference field="4294967294" count="1" selected="0">
              <x v="0"/>
            </reference>
            <reference field="2" count="1" selected="0">
              <x v="5"/>
            </reference>
            <reference field="3" count="4">
              <x v="0"/>
              <x v="6"/>
              <x v="7"/>
              <x v="8"/>
            </reference>
          </references>
        </pivotArea>
        <pivotArea type="data" grandCol="1" collapsedLevelsAreSubtotals="1" fieldPosition="0">
          <references count="3">
            <reference field="4294967294" count="1" selected="0">
              <x v="0"/>
            </reference>
            <reference field="2" count="1" selected="0">
              <x v="6"/>
            </reference>
            <reference field="3" count="9">
              <x v="0"/>
              <x v="1"/>
              <x v="3"/>
              <x v="4"/>
              <x v="5"/>
              <x v="6"/>
              <x v="7"/>
              <x v="9"/>
              <x v="10"/>
            </reference>
          </references>
        </pivotArea>
      </pivotAreas>
    </conditionalFormat>
  </conditional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8A5337-D3B7-40B5-AAF7-7920CD08680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Occupation (Pre-COVID)" colHeaderCaption="Gender">
  <location ref="R85:U92" firstHeaderRow="1" firstDataRow="2" firstDataCol="1"/>
  <pivotFields count="5">
    <pivotField axis="axisCol" dataField="1" showAll="0">
      <items count="3">
        <item x="1"/>
        <item x="0"/>
        <item t="default"/>
      </items>
    </pivotField>
    <pivotField showAll="0"/>
    <pivotField showAll="0"/>
    <pivotField axis="axisRow" showAll="0">
      <items count="6">
        <item x="1"/>
        <item x="3"/>
        <item x="0"/>
        <item x="4"/>
        <item x="2"/>
        <item t="default"/>
      </items>
    </pivotField>
    <pivotField showAll="0">
      <items count="6">
        <item x="2"/>
        <item x="1"/>
        <item x="0"/>
        <item x="4"/>
        <item x="3"/>
        <item t="default"/>
      </items>
    </pivotField>
  </pivotFields>
  <rowFields count="1">
    <field x="3"/>
  </rowFields>
  <rowItems count="6">
    <i>
      <x/>
    </i>
    <i>
      <x v="1"/>
    </i>
    <i>
      <x v="2"/>
    </i>
    <i>
      <x v="3"/>
    </i>
    <i>
      <x v="4"/>
    </i>
    <i t="grand">
      <x/>
    </i>
  </rowItems>
  <colFields count="1">
    <field x="0"/>
  </colFields>
  <colItems count="3">
    <i>
      <x/>
    </i>
    <i>
      <x v="1"/>
    </i>
    <i t="grand">
      <x/>
    </i>
  </colItems>
  <dataFields count="1">
    <dataField name="# of Respondents" fld="0" subtotal="count" baseField="0" baseItem="0"/>
  </dataFields>
  <conditionalFormats count="3">
    <conditionalFormat priority="37">
      <pivotAreas count="1">
        <pivotArea type="data" collapsedLevelsAreSubtotals="1" fieldPosition="0">
          <references count="3">
            <reference field="4294967294" count="1" selected="0">
              <x v="0"/>
            </reference>
            <reference field="0" count="1" selected="0">
              <x v="0"/>
            </reference>
            <reference field="3" count="5">
              <x v="0"/>
              <x v="1"/>
              <x v="2"/>
              <x v="3"/>
              <x v="4"/>
            </reference>
          </references>
        </pivotArea>
      </pivotAreas>
    </conditionalFormat>
    <conditionalFormat priority="36">
      <pivotAreas count="1">
        <pivotArea type="data" collapsedLevelsAreSubtotals="1" fieldPosition="0">
          <references count="3">
            <reference field="4294967294" count="1" selected="0">
              <x v="0"/>
            </reference>
            <reference field="0" count="1" selected="0">
              <x v="1"/>
            </reference>
            <reference field="3" count="5">
              <x v="0"/>
              <x v="1"/>
              <x v="2"/>
              <x v="3"/>
              <x v="4"/>
            </reference>
          </references>
        </pivotArea>
      </pivotAreas>
    </conditionalFormat>
    <conditionalFormat type="all" priority="28">
      <pivotAreas count="1">
        <pivotArea type="data" grandCol="1" collapsedLevelsAreSubtotals="1" fieldPosition="0">
          <references count="2">
            <reference field="4294967294" count="1" selected="0">
              <x v="0"/>
            </reference>
            <reference field="3" count="5">
              <x v="0"/>
              <x v="1"/>
              <x v="2"/>
              <x v="3"/>
              <x v="4"/>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994DCA-E5AF-46F5-B44F-0A38AEAEC0B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Occupation (Post-COVID)" colHeaderCaption="Gender">
  <location ref="R96:U103" firstHeaderRow="1" firstDataRow="2" firstDataCol="1"/>
  <pivotFields count="5">
    <pivotField axis="axisCol" dataField="1" showAll="0">
      <items count="3">
        <item x="1"/>
        <item x="0"/>
        <item t="default"/>
      </items>
    </pivotField>
    <pivotField showAll="0"/>
    <pivotField showAll="0"/>
    <pivotField showAll="0"/>
    <pivotField axis="axisRow" showAll="0">
      <items count="6">
        <item x="2"/>
        <item x="1"/>
        <item x="0"/>
        <item x="4"/>
        <item x="3"/>
        <item t="default"/>
      </items>
    </pivotField>
  </pivotFields>
  <rowFields count="1">
    <field x="4"/>
  </rowFields>
  <rowItems count="6">
    <i>
      <x/>
    </i>
    <i>
      <x v="1"/>
    </i>
    <i>
      <x v="2"/>
    </i>
    <i>
      <x v="3"/>
    </i>
    <i>
      <x v="4"/>
    </i>
    <i t="grand">
      <x/>
    </i>
  </rowItems>
  <colFields count="1">
    <field x="0"/>
  </colFields>
  <colItems count="3">
    <i>
      <x/>
    </i>
    <i>
      <x v="1"/>
    </i>
    <i t="grand">
      <x/>
    </i>
  </colItems>
  <dataFields count="1">
    <dataField name="# of Respondents " fld="0" subtotal="count" baseField="0" baseItem="0"/>
  </dataFields>
  <conditionalFormats count="3">
    <conditionalFormat priority="35">
      <pivotAreas count="1">
        <pivotArea type="data" collapsedLevelsAreSubtotals="1" fieldPosition="0">
          <references count="3">
            <reference field="4294967294" count="1" selected="0">
              <x v="0"/>
            </reference>
            <reference field="0" count="1" selected="0">
              <x v="0"/>
            </reference>
            <reference field="4" count="5">
              <x v="0"/>
              <x v="1"/>
              <x v="2"/>
              <x v="3"/>
              <x v="4"/>
            </reference>
          </references>
        </pivotArea>
      </pivotAreas>
    </conditionalFormat>
    <conditionalFormat priority="34">
      <pivotAreas count="1">
        <pivotArea type="data" collapsedLevelsAreSubtotals="1" fieldPosition="0">
          <references count="3">
            <reference field="4294967294" count="1" selected="0">
              <x v="0"/>
            </reference>
            <reference field="0" count="1" selected="0">
              <x v="1"/>
            </reference>
            <reference field="4" count="5">
              <x v="0"/>
              <x v="1"/>
              <x v="2"/>
              <x v="3"/>
              <x v="4"/>
            </reference>
          </references>
        </pivotArea>
      </pivotAreas>
    </conditionalFormat>
    <conditionalFormat type="all" priority="27">
      <pivotAreas count="1">
        <pivotArea type="data" grandCol="1" collapsedLevelsAreSubtotals="1" fieldPosition="0">
          <references count="2">
            <reference field="4294967294" count="1" selected="0">
              <x v="0"/>
            </reference>
            <reference field="4" count="5">
              <x v="0"/>
              <x v="1"/>
              <x v="2"/>
              <x v="3"/>
              <x v="4"/>
            </reference>
          </references>
        </pivotArea>
      </pivotAreas>
    </conditionalFormat>
  </conditionalFormats>
  <chartFormats count="4">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A91973-4399-4B1A-B7BE-33F02BEFE9B2}" name="PivotTable1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Mode of Transport by Pre-COVID Occupation" colHeaderCaption="Gender">
  <location ref="AB53:AE80"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5">
        <item x="0"/>
        <item x="1"/>
        <item x="2"/>
        <item x="3"/>
        <item x="4"/>
      </items>
    </pivotField>
  </pivotFields>
  <rowFields count="2">
    <field x="2"/>
    <field x="3"/>
  </rowFields>
  <rowItems count="26">
    <i>
      <x/>
    </i>
    <i r="1">
      <x/>
    </i>
    <i>
      <x v="1"/>
    </i>
    <i r="1">
      <x v="1"/>
    </i>
    <i>
      <x v="2"/>
    </i>
    <i r="1">
      <x/>
    </i>
    <i r="1">
      <x v="1"/>
    </i>
    <i>
      <x v="3"/>
    </i>
    <i r="1">
      <x/>
    </i>
    <i r="1">
      <x v="1"/>
    </i>
    <i>
      <x v="4"/>
    </i>
    <i r="1">
      <x v="2"/>
    </i>
    <i>
      <x v="5"/>
    </i>
    <i r="1">
      <x/>
    </i>
    <i r="1">
      <x v="2"/>
    </i>
    <i r="1">
      <x v="1"/>
    </i>
    <i r="1">
      <x v="3"/>
    </i>
    <i r="1">
      <x v="4"/>
    </i>
    <i>
      <x v="6"/>
    </i>
    <i r="1">
      <x/>
    </i>
    <i r="1">
      <x v="1"/>
    </i>
    <i r="1">
      <x v="3"/>
    </i>
    <i>
      <x v="7"/>
    </i>
    <i r="1">
      <x/>
    </i>
    <i r="1">
      <x v="1"/>
    </i>
    <i t="grand">
      <x/>
    </i>
  </rowItems>
  <colFields count="1">
    <field x="0"/>
  </colFields>
  <colItems count="3">
    <i>
      <x/>
    </i>
    <i>
      <x v="1"/>
    </i>
    <i t="grand">
      <x/>
    </i>
  </colItems>
  <dataFields count="1">
    <dataField name="# of Respondents" fld="1" subtotal="count" baseField="0" baseItem="0"/>
  </dataFields>
  <conditionalFormats count="2">
    <conditionalFormat priority="12">
      <pivotAreas count="16">
        <pivotArea type="data" collapsedLevelsAreSubtotals="1" fieldPosition="0">
          <references count="4">
            <reference field="4294967294" count="1" selected="0">
              <x v="0"/>
            </reference>
            <reference field="0" count="1" selected="0">
              <x v="0"/>
            </reference>
            <reference field="2" count="1" selected="0">
              <x v="0"/>
            </reference>
            <reference field="3" count="1">
              <x v="0"/>
            </reference>
          </references>
        </pivotArea>
        <pivotArea type="data" collapsedLevelsAreSubtotals="1" fieldPosition="0">
          <references count="4">
            <reference field="4294967294" count="1" selected="0">
              <x v="0"/>
            </reference>
            <reference field="0" count="1" selected="0">
              <x v="0"/>
            </reference>
            <reference field="2" count="1" selected="0">
              <x v="1"/>
            </reference>
            <reference field="3" count="1">
              <x v="1"/>
            </reference>
          </references>
        </pivotArea>
        <pivotArea type="data" collapsedLevelsAreSubtotals="1" fieldPosition="0">
          <references count="4">
            <reference field="4294967294" count="1" selected="0">
              <x v="0"/>
            </reference>
            <reference field="0" count="1" selected="0">
              <x v="0"/>
            </reference>
            <reference field="2" count="1" selected="0">
              <x v="2"/>
            </reference>
            <reference field="3" count="2">
              <x v="0"/>
              <x v="1"/>
            </reference>
          </references>
        </pivotArea>
        <pivotArea type="data" collapsedLevelsAreSubtotals="1" fieldPosition="0">
          <references count="4">
            <reference field="4294967294" count="1" selected="0">
              <x v="0"/>
            </reference>
            <reference field="0" count="1" selected="0">
              <x v="0"/>
            </reference>
            <reference field="2" count="1" selected="0">
              <x v="3"/>
            </reference>
            <reference field="3" count="2">
              <x v="0"/>
              <x v="1"/>
            </reference>
          </references>
        </pivotArea>
        <pivotArea type="data" collapsedLevelsAreSubtotals="1" fieldPosition="0">
          <references count="4">
            <reference field="4294967294" count="1" selected="0">
              <x v="0"/>
            </reference>
            <reference field="0" count="1" selected="0">
              <x v="0"/>
            </reference>
            <reference field="2" count="1" selected="0">
              <x v="4"/>
            </reference>
            <reference field="3" count="1">
              <x v="2"/>
            </reference>
          </references>
        </pivotArea>
        <pivotArea type="data" collapsedLevelsAreSubtotals="1" fieldPosition="0">
          <references count="4">
            <reference field="4294967294" count="1" selected="0">
              <x v="0"/>
            </reference>
            <reference field="0" count="1" selected="0">
              <x v="0"/>
            </reference>
            <reference field="2" count="1" selected="0">
              <x v="5"/>
            </reference>
            <reference field="3" count="5">
              <x v="0"/>
              <x v="1"/>
              <x v="2"/>
              <x v="3"/>
              <x v="4"/>
            </reference>
          </references>
        </pivotArea>
        <pivotArea type="data" collapsedLevelsAreSubtotals="1" fieldPosition="0">
          <references count="4">
            <reference field="4294967294" count="1" selected="0">
              <x v="0"/>
            </reference>
            <reference field="0" count="1" selected="0">
              <x v="0"/>
            </reference>
            <reference field="2" count="1" selected="0">
              <x v="6"/>
            </reference>
            <reference field="3" count="3">
              <x v="0"/>
              <x v="1"/>
              <x v="3"/>
            </reference>
          </references>
        </pivotArea>
        <pivotArea type="data" collapsedLevelsAreSubtotals="1" fieldPosition="0">
          <references count="4">
            <reference field="4294967294" count="1" selected="0">
              <x v="0"/>
            </reference>
            <reference field="0" count="1" selected="0">
              <x v="0"/>
            </reference>
            <reference field="2" count="1" selected="0">
              <x v="7"/>
            </reference>
            <reference field="3" count="2">
              <x v="0"/>
              <x v="1"/>
            </reference>
          </references>
        </pivotArea>
        <pivotArea type="data" collapsedLevelsAreSubtotals="1" fieldPosition="0">
          <references count="4">
            <reference field="4294967294" count="1" selected="0">
              <x v="0"/>
            </reference>
            <reference field="0" count="1" selected="0">
              <x v="1"/>
            </reference>
            <reference field="2" count="1" selected="0">
              <x v="0"/>
            </reference>
            <reference field="3" count="1">
              <x v="0"/>
            </reference>
          </references>
        </pivotArea>
        <pivotArea type="data" collapsedLevelsAreSubtotals="1" fieldPosition="0">
          <references count="4">
            <reference field="4294967294" count="1" selected="0">
              <x v="0"/>
            </reference>
            <reference field="0" count="1" selected="0">
              <x v="1"/>
            </reference>
            <reference field="2" count="1" selected="0">
              <x v="1"/>
            </reference>
            <reference field="3" count="1">
              <x v="1"/>
            </reference>
          </references>
        </pivotArea>
        <pivotArea type="data" collapsedLevelsAreSubtotals="1" fieldPosition="0">
          <references count="4">
            <reference field="4294967294" count="1" selected="0">
              <x v="0"/>
            </reference>
            <reference field="0" count="1" selected="0">
              <x v="1"/>
            </reference>
            <reference field="2" count="1" selected="0">
              <x v="2"/>
            </reference>
            <reference field="3" count="2">
              <x v="0"/>
              <x v="1"/>
            </reference>
          </references>
        </pivotArea>
        <pivotArea type="data" collapsedLevelsAreSubtotals="1" fieldPosition="0">
          <references count="4">
            <reference field="4294967294" count="1" selected="0">
              <x v="0"/>
            </reference>
            <reference field="0" count="1" selected="0">
              <x v="1"/>
            </reference>
            <reference field="2" count="1" selected="0">
              <x v="3"/>
            </reference>
            <reference field="3" count="2">
              <x v="0"/>
              <x v="1"/>
            </reference>
          </references>
        </pivotArea>
        <pivotArea type="data" collapsedLevelsAreSubtotals="1" fieldPosition="0">
          <references count="4">
            <reference field="4294967294" count="1" selected="0">
              <x v="0"/>
            </reference>
            <reference field="0" count="1" selected="0">
              <x v="1"/>
            </reference>
            <reference field="2" count="1" selected="0">
              <x v="4"/>
            </reference>
            <reference field="3" count="1">
              <x v="2"/>
            </reference>
          </references>
        </pivotArea>
        <pivotArea type="data" collapsedLevelsAreSubtotals="1" fieldPosition="0">
          <references count="4">
            <reference field="4294967294" count="1" selected="0">
              <x v="0"/>
            </reference>
            <reference field="0" count="1" selected="0">
              <x v="1"/>
            </reference>
            <reference field="2" count="1" selected="0">
              <x v="5"/>
            </reference>
            <reference field="3" count="5">
              <x v="0"/>
              <x v="1"/>
              <x v="2"/>
              <x v="3"/>
              <x v="4"/>
            </reference>
          </references>
        </pivotArea>
        <pivotArea type="data" collapsedLevelsAreSubtotals="1" fieldPosition="0">
          <references count="4">
            <reference field="4294967294" count="1" selected="0">
              <x v="0"/>
            </reference>
            <reference field="0" count="1" selected="0">
              <x v="1"/>
            </reference>
            <reference field="2" count="1" selected="0">
              <x v="6"/>
            </reference>
            <reference field="3" count="3">
              <x v="0"/>
              <x v="1"/>
              <x v="3"/>
            </reference>
          </references>
        </pivotArea>
        <pivotArea type="data" collapsedLevelsAreSubtotals="1" fieldPosition="0">
          <references count="4">
            <reference field="4294967294" count="1" selected="0">
              <x v="0"/>
            </reference>
            <reference field="0" count="1" selected="0">
              <x v="1"/>
            </reference>
            <reference field="2" count="1" selected="0">
              <x v="7"/>
            </reference>
            <reference field="3" count="2">
              <x v="0"/>
              <x v="1"/>
            </reference>
          </references>
        </pivotArea>
      </pivotAreas>
    </conditionalFormat>
    <conditionalFormat type="all" priority="11">
      <pivotAreas count="8">
        <pivotArea type="data" grandCol="1" collapsedLevelsAreSubtotals="1" fieldPosition="0">
          <references count="3">
            <reference field="4294967294" count="1" selected="0">
              <x v="0"/>
            </reference>
            <reference field="2" count="1" selected="0">
              <x v="0"/>
            </reference>
            <reference field="3" count="1">
              <x v="0"/>
            </reference>
          </references>
        </pivotArea>
        <pivotArea type="data" grandCol="1" collapsedLevelsAreSubtotals="1" fieldPosition="0">
          <references count="3">
            <reference field="4294967294" count="1" selected="0">
              <x v="0"/>
            </reference>
            <reference field="2" count="1" selected="0">
              <x v="1"/>
            </reference>
            <reference field="3" count="1">
              <x v="1"/>
            </reference>
          </references>
        </pivotArea>
        <pivotArea type="data" grandCol="1" collapsedLevelsAreSubtotals="1" fieldPosition="0">
          <references count="3">
            <reference field="4294967294" count="1" selected="0">
              <x v="0"/>
            </reference>
            <reference field="2" count="1" selected="0">
              <x v="2"/>
            </reference>
            <reference field="3" count="2">
              <x v="0"/>
              <x v="1"/>
            </reference>
          </references>
        </pivotArea>
        <pivotArea type="data" grandCol="1" collapsedLevelsAreSubtotals="1" fieldPosition="0">
          <references count="3">
            <reference field="4294967294" count="1" selected="0">
              <x v="0"/>
            </reference>
            <reference field="2" count="1" selected="0">
              <x v="3"/>
            </reference>
            <reference field="3" count="2">
              <x v="0"/>
              <x v="1"/>
            </reference>
          </references>
        </pivotArea>
        <pivotArea type="data" grandCol="1" collapsedLevelsAreSubtotals="1" fieldPosition="0">
          <references count="3">
            <reference field="4294967294" count="1" selected="0">
              <x v="0"/>
            </reference>
            <reference field="2" count="1" selected="0">
              <x v="4"/>
            </reference>
            <reference field="3" count="1">
              <x v="2"/>
            </reference>
          </references>
        </pivotArea>
        <pivotArea type="data" grandCol="1" collapsedLevelsAreSubtotals="1" fieldPosition="0">
          <references count="3">
            <reference field="4294967294" count="1" selected="0">
              <x v="0"/>
            </reference>
            <reference field="2" count="1" selected="0">
              <x v="5"/>
            </reference>
            <reference field="3" count="5">
              <x v="0"/>
              <x v="1"/>
              <x v="2"/>
              <x v="3"/>
              <x v="4"/>
            </reference>
          </references>
        </pivotArea>
        <pivotArea type="data" grandCol="1" collapsedLevelsAreSubtotals="1" fieldPosition="0">
          <references count="3">
            <reference field="4294967294" count="1" selected="0">
              <x v="0"/>
            </reference>
            <reference field="2" count="1" selected="0">
              <x v="6"/>
            </reference>
            <reference field="3" count="3">
              <x v="0"/>
              <x v="1"/>
              <x v="3"/>
            </reference>
          </references>
        </pivotArea>
        <pivotArea type="data" grandCol="1" collapsedLevelsAreSubtotals="1" fieldPosition="0">
          <references count="3">
            <reference field="4294967294" count="1" selected="0">
              <x v="0"/>
            </reference>
            <reference field="2" count="1" selected="0">
              <x v="7"/>
            </reference>
            <reference field="3" count="2">
              <x v="0"/>
              <x v="1"/>
            </reference>
          </references>
        </pivotArea>
      </pivotAreas>
    </conditionalFormat>
  </conditionalFormats>
  <chartFormats count="2">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920DB1B-586B-4DBF-98F9-F8F653925CAF}"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Distance by Pre-COVID Occupation" colHeaderCaption="Gender">
  <location ref="W53:Z79" firstHeaderRow="1" firstDataRow="2" firstDataCol="1"/>
  <pivotFields count="15">
    <pivotField axis="axisCol" dataField="1" showAll="0">
      <items count="3">
        <item x="1"/>
        <item x="0"/>
        <item t="default"/>
      </items>
    </pivotField>
    <pivotField showAll="0"/>
    <pivotField showAll="0"/>
    <pivotField axis="axisRow" showAll="0">
      <items count="6">
        <item x="1"/>
        <item x="3"/>
        <item x="0"/>
        <item x="4"/>
        <item x="2"/>
        <item t="default"/>
      </items>
    </pivotField>
    <pivotField showAll="0"/>
    <pivotField axis="axisRow" showAll="0">
      <items count="8">
        <item x="0"/>
        <item x="6"/>
        <item x="5"/>
        <item x="2"/>
        <item x="3"/>
        <item x="1"/>
        <item x="4"/>
        <item t="default"/>
      </items>
    </pivotField>
    <pivotField showAll="0"/>
    <pivotField showAll="0"/>
    <pivotField showAll="0"/>
    <pivotField showAll="0"/>
    <pivotField showAll="0"/>
    <pivotField showAll="0"/>
    <pivotField showAll="0"/>
    <pivotField showAll="0"/>
    <pivotField showAll="0"/>
  </pivotFields>
  <rowFields count="2">
    <field x="5"/>
    <field x="3"/>
  </rowFields>
  <rowItems count="25">
    <i>
      <x/>
    </i>
    <i r="1">
      <x/>
    </i>
    <i r="1">
      <x v="1"/>
    </i>
    <i r="1">
      <x v="2"/>
    </i>
    <i r="1">
      <x v="3"/>
    </i>
    <i>
      <x v="1"/>
    </i>
    <i r="1">
      <x v="2"/>
    </i>
    <i>
      <x v="2"/>
    </i>
    <i r="1">
      <x/>
    </i>
    <i>
      <x v="3"/>
    </i>
    <i r="1">
      <x/>
    </i>
    <i r="1">
      <x v="2"/>
    </i>
    <i>
      <x v="4"/>
    </i>
    <i r="1">
      <x/>
    </i>
    <i r="1">
      <x v="2"/>
    </i>
    <i>
      <x v="5"/>
    </i>
    <i r="1">
      <x/>
    </i>
    <i r="1">
      <x v="2"/>
    </i>
    <i>
      <x v="6"/>
    </i>
    <i r="1">
      <x/>
    </i>
    <i r="1">
      <x v="1"/>
    </i>
    <i r="1">
      <x v="2"/>
    </i>
    <i r="1">
      <x v="3"/>
    </i>
    <i r="1">
      <x v="4"/>
    </i>
    <i t="grand">
      <x/>
    </i>
  </rowItems>
  <colFields count="1">
    <field x="0"/>
  </colFields>
  <colItems count="3">
    <i>
      <x/>
    </i>
    <i>
      <x v="1"/>
    </i>
    <i t="grand">
      <x/>
    </i>
  </colItems>
  <dataFields count="1">
    <dataField name="# of Respondents" fld="0" subtotal="count" baseField="0" baseItem="0"/>
  </dataFields>
  <conditionalFormats count="3">
    <conditionalFormat priority="33">
      <pivotAreas count="7">
        <pivotArea type="data" collapsedLevelsAreSubtotals="1" fieldPosition="0">
          <references count="4">
            <reference field="4294967294" count="1" selected="0">
              <x v="0"/>
            </reference>
            <reference field="0" count="1" selected="0">
              <x v="0"/>
            </reference>
            <reference field="3" count="4">
              <x v="0"/>
              <x v="1"/>
              <x v="2"/>
              <x v="3"/>
            </reference>
            <reference field="5" count="1" selected="0">
              <x v="0"/>
            </reference>
          </references>
        </pivotArea>
        <pivotArea type="data" collapsedLevelsAreSubtotals="1" fieldPosition="0">
          <references count="4">
            <reference field="4294967294" count="1" selected="0">
              <x v="0"/>
            </reference>
            <reference field="0" count="1" selected="0">
              <x v="0"/>
            </reference>
            <reference field="3" count="1">
              <x v="2"/>
            </reference>
            <reference field="5" count="1" selected="0">
              <x v="1"/>
            </reference>
          </references>
        </pivotArea>
        <pivotArea type="data" collapsedLevelsAreSubtotals="1" fieldPosition="0">
          <references count="4">
            <reference field="4294967294" count="1" selected="0">
              <x v="0"/>
            </reference>
            <reference field="0" count="1" selected="0">
              <x v="0"/>
            </reference>
            <reference field="3" count="1">
              <x v="0"/>
            </reference>
            <reference field="5" count="1" selected="0">
              <x v="2"/>
            </reference>
          </references>
        </pivotArea>
        <pivotArea type="data" collapsedLevelsAreSubtotals="1" fieldPosition="0">
          <references count="4">
            <reference field="4294967294" count="1" selected="0">
              <x v="0"/>
            </reference>
            <reference field="0" count="1" selected="0">
              <x v="0"/>
            </reference>
            <reference field="3" count="2">
              <x v="0"/>
              <x v="2"/>
            </reference>
            <reference field="5" count="1" selected="0">
              <x v="3"/>
            </reference>
          </references>
        </pivotArea>
        <pivotArea type="data" collapsedLevelsAreSubtotals="1" fieldPosition="0">
          <references count="4">
            <reference field="4294967294" count="1" selected="0">
              <x v="0"/>
            </reference>
            <reference field="0" count="1" selected="0">
              <x v="0"/>
            </reference>
            <reference field="3" count="2">
              <x v="0"/>
              <x v="2"/>
            </reference>
            <reference field="5" count="1" selected="0">
              <x v="4"/>
            </reference>
          </references>
        </pivotArea>
        <pivotArea type="data" collapsedLevelsAreSubtotals="1" fieldPosition="0">
          <references count="4">
            <reference field="4294967294" count="1" selected="0">
              <x v="0"/>
            </reference>
            <reference field="0" count="1" selected="0">
              <x v="0"/>
            </reference>
            <reference field="3" count="2">
              <x v="0"/>
              <x v="2"/>
            </reference>
            <reference field="5" count="1" selected="0">
              <x v="5"/>
            </reference>
          </references>
        </pivotArea>
        <pivotArea type="data" collapsedLevelsAreSubtotals="1" fieldPosition="0">
          <references count="4">
            <reference field="4294967294" count="1" selected="0">
              <x v="0"/>
            </reference>
            <reference field="0" count="1" selected="0">
              <x v="0"/>
            </reference>
            <reference field="3" count="5">
              <x v="0"/>
              <x v="1"/>
              <x v="2"/>
              <x v="3"/>
              <x v="4"/>
            </reference>
            <reference field="5" count="1" selected="0">
              <x v="6"/>
            </reference>
          </references>
        </pivotArea>
      </pivotAreas>
    </conditionalFormat>
    <conditionalFormat priority="32">
      <pivotAreas count="7">
        <pivotArea type="data" collapsedLevelsAreSubtotals="1" fieldPosition="0">
          <references count="4">
            <reference field="4294967294" count="1" selected="0">
              <x v="0"/>
            </reference>
            <reference field="0" count="1" selected="0">
              <x v="1"/>
            </reference>
            <reference field="3" count="4">
              <x v="0"/>
              <x v="1"/>
              <x v="2"/>
              <x v="3"/>
            </reference>
            <reference field="5" count="1" selected="0">
              <x v="0"/>
            </reference>
          </references>
        </pivotArea>
        <pivotArea type="data" collapsedLevelsAreSubtotals="1" fieldPosition="0">
          <references count="4">
            <reference field="4294967294" count="1" selected="0">
              <x v="0"/>
            </reference>
            <reference field="0" count="1" selected="0">
              <x v="1"/>
            </reference>
            <reference field="3" count="1">
              <x v="2"/>
            </reference>
            <reference field="5" count="1" selected="0">
              <x v="1"/>
            </reference>
          </references>
        </pivotArea>
        <pivotArea type="data" collapsedLevelsAreSubtotals="1" fieldPosition="0">
          <references count="4">
            <reference field="4294967294" count="1" selected="0">
              <x v="0"/>
            </reference>
            <reference field="0" count="1" selected="0">
              <x v="1"/>
            </reference>
            <reference field="3" count="1">
              <x v="0"/>
            </reference>
            <reference field="5" count="1" selected="0">
              <x v="2"/>
            </reference>
          </references>
        </pivotArea>
        <pivotArea type="data" collapsedLevelsAreSubtotals="1" fieldPosition="0">
          <references count="4">
            <reference field="4294967294" count="1" selected="0">
              <x v="0"/>
            </reference>
            <reference field="0" count="1" selected="0">
              <x v="1"/>
            </reference>
            <reference field="3" count="2">
              <x v="0"/>
              <x v="2"/>
            </reference>
            <reference field="5" count="1" selected="0">
              <x v="3"/>
            </reference>
          </references>
        </pivotArea>
        <pivotArea type="data" collapsedLevelsAreSubtotals="1" fieldPosition="0">
          <references count="4">
            <reference field="4294967294" count="1" selected="0">
              <x v="0"/>
            </reference>
            <reference field="0" count="1" selected="0">
              <x v="1"/>
            </reference>
            <reference field="3" count="2">
              <x v="0"/>
              <x v="2"/>
            </reference>
            <reference field="5" count="1" selected="0">
              <x v="4"/>
            </reference>
          </references>
        </pivotArea>
        <pivotArea type="data" collapsedLevelsAreSubtotals="1" fieldPosition="0">
          <references count="4">
            <reference field="4294967294" count="1" selected="0">
              <x v="0"/>
            </reference>
            <reference field="0" count="1" selected="0">
              <x v="1"/>
            </reference>
            <reference field="3" count="2">
              <x v="0"/>
              <x v="2"/>
            </reference>
            <reference field="5" count="1" selected="0">
              <x v="5"/>
            </reference>
          </references>
        </pivotArea>
        <pivotArea type="data" collapsedLevelsAreSubtotals="1" fieldPosition="0">
          <references count="4">
            <reference field="4294967294" count="1" selected="0">
              <x v="0"/>
            </reference>
            <reference field="0" count="1" selected="0">
              <x v="1"/>
            </reference>
            <reference field="3" count="5">
              <x v="0"/>
              <x v="1"/>
              <x v="2"/>
              <x v="3"/>
              <x v="4"/>
            </reference>
            <reference field="5" count="1" selected="0">
              <x v="6"/>
            </reference>
          </references>
        </pivotArea>
      </pivotAreas>
    </conditionalFormat>
    <conditionalFormat type="all" priority="26">
      <pivotAreas count="7">
        <pivotArea type="data" grandCol="1" collapsedLevelsAreSubtotals="1" fieldPosition="0">
          <references count="3">
            <reference field="4294967294" count="1" selected="0">
              <x v="0"/>
            </reference>
            <reference field="3" count="4">
              <x v="0"/>
              <x v="1"/>
              <x v="2"/>
              <x v="3"/>
            </reference>
            <reference field="5" count="1" selected="0">
              <x v="0"/>
            </reference>
          </references>
        </pivotArea>
        <pivotArea type="data" grandCol="1" collapsedLevelsAreSubtotals="1" fieldPosition="0">
          <references count="3">
            <reference field="4294967294" count="1" selected="0">
              <x v="0"/>
            </reference>
            <reference field="3" count="1">
              <x v="2"/>
            </reference>
            <reference field="5" count="1" selected="0">
              <x v="1"/>
            </reference>
          </references>
        </pivotArea>
        <pivotArea type="data" grandCol="1" collapsedLevelsAreSubtotals="1" fieldPosition="0">
          <references count="3">
            <reference field="4294967294" count="1" selected="0">
              <x v="0"/>
            </reference>
            <reference field="3" count="1">
              <x v="0"/>
            </reference>
            <reference field="5" count="1" selected="0">
              <x v="2"/>
            </reference>
          </references>
        </pivotArea>
        <pivotArea type="data" grandCol="1" collapsedLevelsAreSubtotals="1" fieldPosition="0">
          <references count="3">
            <reference field="4294967294" count="1" selected="0">
              <x v="0"/>
            </reference>
            <reference field="3" count="2">
              <x v="0"/>
              <x v="2"/>
            </reference>
            <reference field="5" count="1" selected="0">
              <x v="3"/>
            </reference>
          </references>
        </pivotArea>
        <pivotArea type="data" grandCol="1" collapsedLevelsAreSubtotals="1" fieldPosition="0">
          <references count="3">
            <reference field="4294967294" count="1" selected="0">
              <x v="0"/>
            </reference>
            <reference field="3" count="2">
              <x v="0"/>
              <x v="2"/>
            </reference>
            <reference field="5" count="1" selected="0">
              <x v="4"/>
            </reference>
          </references>
        </pivotArea>
        <pivotArea type="data" grandCol="1" collapsedLevelsAreSubtotals="1" fieldPosition="0">
          <references count="3">
            <reference field="4294967294" count="1" selected="0">
              <x v="0"/>
            </reference>
            <reference field="3" count="2">
              <x v="0"/>
              <x v="2"/>
            </reference>
            <reference field="5" count="1" selected="0">
              <x v="5"/>
            </reference>
          </references>
        </pivotArea>
        <pivotArea type="data" grandCol="1" collapsedLevelsAreSubtotals="1" fieldPosition="0">
          <references count="3">
            <reference field="4294967294" count="1" selected="0">
              <x v="0"/>
            </reference>
            <reference field="3" count="5">
              <x v="0"/>
              <x v="1"/>
              <x v="2"/>
              <x v="3"/>
              <x v="4"/>
            </reference>
            <reference field="5" count="1" selected="0">
              <x v="6"/>
            </reference>
          </references>
        </pivotArea>
      </pivotAreas>
    </conditionalFormat>
  </conditionalFormats>
  <chartFormats count="6">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C2660F7-313A-4A78-A12D-F19F1BFC23C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Area of Residence by Age" colHeaderCaption="Gender">
  <location ref="R53:U81" firstHeaderRow="1" firstDataRow="2" firstDataCol="1"/>
  <pivotFields count="5">
    <pivotField axis="axisCol" showAll="0">
      <items count="3">
        <item x="1"/>
        <item x="0"/>
        <item t="default"/>
      </items>
    </pivotField>
    <pivotField axis="axisRow" showAll="0">
      <items count="7">
        <item x="0"/>
        <item x="1"/>
        <item x="5"/>
        <item x="4"/>
        <item x="2"/>
        <item x="3"/>
        <item t="default"/>
      </items>
    </pivotField>
    <pivotField axis="axisRow" dataField="1" showAll="0">
      <items count="12">
        <item x="6"/>
        <item x="2"/>
        <item x="3"/>
        <item x="4"/>
        <item x="0"/>
        <item x="5"/>
        <item x="9"/>
        <item x="1"/>
        <item x="8"/>
        <item x="10"/>
        <item x="7"/>
        <item t="default"/>
      </items>
    </pivotField>
    <pivotField showAll="0"/>
    <pivotField showAll="0"/>
  </pivotFields>
  <rowFields count="2">
    <field x="1"/>
    <field x="2"/>
  </rowFields>
  <rowItems count="27">
    <i>
      <x/>
    </i>
    <i r="1">
      <x/>
    </i>
    <i r="1">
      <x v="1"/>
    </i>
    <i r="1">
      <x v="4"/>
    </i>
    <i r="1">
      <x v="6"/>
    </i>
    <i r="1">
      <x v="7"/>
    </i>
    <i r="1">
      <x v="8"/>
    </i>
    <i r="1">
      <x v="10"/>
    </i>
    <i>
      <x v="1"/>
    </i>
    <i r="1">
      <x v="1"/>
    </i>
    <i r="1">
      <x v="2"/>
    </i>
    <i r="1">
      <x v="3"/>
    </i>
    <i r="1">
      <x v="4"/>
    </i>
    <i>
      <x v="2"/>
    </i>
    <i r="1">
      <x v="5"/>
    </i>
    <i r="1">
      <x v="9"/>
    </i>
    <i>
      <x v="3"/>
    </i>
    <i r="1">
      <x v="3"/>
    </i>
    <i r="1">
      <x v="4"/>
    </i>
    <i>
      <x v="4"/>
    </i>
    <i r="1">
      <x/>
    </i>
    <i r="1">
      <x v="4"/>
    </i>
    <i>
      <x v="5"/>
    </i>
    <i r="1">
      <x v="2"/>
    </i>
    <i r="1">
      <x v="4"/>
    </i>
    <i r="1">
      <x v="5"/>
    </i>
    <i t="grand">
      <x/>
    </i>
  </rowItems>
  <colFields count="1">
    <field x="0"/>
  </colFields>
  <colItems count="3">
    <i>
      <x/>
    </i>
    <i>
      <x v="1"/>
    </i>
    <i t="grand">
      <x/>
    </i>
  </colItems>
  <dataFields count="1">
    <dataField name="# of Respondents " fld="2" subtotal="count" baseField="0" baseItem="0"/>
  </dataFields>
  <conditionalFormats count="3">
    <conditionalFormat priority="39">
      <pivotAreas count="6">
        <pivotArea type="data" collapsedLevelsAreSubtotals="1" fieldPosition="0">
          <references count="4">
            <reference field="4294967294" count="1" selected="0">
              <x v="0"/>
            </reference>
            <reference field="0" count="1" selected="0">
              <x v="0"/>
            </reference>
            <reference field="1" count="1" selected="0">
              <x v="0"/>
            </reference>
            <reference field="2" count="7">
              <x v="0"/>
              <x v="1"/>
              <x v="4"/>
              <x v="6"/>
              <x v="7"/>
              <x v="8"/>
              <x v="10"/>
            </reference>
          </references>
        </pivotArea>
        <pivotArea type="data" collapsedLevelsAreSubtotals="1" fieldPosition="0">
          <references count="4">
            <reference field="4294967294" count="1" selected="0">
              <x v="0"/>
            </reference>
            <reference field="0" count="1" selected="0">
              <x v="0"/>
            </reference>
            <reference field="1" count="1" selected="0">
              <x v="1"/>
            </reference>
            <reference field="2" count="4">
              <x v="1"/>
              <x v="2"/>
              <x v="3"/>
              <x v="4"/>
            </reference>
          </references>
        </pivotArea>
        <pivotArea type="data" collapsedLevelsAreSubtotals="1" fieldPosition="0">
          <references count="4">
            <reference field="4294967294" count="1" selected="0">
              <x v="0"/>
            </reference>
            <reference field="0" count="1" selected="0">
              <x v="0"/>
            </reference>
            <reference field="1" count="1" selected="0">
              <x v="2"/>
            </reference>
            <reference field="2" count="2">
              <x v="5"/>
              <x v="9"/>
            </reference>
          </references>
        </pivotArea>
        <pivotArea type="data" collapsedLevelsAreSubtotals="1" fieldPosition="0">
          <references count="4">
            <reference field="4294967294" count="1" selected="0">
              <x v="0"/>
            </reference>
            <reference field="0" count="1" selected="0">
              <x v="0"/>
            </reference>
            <reference field="1" count="1" selected="0">
              <x v="3"/>
            </reference>
            <reference field="2" count="2">
              <x v="3"/>
              <x v="4"/>
            </reference>
          </references>
        </pivotArea>
        <pivotArea type="data" collapsedLevelsAreSubtotals="1" fieldPosition="0">
          <references count="4">
            <reference field="4294967294" count="1" selected="0">
              <x v="0"/>
            </reference>
            <reference field="0" count="1" selected="0">
              <x v="0"/>
            </reference>
            <reference field="1" count="1" selected="0">
              <x v="4"/>
            </reference>
            <reference field="2" count="2">
              <x v="0"/>
              <x v="4"/>
            </reference>
          </references>
        </pivotArea>
        <pivotArea type="data" collapsedLevelsAreSubtotals="1" fieldPosition="0">
          <references count="4">
            <reference field="4294967294" count="1" selected="0">
              <x v="0"/>
            </reference>
            <reference field="0" count="1" selected="0">
              <x v="0"/>
            </reference>
            <reference field="1" count="1" selected="0">
              <x v="5"/>
            </reference>
            <reference field="2" count="3">
              <x v="2"/>
              <x v="4"/>
              <x v="5"/>
            </reference>
          </references>
        </pivotArea>
      </pivotAreas>
    </conditionalFormat>
    <conditionalFormat priority="38">
      <pivotAreas count="6">
        <pivotArea type="data" collapsedLevelsAreSubtotals="1" fieldPosition="0">
          <references count="4">
            <reference field="4294967294" count="1" selected="0">
              <x v="0"/>
            </reference>
            <reference field="0" count="1" selected="0">
              <x v="1"/>
            </reference>
            <reference field="1" count="1" selected="0">
              <x v="0"/>
            </reference>
            <reference field="2" count="7">
              <x v="0"/>
              <x v="1"/>
              <x v="4"/>
              <x v="6"/>
              <x v="7"/>
              <x v="8"/>
              <x v="10"/>
            </reference>
          </references>
        </pivotArea>
        <pivotArea type="data" collapsedLevelsAreSubtotals="1" fieldPosition="0">
          <references count="4">
            <reference field="4294967294" count="1" selected="0">
              <x v="0"/>
            </reference>
            <reference field="0" count="1" selected="0">
              <x v="1"/>
            </reference>
            <reference field="1" count="1" selected="0">
              <x v="1"/>
            </reference>
            <reference field="2" count="4">
              <x v="1"/>
              <x v="2"/>
              <x v="3"/>
              <x v="4"/>
            </reference>
          </references>
        </pivotArea>
        <pivotArea type="data" collapsedLevelsAreSubtotals="1" fieldPosition="0">
          <references count="4">
            <reference field="4294967294" count="1" selected="0">
              <x v="0"/>
            </reference>
            <reference field="0" count="1" selected="0">
              <x v="1"/>
            </reference>
            <reference field="1" count="1" selected="0">
              <x v="2"/>
            </reference>
            <reference field="2" count="2">
              <x v="5"/>
              <x v="9"/>
            </reference>
          </references>
        </pivotArea>
        <pivotArea type="data" collapsedLevelsAreSubtotals="1" fieldPosition="0">
          <references count="4">
            <reference field="4294967294" count="1" selected="0">
              <x v="0"/>
            </reference>
            <reference field="0" count="1" selected="0">
              <x v="1"/>
            </reference>
            <reference field="1" count="1" selected="0">
              <x v="3"/>
            </reference>
            <reference field="2" count="2">
              <x v="3"/>
              <x v="4"/>
            </reference>
          </references>
        </pivotArea>
        <pivotArea type="data" collapsedLevelsAreSubtotals="1" fieldPosition="0">
          <references count="4">
            <reference field="4294967294" count="1" selected="0">
              <x v="0"/>
            </reference>
            <reference field="0" count="1" selected="0">
              <x v="1"/>
            </reference>
            <reference field="1" count="1" selected="0">
              <x v="4"/>
            </reference>
            <reference field="2" count="2">
              <x v="0"/>
              <x v="4"/>
            </reference>
          </references>
        </pivotArea>
        <pivotArea type="data" collapsedLevelsAreSubtotals="1" fieldPosition="0">
          <references count="4">
            <reference field="4294967294" count="1" selected="0">
              <x v="0"/>
            </reference>
            <reference field="0" count="1" selected="0">
              <x v="1"/>
            </reference>
            <reference field="1" count="1" selected="0">
              <x v="5"/>
            </reference>
            <reference field="2" count="3">
              <x v="2"/>
              <x v="4"/>
              <x v="5"/>
            </reference>
          </references>
        </pivotArea>
      </pivotAreas>
    </conditionalFormat>
    <conditionalFormat type="all" priority="29">
      <pivotAreas count="6">
        <pivotArea type="data" grandCol="1" collapsedLevelsAreSubtotals="1" fieldPosition="0">
          <references count="3">
            <reference field="4294967294" count="1" selected="0">
              <x v="0"/>
            </reference>
            <reference field="1" count="1" selected="0">
              <x v="0"/>
            </reference>
            <reference field="2" count="7">
              <x v="0"/>
              <x v="1"/>
              <x v="4"/>
              <x v="6"/>
              <x v="7"/>
              <x v="8"/>
              <x v="10"/>
            </reference>
          </references>
        </pivotArea>
        <pivotArea type="data" grandCol="1" collapsedLevelsAreSubtotals="1" fieldPosition="0">
          <references count="3">
            <reference field="4294967294" count="1" selected="0">
              <x v="0"/>
            </reference>
            <reference field="1" count="1" selected="0">
              <x v="1"/>
            </reference>
            <reference field="2" count="4">
              <x v="1"/>
              <x v="2"/>
              <x v="3"/>
              <x v="4"/>
            </reference>
          </references>
        </pivotArea>
        <pivotArea type="data" grandCol="1" collapsedLevelsAreSubtotals="1" fieldPosition="0">
          <references count="3">
            <reference field="4294967294" count="1" selected="0">
              <x v="0"/>
            </reference>
            <reference field="1" count="1" selected="0">
              <x v="2"/>
            </reference>
            <reference field="2" count="2">
              <x v="5"/>
              <x v="9"/>
            </reference>
          </references>
        </pivotArea>
        <pivotArea type="data" grandCol="1" collapsedLevelsAreSubtotals="1" fieldPosition="0">
          <references count="3">
            <reference field="4294967294" count="1" selected="0">
              <x v="0"/>
            </reference>
            <reference field="1" count="1" selected="0">
              <x v="3"/>
            </reference>
            <reference field="2" count="2">
              <x v="3"/>
              <x v="4"/>
            </reference>
          </references>
        </pivotArea>
        <pivotArea type="data" grandCol="1" collapsedLevelsAreSubtotals="1" fieldPosition="0">
          <references count="3">
            <reference field="4294967294" count="1" selected="0">
              <x v="0"/>
            </reference>
            <reference field="1" count="1" selected="0">
              <x v="4"/>
            </reference>
            <reference field="2" count="2">
              <x v="0"/>
              <x v="4"/>
            </reference>
          </references>
        </pivotArea>
        <pivotArea type="data" grandCol="1" collapsedLevelsAreSubtotals="1" fieldPosition="0">
          <references count="3">
            <reference field="4294967294" count="1" selected="0">
              <x v="0"/>
            </reference>
            <reference field="1" count="1" selected="0">
              <x v="5"/>
            </reference>
            <reference field="2" count="3">
              <x v="2"/>
              <x v="4"/>
              <x v="5"/>
            </reference>
          </references>
        </pivotArea>
      </pivotAreas>
    </conditionalFormat>
  </conditionalFormats>
  <chartFormats count="4">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29F7480-F6B0-48EA-AE65-649BBE2B91F9}"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Distance by Area of Residence" colHeaderCaption="Gender">
  <location ref="W165:Z197"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11">
        <item x="0"/>
        <item x="1"/>
        <item x="2"/>
        <item x="3"/>
        <item x="4"/>
        <item x="5"/>
        <item x="6"/>
        <item x="7"/>
        <item x="8"/>
        <item x="9"/>
        <item x="10"/>
      </items>
    </pivotField>
  </pivotFields>
  <rowFields count="2">
    <field x="2"/>
    <field x="3"/>
  </rowFields>
  <rowItems count="31">
    <i>
      <x/>
    </i>
    <i r="1">
      <x/>
    </i>
    <i r="1">
      <x v="1"/>
    </i>
    <i r="1">
      <x v="2"/>
    </i>
    <i>
      <x v="1"/>
    </i>
    <i r="1">
      <x v="3"/>
    </i>
    <i r="1">
      <x/>
    </i>
    <i r="1">
      <x v="4"/>
    </i>
    <i>
      <x v="2"/>
    </i>
    <i r="1">
      <x/>
    </i>
    <i r="1">
      <x v="2"/>
    </i>
    <i r="1">
      <x v="5"/>
    </i>
    <i>
      <x v="3"/>
    </i>
    <i r="1">
      <x v="1"/>
    </i>
    <i>
      <x v="4"/>
    </i>
    <i r="1">
      <x v="6"/>
    </i>
    <i r="1">
      <x v="1"/>
    </i>
    <i r="1">
      <x v="7"/>
    </i>
    <i>
      <x v="5"/>
    </i>
    <i r="1">
      <x v="3"/>
    </i>
    <i r="1">
      <x v="8"/>
    </i>
    <i r="1">
      <x v="1"/>
    </i>
    <i r="1">
      <x v="9"/>
    </i>
    <i>
      <x v="6"/>
    </i>
    <i r="1">
      <x v="3"/>
    </i>
    <i r="1">
      <x v="8"/>
    </i>
    <i r="1">
      <x v="6"/>
    </i>
    <i r="1">
      <x v="1"/>
    </i>
    <i r="1">
      <x v="10"/>
    </i>
    <i r="1">
      <x v="5"/>
    </i>
    <i t="grand">
      <x/>
    </i>
  </rowItems>
  <colFields count="1">
    <field x="0"/>
  </colFields>
  <colItems count="3">
    <i>
      <x/>
    </i>
    <i>
      <x v="1"/>
    </i>
    <i t="grand">
      <x/>
    </i>
  </colItems>
  <dataFields count="1">
    <dataField name="# of Respondents" fld="1" subtotal="count" baseField="0" baseItem="0"/>
  </dataFields>
  <conditionalFormats count="3">
    <conditionalFormat priority="18">
      <pivotAreas count="7">
        <pivotArea type="data" collapsedLevelsAreSubtotals="1" fieldPosition="0">
          <references count="4">
            <reference field="4294967294" count="1" selected="0">
              <x v="0"/>
            </reference>
            <reference field="0" count="1" selected="0">
              <x v="0"/>
            </reference>
            <reference field="2" count="1" selected="0">
              <x v="0"/>
            </reference>
            <reference field="3" count="3">
              <x v="0"/>
              <x v="1"/>
              <x v="2"/>
            </reference>
          </references>
        </pivotArea>
        <pivotArea type="data" collapsedLevelsAreSubtotals="1" fieldPosition="0">
          <references count="4">
            <reference field="4294967294" count="1" selected="0">
              <x v="0"/>
            </reference>
            <reference field="0" count="1" selected="0">
              <x v="0"/>
            </reference>
            <reference field="2" count="1" selected="0">
              <x v="1"/>
            </reference>
            <reference field="3" count="3">
              <x v="0"/>
              <x v="3"/>
              <x v="4"/>
            </reference>
          </references>
        </pivotArea>
        <pivotArea type="data" collapsedLevelsAreSubtotals="1" fieldPosition="0">
          <references count="4">
            <reference field="4294967294" count="1" selected="0">
              <x v="0"/>
            </reference>
            <reference field="0" count="1" selected="0">
              <x v="0"/>
            </reference>
            <reference field="2" count="1" selected="0">
              <x v="2"/>
            </reference>
            <reference field="3" count="3">
              <x v="0"/>
              <x v="2"/>
              <x v="5"/>
            </reference>
          </references>
        </pivotArea>
        <pivotArea type="data" collapsedLevelsAreSubtotals="1" fieldPosition="0">
          <references count="4">
            <reference field="4294967294" count="1" selected="0">
              <x v="0"/>
            </reference>
            <reference field="0" count="1" selected="0">
              <x v="0"/>
            </reference>
            <reference field="2" count="1" selected="0">
              <x v="3"/>
            </reference>
            <reference field="3" count="1">
              <x v="1"/>
            </reference>
          </references>
        </pivotArea>
        <pivotArea type="data" collapsedLevelsAreSubtotals="1" fieldPosition="0">
          <references count="4">
            <reference field="4294967294" count="1" selected="0">
              <x v="0"/>
            </reference>
            <reference field="0" count="1" selected="0">
              <x v="0"/>
            </reference>
            <reference field="2" count="1" selected="0">
              <x v="4"/>
            </reference>
            <reference field="3" count="3">
              <x v="1"/>
              <x v="6"/>
              <x v="7"/>
            </reference>
          </references>
        </pivotArea>
        <pivotArea type="data" collapsedLevelsAreSubtotals="1" fieldPosition="0">
          <references count="4">
            <reference field="4294967294" count="1" selected="0">
              <x v="0"/>
            </reference>
            <reference field="0" count="1" selected="0">
              <x v="0"/>
            </reference>
            <reference field="2" count="1" selected="0">
              <x v="5"/>
            </reference>
            <reference field="3" count="4">
              <x v="1"/>
              <x v="3"/>
              <x v="8"/>
              <x v="9"/>
            </reference>
          </references>
        </pivotArea>
        <pivotArea type="data" collapsedLevelsAreSubtotals="1" fieldPosition="0">
          <references count="4">
            <reference field="4294967294" count="1" selected="0">
              <x v="0"/>
            </reference>
            <reference field="0" count="1" selected="0">
              <x v="0"/>
            </reference>
            <reference field="2" count="1" selected="0">
              <x v="6"/>
            </reference>
            <reference field="3" count="6">
              <x v="1"/>
              <x v="3"/>
              <x v="5"/>
              <x v="6"/>
              <x v="8"/>
              <x v="10"/>
            </reference>
          </references>
        </pivotArea>
      </pivotAreas>
    </conditionalFormat>
    <conditionalFormat priority="17">
      <pivotAreas count="7">
        <pivotArea type="data" collapsedLevelsAreSubtotals="1" fieldPosition="0">
          <references count="4">
            <reference field="4294967294" count="1" selected="0">
              <x v="0"/>
            </reference>
            <reference field="0" count="1" selected="0">
              <x v="1"/>
            </reference>
            <reference field="2" count="1" selected="0">
              <x v="0"/>
            </reference>
            <reference field="3" count="3">
              <x v="0"/>
              <x v="1"/>
              <x v="2"/>
            </reference>
          </references>
        </pivotArea>
        <pivotArea type="data" collapsedLevelsAreSubtotals="1" fieldPosition="0">
          <references count="4">
            <reference field="4294967294" count="1" selected="0">
              <x v="0"/>
            </reference>
            <reference field="0" count="1" selected="0">
              <x v="1"/>
            </reference>
            <reference field="2" count="1" selected="0">
              <x v="1"/>
            </reference>
            <reference field="3" count="3">
              <x v="0"/>
              <x v="3"/>
              <x v="4"/>
            </reference>
          </references>
        </pivotArea>
        <pivotArea type="data" collapsedLevelsAreSubtotals="1" fieldPosition="0">
          <references count="4">
            <reference field="4294967294" count="1" selected="0">
              <x v="0"/>
            </reference>
            <reference field="0" count="1" selected="0">
              <x v="1"/>
            </reference>
            <reference field="2" count="1" selected="0">
              <x v="2"/>
            </reference>
            <reference field="3" count="3">
              <x v="0"/>
              <x v="2"/>
              <x v="5"/>
            </reference>
          </references>
        </pivotArea>
        <pivotArea type="data" collapsedLevelsAreSubtotals="1" fieldPosition="0">
          <references count="4">
            <reference field="4294967294" count="1" selected="0">
              <x v="0"/>
            </reference>
            <reference field="0" count="1" selected="0">
              <x v="1"/>
            </reference>
            <reference field="2" count="1" selected="0">
              <x v="3"/>
            </reference>
            <reference field="3" count="1">
              <x v="1"/>
            </reference>
          </references>
        </pivotArea>
        <pivotArea type="data" collapsedLevelsAreSubtotals="1" fieldPosition="0">
          <references count="4">
            <reference field="4294967294" count="1" selected="0">
              <x v="0"/>
            </reference>
            <reference field="0" count="1" selected="0">
              <x v="1"/>
            </reference>
            <reference field="2" count="1" selected="0">
              <x v="4"/>
            </reference>
            <reference field="3" count="3">
              <x v="1"/>
              <x v="6"/>
              <x v="7"/>
            </reference>
          </references>
        </pivotArea>
        <pivotArea type="data" collapsedLevelsAreSubtotals="1" fieldPosition="0">
          <references count="4">
            <reference field="4294967294" count="1" selected="0">
              <x v="0"/>
            </reference>
            <reference field="0" count="1" selected="0">
              <x v="1"/>
            </reference>
            <reference field="2" count="1" selected="0">
              <x v="5"/>
            </reference>
            <reference field="3" count="4">
              <x v="1"/>
              <x v="3"/>
              <x v="8"/>
              <x v="9"/>
            </reference>
          </references>
        </pivotArea>
        <pivotArea type="data" collapsedLevelsAreSubtotals="1" fieldPosition="0">
          <references count="4">
            <reference field="4294967294" count="1" selected="0">
              <x v="0"/>
            </reference>
            <reference field="0" count="1" selected="0">
              <x v="1"/>
            </reference>
            <reference field="2" count="1" selected="0">
              <x v="6"/>
            </reference>
            <reference field="3" count="6">
              <x v="1"/>
              <x v="3"/>
              <x v="5"/>
              <x v="6"/>
              <x v="8"/>
              <x v="10"/>
            </reference>
          </references>
        </pivotArea>
      </pivotAreas>
    </conditionalFormat>
    <conditionalFormat type="all" priority="16">
      <pivotAreas count="7">
        <pivotArea type="data" grandCol="1" collapsedLevelsAreSubtotals="1" fieldPosition="0">
          <references count="3">
            <reference field="4294967294" count="1" selected="0">
              <x v="0"/>
            </reference>
            <reference field="2" count="1" selected="0">
              <x v="0"/>
            </reference>
            <reference field="3" count="3">
              <x v="0"/>
              <x v="1"/>
              <x v="2"/>
            </reference>
          </references>
        </pivotArea>
        <pivotArea type="data" grandCol="1" collapsedLevelsAreSubtotals="1" fieldPosition="0">
          <references count="3">
            <reference field="4294967294" count="1" selected="0">
              <x v="0"/>
            </reference>
            <reference field="2" count="1" selected="0">
              <x v="1"/>
            </reference>
            <reference field="3" count="3">
              <x v="0"/>
              <x v="3"/>
              <x v="4"/>
            </reference>
          </references>
        </pivotArea>
        <pivotArea type="data" grandCol="1" collapsedLevelsAreSubtotals="1" fieldPosition="0">
          <references count="3">
            <reference field="4294967294" count="1" selected="0">
              <x v="0"/>
            </reference>
            <reference field="2" count="1" selected="0">
              <x v="2"/>
            </reference>
            <reference field="3" count="3">
              <x v="0"/>
              <x v="2"/>
              <x v="5"/>
            </reference>
          </references>
        </pivotArea>
        <pivotArea type="data" grandCol="1" collapsedLevelsAreSubtotals="1" fieldPosition="0">
          <references count="3">
            <reference field="4294967294" count="1" selected="0">
              <x v="0"/>
            </reference>
            <reference field="2" count="1" selected="0">
              <x v="3"/>
            </reference>
            <reference field="3" count="1">
              <x v="1"/>
            </reference>
          </references>
        </pivotArea>
        <pivotArea type="data" grandCol="1" collapsedLevelsAreSubtotals="1" fieldPosition="0">
          <references count="3">
            <reference field="4294967294" count="1" selected="0">
              <x v="0"/>
            </reference>
            <reference field="2" count="1" selected="0">
              <x v="4"/>
            </reference>
            <reference field="3" count="3">
              <x v="1"/>
              <x v="6"/>
              <x v="7"/>
            </reference>
          </references>
        </pivotArea>
        <pivotArea type="data" grandCol="1" collapsedLevelsAreSubtotals="1" fieldPosition="0">
          <references count="3">
            <reference field="4294967294" count="1" selected="0">
              <x v="0"/>
            </reference>
            <reference field="2" count="1" selected="0">
              <x v="5"/>
            </reference>
            <reference field="3" count="4">
              <x v="1"/>
              <x v="3"/>
              <x v="8"/>
              <x v="9"/>
            </reference>
          </references>
        </pivotArea>
        <pivotArea type="data" grandCol="1" collapsedLevelsAreSubtotals="1" fieldPosition="0">
          <references count="3">
            <reference field="4294967294" count="1" selected="0">
              <x v="0"/>
            </reference>
            <reference field="2" count="1" selected="0">
              <x v="6"/>
            </reference>
            <reference field="3" count="6">
              <x v="1"/>
              <x v="3"/>
              <x v="5"/>
              <x v="6"/>
              <x v="8"/>
              <x v="10"/>
            </reference>
          </references>
        </pivotArea>
      </pivotAreas>
    </conditionalFormat>
  </conditional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7"/>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770C6A3-AA52-4293-B07E-B5DB399808C0}" name="PivotTable3"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Age based on Gender">
  <location ref="I45:J59" firstHeaderRow="1" firstDataRow="1" firstDataCol="1"/>
  <pivotFields count="17">
    <pivotField showAll="0"/>
    <pivotField showAll="0"/>
    <pivotField axis="axisRow" showAll="0">
      <items count="4">
        <item x="1"/>
        <item x="0"/>
        <item x="2"/>
        <item t="default"/>
      </items>
    </pivotField>
    <pivotField axis="axisRow" dataField="1" showAll="0">
      <items count="8">
        <item x="0"/>
        <item x="1"/>
        <item x="5"/>
        <item x="4"/>
        <item x="2"/>
        <item x="3"/>
        <item h="1" x="6"/>
        <item t="default"/>
      </items>
    </pivotField>
    <pivotField showAll="0"/>
    <pivotField showAll="0"/>
    <pivotField showAll="0"/>
    <pivotField showAll="0">
      <items count="9">
        <item x="0"/>
        <item x="6"/>
        <item x="5"/>
        <item x="2"/>
        <item x="3"/>
        <item x="1"/>
        <item x="4"/>
        <item x="7"/>
        <item t="default"/>
      </items>
    </pivotField>
    <pivotField showAll="0"/>
    <pivotField showAll="0"/>
    <pivotField showAll="0"/>
    <pivotField showAll="0"/>
    <pivotField showAll="0"/>
    <pivotField showAll="0"/>
    <pivotField showAll="0"/>
    <pivotField showAll="0"/>
    <pivotField showAll="0"/>
  </pivotFields>
  <rowFields count="2">
    <field x="2"/>
    <field x="3"/>
  </rowFields>
  <rowItems count="14">
    <i>
      <x/>
    </i>
    <i r="1">
      <x/>
    </i>
    <i r="1">
      <x v="1"/>
    </i>
    <i r="1">
      <x v="2"/>
    </i>
    <i r="1">
      <x v="3"/>
    </i>
    <i r="1">
      <x v="4"/>
    </i>
    <i r="1">
      <x v="5"/>
    </i>
    <i>
      <x v="1"/>
    </i>
    <i r="1">
      <x/>
    </i>
    <i r="1">
      <x v="1"/>
    </i>
    <i r="1">
      <x v="3"/>
    </i>
    <i r="1">
      <x v="4"/>
    </i>
    <i r="1">
      <x v="5"/>
    </i>
    <i t="grand">
      <x/>
    </i>
  </rowItems>
  <colItems count="1">
    <i/>
  </colItems>
  <dataFields count="1">
    <dataField name="# of Respondents by Age" fld="3" subtotal="count" baseField="2" baseItem="0"/>
  </dataFields>
  <conditionalFormats count="1">
    <conditionalFormat priority="46">
      <pivotAreas count="2">
        <pivotArea type="data" collapsedLevelsAreSubtotals="1" fieldPosition="0">
          <references count="3">
            <reference field="4294967294" count="1" selected="0">
              <x v="0"/>
            </reference>
            <reference field="2" count="1" selected="0">
              <x v="0"/>
            </reference>
            <reference field="3" count="6">
              <x v="0"/>
              <x v="1"/>
              <x v="2"/>
              <x v="3"/>
              <x v="4"/>
              <x v="5"/>
            </reference>
          </references>
        </pivotArea>
        <pivotArea type="data" collapsedLevelsAreSubtotals="1" fieldPosition="0">
          <references count="3">
            <reference field="4294967294" count="1" selected="0">
              <x v="0"/>
            </reference>
            <reference field="2" count="1" selected="0">
              <x v="1"/>
            </reference>
            <reference field="3" count="5">
              <x v="0"/>
              <x v="1"/>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70E9691-47F0-4490-AB95-D01FDE0A807D}"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Distance by Post-COVID Occupation" colHeaderCaption="Gender">
  <location ref="W82:Z104"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7">
        <item x="0"/>
        <item x="1"/>
        <item x="2"/>
        <item x="3"/>
        <item x="4"/>
        <item x="5"/>
        <item x="6"/>
      </items>
    </pivotField>
    <pivotField axis="axisRow" allDrilled="1" subtotalTop="0" showAll="0" defaultSubtotal="0" defaultAttributeDrillState="1">
      <items count="5">
        <item x="0"/>
        <item x="1"/>
        <item x="3"/>
        <item x="4"/>
        <item x="2"/>
      </items>
    </pivotField>
    <pivotField dataField="1" subtotalTop="0" showAll="0" defaultSubtotal="0"/>
  </pivotFields>
  <rowFields count="2">
    <field x="1"/>
    <field x="2"/>
  </rowFields>
  <rowItems count="21">
    <i>
      <x/>
    </i>
    <i r="1">
      <x/>
    </i>
    <i r="1">
      <x v="1"/>
    </i>
    <i>
      <x v="1"/>
    </i>
    <i r="1">
      <x v="4"/>
    </i>
    <i>
      <x v="2"/>
    </i>
    <i r="1">
      <x/>
    </i>
    <i>
      <x v="3"/>
    </i>
    <i r="1">
      <x/>
    </i>
    <i>
      <x v="4"/>
    </i>
    <i r="1">
      <x v="1"/>
    </i>
    <i>
      <x v="5"/>
    </i>
    <i r="1">
      <x/>
    </i>
    <i r="1">
      <x v="4"/>
    </i>
    <i>
      <x v="6"/>
    </i>
    <i r="1">
      <x/>
    </i>
    <i r="1">
      <x v="1"/>
    </i>
    <i r="1">
      <x v="2"/>
    </i>
    <i r="1">
      <x v="3"/>
    </i>
    <i r="1">
      <x v="4"/>
    </i>
    <i t="grand">
      <x/>
    </i>
  </rowItems>
  <colFields count="1">
    <field x="0"/>
  </colFields>
  <colItems count="3">
    <i>
      <x/>
    </i>
    <i>
      <x v="1"/>
    </i>
    <i t="grand">
      <x/>
    </i>
  </colItems>
  <dataFields count="1">
    <dataField name="# of Respondents" fld="3" subtotal="count" baseField="0" baseItem="0"/>
  </dataFields>
  <conditionalFormats count="3">
    <conditionalFormat priority="31">
      <pivotAreas count="7">
        <pivotArea type="data" collapsedLevelsAreSubtotals="1" fieldPosition="0">
          <references count="4">
            <reference field="4294967294" count="1" selected="0">
              <x v="0"/>
            </reference>
            <reference field="0" count="1" selected="0">
              <x v="0"/>
            </reference>
            <reference field="1" count="1" selected="0">
              <x v="0"/>
            </reference>
            <reference field="2" count="2">
              <x v="0"/>
              <x v="1"/>
            </reference>
          </references>
        </pivotArea>
        <pivotArea type="data" collapsedLevelsAreSubtotals="1" fieldPosition="0">
          <references count="4">
            <reference field="4294967294" count="1" selected="0">
              <x v="0"/>
            </reference>
            <reference field="0" count="1" selected="0">
              <x v="0"/>
            </reference>
            <reference field="1" count="1" selected="0">
              <x v="1"/>
            </reference>
            <reference field="2" count="1">
              <x v="4"/>
            </reference>
          </references>
        </pivotArea>
        <pivotArea type="data" collapsedLevelsAreSubtotals="1" fieldPosition="0">
          <references count="4">
            <reference field="4294967294" count="1" selected="0">
              <x v="0"/>
            </reference>
            <reference field="0" count="1" selected="0">
              <x v="0"/>
            </reference>
            <reference field="1" count="1" selected="0">
              <x v="2"/>
            </reference>
            <reference field="2" count="1">
              <x v="0"/>
            </reference>
          </references>
        </pivotArea>
        <pivotArea type="data" collapsedLevelsAreSubtotals="1" fieldPosition="0">
          <references count="4">
            <reference field="4294967294" count="1" selected="0">
              <x v="0"/>
            </reference>
            <reference field="0" count="1" selected="0">
              <x v="0"/>
            </reference>
            <reference field="1" count="1" selected="0">
              <x v="3"/>
            </reference>
            <reference field="2" count="1">
              <x v="0"/>
            </reference>
          </references>
        </pivotArea>
        <pivotArea type="data" collapsedLevelsAreSubtotals="1" fieldPosition="0">
          <references count="4">
            <reference field="4294967294" count="1" selected="0">
              <x v="0"/>
            </reference>
            <reference field="0" count="1" selected="0">
              <x v="0"/>
            </reference>
            <reference field="1" count="1" selected="0">
              <x v="4"/>
            </reference>
            <reference field="2" count="1">
              <x v="1"/>
            </reference>
          </references>
        </pivotArea>
        <pivotArea type="data" collapsedLevelsAreSubtotals="1" fieldPosition="0">
          <references count="4">
            <reference field="4294967294" count="1" selected="0">
              <x v="0"/>
            </reference>
            <reference field="0" count="1" selected="0">
              <x v="0"/>
            </reference>
            <reference field="1" count="1" selected="0">
              <x v="5"/>
            </reference>
            <reference field="2" count="2">
              <x v="0"/>
              <x v="4"/>
            </reference>
          </references>
        </pivotArea>
        <pivotArea type="data" collapsedLevelsAreSubtotals="1" fieldPosition="0">
          <references count="4">
            <reference field="4294967294" count="1" selected="0">
              <x v="0"/>
            </reference>
            <reference field="0" count="1" selected="0">
              <x v="0"/>
            </reference>
            <reference field="1" count="1" selected="0">
              <x v="6"/>
            </reference>
            <reference field="2" count="5">
              <x v="0"/>
              <x v="1"/>
              <x v="2"/>
              <x v="3"/>
              <x v="4"/>
            </reference>
          </references>
        </pivotArea>
      </pivotAreas>
    </conditionalFormat>
    <conditionalFormat priority="30">
      <pivotAreas count="7">
        <pivotArea type="data" collapsedLevelsAreSubtotals="1" fieldPosition="0">
          <references count="4">
            <reference field="4294967294" count="1" selected="0">
              <x v="0"/>
            </reference>
            <reference field="0" count="1" selected="0">
              <x v="1"/>
            </reference>
            <reference field="1" count="1" selected="0">
              <x v="0"/>
            </reference>
            <reference field="2" count="2">
              <x v="0"/>
              <x v="1"/>
            </reference>
          </references>
        </pivotArea>
        <pivotArea type="data" collapsedLevelsAreSubtotals="1" fieldPosition="0">
          <references count="4">
            <reference field="4294967294" count="1" selected="0">
              <x v="0"/>
            </reference>
            <reference field="0" count="1" selected="0">
              <x v="1"/>
            </reference>
            <reference field="1" count="1" selected="0">
              <x v="1"/>
            </reference>
            <reference field="2" count="1">
              <x v="4"/>
            </reference>
          </references>
        </pivotArea>
        <pivotArea type="data" collapsedLevelsAreSubtotals="1" fieldPosition="0">
          <references count="4">
            <reference field="4294967294" count="1" selected="0">
              <x v="0"/>
            </reference>
            <reference field="0" count="1" selected="0">
              <x v="1"/>
            </reference>
            <reference field="1" count="1" selected="0">
              <x v="2"/>
            </reference>
            <reference field="2" count="1">
              <x v="0"/>
            </reference>
          </references>
        </pivotArea>
        <pivotArea type="data" collapsedLevelsAreSubtotals="1" fieldPosition="0">
          <references count="4">
            <reference field="4294967294" count="1" selected="0">
              <x v="0"/>
            </reference>
            <reference field="0" count="1" selected="0">
              <x v="1"/>
            </reference>
            <reference field="1" count="1" selected="0">
              <x v="3"/>
            </reference>
            <reference field="2" count="1">
              <x v="0"/>
            </reference>
          </references>
        </pivotArea>
        <pivotArea type="data" collapsedLevelsAreSubtotals="1" fieldPosition="0">
          <references count="4">
            <reference field="4294967294" count="1" selected="0">
              <x v="0"/>
            </reference>
            <reference field="0" count="1" selected="0">
              <x v="1"/>
            </reference>
            <reference field="1" count="1" selected="0">
              <x v="4"/>
            </reference>
            <reference field="2" count="1">
              <x v="1"/>
            </reference>
          </references>
        </pivotArea>
        <pivotArea type="data" collapsedLevelsAreSubtotals="1" fieldPosition="0">
          <references count="4">
            <reference field="4294967294" count="1" selected="0">
              <x v="0"/>
            </reference>
            <reference field="0" count="1" selected="0">
              <x v="1"/>
            </reference>
            <reference field="1" count="1" selected="0">
              <x v="5"/>
            </reference>
            <reference field="2" count="2">
              <x v="0"/>
              <x v="4"/>
            </reference>
          </references>
        </pivotArea>
        <pivotArea type="data" collapsedLevelsAreSubtotals="1" fieldPosition="0">
          <references count="4">
            <reference field="4294967294" count="1" selected="0">
              <x v="0"/>
            </reference>
            <reference field="0" count="1" selected="0">
              <x v="1"/>
            </reference>
            <reference field="1" count="1" selected="0">
              <x v="6"/>
            </reference>
            <reference field="2" count="5">
              <x v="0"/>
              <x v="1"/>
              <x v="2"/>
              <x v="3"/>
              <x v="4"/>
            </reference>
          </references>
        </pivotArea>
      </pivotAreas>
    </conditionalFormat>
    <conditionalFormat type="all" priority="25">
      <pivotAreas count="7">
        <pivotArea type="data" grandCol="1" collapsedLevelsAreSubtotals="1" fieldPosition="0">
          <references count="3">
            <reference field="4294967294" count="1" selected="0">
              <x v="0"/>
            </reference>
            <reference field="1" count="1" selected="0">
              <x v="0"/>
            </reference>
            <reference field="2" count="2">
              <x v="0"/>
              <x v="1"/>
            </reference>
          </references>
        </pivotArea>
        <pivotArea type="data" grandCol="1" collapsedLevelsAreSubtotals="1" fieldPosition="0">
          <references count="3">
            <reference field="4294967294" count="1" selected="0">
              <x v="0"/>
            </reference>
            <reference field="1" count="1" selected="0">
              <x v="1"/>
            </reference>
            <reference field="2" count="1">
              <x v="4"/>
            </reference>
          </references>
        </pivotArea>
        <pivotArea type="data" grandCol="1" collapsedLevelsAreSubtotals="1" fieldPosition="0">
          <references count="3">
            <reference field="4294967294" count="1" selected="0">
              <x v="0"/>
            </reference>
            <reference field="1" count="1" selected="0">
              <x v="2"/>
            </reference>
            <reference field="2" count="1">
              <x v="0"/>
            </reference>
          </references>
        </pivotArea>
        <pivotArea type="data" grandCol="1" collapsedLevelsAreSubtotals="1" fieldPosition="0">
          <references count="3">
            <reference field="4294967294" count="1" selected="0">
              <x v="0"/>
            </reference>
            <reference field="1" count="1" selected="0">
              <x v="3"/>
            </reference>
            <reference field="2" count="1">
              <x v="0"/>
            </reference>
          </references>
        </pivotArea>
        <pivotArea type="data" grandCol="1" collapsedLevelsAreSubtotals="1" fieldPosition="0">
          <references count="3">
            <reference field="4294967294" count="1" selected="0">
              <x v="0"/>
            </reference>
            <reference field="1" count="1" selected="0">
              <x v="4"/>
            </reference>
            <reference field="2" count="1">
              <x v="1"/>
            </reference>
          </references>
        </pivotArea>
        <pivotArea type="data" grandCol="1" collapsedLevelsAreSubtotals="1" fieldPosition="0">
          <references count="3">
            <reference field="4294967294" count="1" selected="0">
              <x v="0"/>
            </reference>
            <reference field="1" count="1" selected="0">
              <x v="5"/>
            </reference>
            <reference field="2" count="2">
              <x v="0"/>
              <x v="4"/>
            </reference>
          </references>
        </pivotArea>
        <pivotArea type="data" grandCol="1" collapsedLevelsAreSubtotals="1" fieldPosition="0">
          <references count="3">
            <reference field="4294967294" count="1" selected="0">
              <x v="0"/>
            </reference>
            <reference field="1" count="1" selected="0">
              <x v="6"/>
            </reference>
            <reference field="2" count="5">
              <x v="0"/>
              <x v="1"/>
              <x v="2"/>
              <x v="3"/>
              <x v="4"/>
            </reference>
          </references>
        </pivotArea>
      </pivotAreas>
    </conditionalFormat>
  </conditionalFormats>
  <chartFormats count="7">
    <chartFormat chart="0" format="0" series="1">
      <pivotArea type="data" outline="0" fieldPosition="0">
        <references count="1">
          <reference field="0" count="1" selected="0">
            <x v="2"/>
          </reference>
        </references>
      </pivotArea>
    </chartFormat>
    <chartFormat chart="0" format="1" series="1">
      <pivotArea type="data" outline="0" fieldPosition="0">
        <references count="1">
          <reference field="0" count="1" selected="0">
            <x v="0"/>
          </reference>
        </references>
      </pivotArea>
    </chartFormat>
    <chartFormat chart="0" format="2" series="1">
      <pivotArea type="data" outline="0" fieldPosition="0">
        <references count="1">
          <reference field="0" count="1" selected="0">
            <x v="1"/>
          </reference>
        </references>
      </pivotArea>
    </chartFormat>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1CE5443-CA1F-4F6D-8C1F-B725E9928A75}" name="PivotTable2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de of Transport by Area of Residence" colHeaderCaption="Gender">
  <location ref="AB210:AE241"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11">
        <item x="0"/>
        <item x="1"/>
        <item x="2"/>
        <item x="3"/>
        <item x="4"/>
        <item x="5"/>
        <item x="6"/>
        <item x="7"/>
        <item x="8"/>
        <item x="9"/>
        <item x="10"/>
      </items>
    </pivotField>
  </pivotFields>
  <rowFields count="2">
    <field x="2"/>
    <field x="3"/>
  </rowFields>
  <rowItems count="30">
    <i>
      <x/>
    </i>
    <i r="1">
      <x/>
    </i>
    <i>
      <x v="1"/>
    </i>
    <i r="1">
      <x v="1"/>
    </i>
    <i r="1">
      <x v="2"/>
    </i>
    <i r="1">
      <x v="3"/>
    </i>
    <i r="1">
      <x v="4"/>
    </i>
    <i r="1">
      <x v="5"/>
    </i>
    <i>
      <x v="2"/>
    </i>
    <i r="1">
      <x v="1"/>
    </i>
    <i>
      <x v="3"/>
    </i>
    <i r="1">
      <x v="6"/>
    </i>
    <i r="1">
      <x v="7"/>
    </i>
    <i>
      <x v="4"/>
    </i>
    <i r="1">
      <x v="1"/>
    </i>
    <i r="1">
      <x v="8"/>
    </i>
    <i r="1">
      <x v="2"/>
    </i>
    <i r="1">
      <x v="6"/>
    </i>
    <i r="1">
      <x/>
    </i>
    <i r="1">
      <x v="3"/>
    </i>
    <i r="1">
      <x v="9"/>
    </i>
    <i r="1">
      <x v="10"/>
    </i>
    <i r="1">
      <x v="4"/>
    </i>
    <i>
      <x v="5"/>
    </i>
    <i r="1">
      <x v="1"/>
    </i>
    <i r="1">
      <x v="8"/>
    </i>
    <i r="1">
      <x/>
    </i>
    <i>
      <x v="6"/>
    </i>
    <i r="1">
      <x/>
    </i>
    <i t="grand">
      <x/>
    </i>
  </rowItems>
  <colFields count="1">
    <field x="0"/>
  </colFields>
  <colItems count="3">
    <i>
      <x/>
    </i>
    <i>
      <x v="1"/>
    </i>
    <i t="grand">
      <x/>
    </i>
  </colItems>
  <dataFields count="1">
    <dataField name="# of Respondents" fld="1" subtotal="count" baseField="0" baseItem="0"/>
  </dataFields>
  <conditionalFormats count="2">
    <conditionalFormat priority="2">
      <pivotAreas count="7">
        <pivotArea type="data" collapsedLevelsAreSubtotals="1" fieldPosition="0">
          <references count="4">
            <reference field="4294967294" count="1" selected="0">
              <x v="0"/>
            </reference>
            <reference field="0" count="2" selected="0">
              <x v="0"/>
              <x v="1"/>
            </reference>
            <reference field="2" count="1" selected="0">
              <x v="0"/>
            </reference>
            <reference field="3" count="1">
              <x v="0"/>
            </reference>
          </references>
        </pivotArea>
        <pivotArea type="data" collapsedLevelsAreSubtotals="1" fieldPosition="0">
          <references count="4">
            <reference field="4294967294" count="1" selected="0">
              <x v="0"/>
            </reference>
            <reference field="0" count="2" selected="0">
              <x v="0"/>
              <x v="1"/>
            </reference>
            <reference field="2" count="1" selected="0">
              <x v="1"/>
            </reference>
            <reference field="3" count="5">
              <x v="1"/>
              <x v="2"/>
              <x v="3"/>
              <x v="4"/>
              <x v="5"/>
            </reference>
          </references>
        </pivotArea>
        <pivotArea type="data" collapsedLevelsAreSubtotals="1" fieldPosition="0">
          <references count="4">
            <reference field="4294967294" count="1" selected="0">
              <x v="0"/>
            </reference>
            <reference field="0" count="2" selected="0">
              <x v="0"/>
              <x v="1"/>
            </reference>
            <reference field="2" count="1" selected="0">
              <x v="2"/>
            </reference>
            <reference field="3" count="1">
              <x v="1"/>
            </reference>
          </references>
        </pivotArea>
        <pivotArea type="data" collapsedLevelsAreSubtotals="1" fieldPosition="0">
          <references count="4">
            <reference field="4294967294" count="1" selected="0">
              <x v="0"/>
            </reference>
            <reference field="0" count="2" selected="0">
              <x v="0"/>
              <x v="1"/>
            </reference>
            <reference field="2" count="1" selected="0">
              <x v="3"/>
            </reference>
            <reference field="3" count="2">
              <x v="6"/>
              <x v="7"/>
            </reference>
          </references>
        </pivotArea>
        <pivotArea type="data" collapsedLevelsAreSubtotals="1" fieldPosition="0">
          <references count="4">
            <reference field="4294967294" count="1" selected="0">
              <x v="0"/>
            </reference>
            <reference field="0" count="2" selected="0">
              <x v="0"/>
              <x v="1"/>
            </reference>
            <reference field="2" count="1" selected="0">
              <x v="4"/>
            </reference>
            <reference field="3" count="9">
              <x v="0"/>
              <x v="1"/>
              <x v="2"/>
              <x v="3"/>
              <x v="4"/>
              <x v="6"/>
              <x v="8"/>
              <x v="9"/>
              <x v="10"/>
            </reference>
          </references>
        </pivotArea>
        <pivotArea type="data" collapsedLevelsAreSubtotals="1" fieldPosition="0">
          <references count="4">
            <reference field="4294967294" count="1" selected="0">
              <x v="0"/>
            </reference>
            <reference field="0" count="2" selected="0">
              <x v="0"/>
              <x v="1"/>
            </reference>
            <reference field="2" count="1" selected="0">
              <x v="5"/>
            </reference>
            <reference field="3" count="3">
              <x v="0"/>
              <x v="1"/>
              <x v="8"/>
            </reference>
          </references>
        </pivotArea>
        <pivotArea type="data" collapsedLevelsAreSubtotals="1" fieldPosition="0">
          <references count="4">
            <reference field="4294967294" count="1" selected="0">
              <x v="0"/>
            </reference>
            <reference field="0" count="2" selected="0">
              <x v="0"/>
              <x v="1"/>
            </reference>
            <reference field="2" count="1" selected="0">
              <x v="6"/>
            </reference>
            <reference field="3" count="1">
              <x v="0"/>
            </reference>
          </references>
        </pivotArea>
      </pivotAreas>
    </conditionalFormat>
    <conditionalFormat type="all" priority="1">
      <pivotAreas count="7">
        <pivotArea type="data" grandCol="1" collapsedLevelsAreSubtotals="1" fieldPosition="0">
          <references count="3">
            <reference field="4294967294" count="1" selected="0">
              <x v="0"/>
            </reference>
            <reference field="2" count="1" selected="0">
              <x v="0"/>
            </reference>
            <reference field="3" count="1">
              <x v="0"/>
            </reference>
          </references>
        </pivotArea>
        <pivotArea type="data" grandCol="1" collapsedLevelsAreSubtotals="1" fieldPosition="0">
          <references count="3">
            <reference field="4294967294" count="1" selected="0">
              <x v="0"/>
            </reference>
            <reference field="2" count="1" selected="0">
              <x v="1"/>
            </reference>
            <reference field="3" count="5">
              <x v="1"/>
              <x v="2"/>
              <x v="3"/>
              <x v="4"/>
              <x v="5"/>
            </reference>
          </references>
        </pivotArea>
        <pivotArea type="data" grandCol="1" collapsedLevelsAreSubtotals="1" fieldPosition="0">
          <references count="3">
            <reference field="4294967294" count="1" selected="0">
              <x v="0"/>
            </reference>
            <reference field="2" count="1" selected="0">
              <x v="2"/>
            </reference>
            <reference field="3" count="1">
              <x v="1"/>
            </reference>
          </references>
        </pivotArea>
        <pivotArea type="data" grandCol="1" collapsedLevelsAreSubtotals="1" fieldPosition="0">
          <references count="3">
            <reference field="4294967294" count="1" selected="0">
              <x v="0"/>
            </reference>
            <reference field="2" count="1" selected="0">
              <x v="3"/>
            </reference>
            <reference field="3" count="2">
              <x v="6"/>
              <x v="7"/>
            </reference>
          </references>
        </pivotArea>
        <pivotArea type="data" grandCol="1" collapsedLevelsAreSubtotals="1" fieldPosition="0">
          <references count="3">
            <reference field="4294967294" count="1" selected="0">
              <x v="0"/>
            </reference>
            <reference field="2" count="1" selected="0">
              <x v="4"/>
            </reference>
            <reference field="3" count="9">
              <x v="0"/>
              <x v="1"/>
              <x v="2"/>
              <x v="3"/>
              <x v="4"/>
              <x v="6"/>
              <x v="8"/>
              <x v="9"/>
              <x v="10"/>
            </reference>
          </references>
        </pivotArea>
        <pivotArea type="data" grandCol="1" collapsedLevelsAreSubtotals="1" fieldPosition="0">
          <references count="3">
            <reference field="4294967294" count="1" selected="0">
              <x v="0"/>
            </reference>
            <reference field="2" count="1" selected="0">
              <x v="5"/>
            </reference>
            <reference field="3" count="3">
              <x v="0"/>
              <x v="1"/>
              <x v="8"/>
            </reference>
          </references>
        </pivotArea>
        <pivotArea type="data" grandCol="1" collapsedLevelsAreSubtotals="1" fieldPosition="0">
          <references count="3">
            <reference field="4294967294" count="1" selected="0">
              <x v="0"/>
            </reference>
            <reference field="2" count="1" selected="0">
              <x v="6"/>
            </reference>
            <reference field="3" count="1">
              <x v="0"/>
            </reference>
          </references>
        </pivotArea>
      </pivotAreas>
    </conditionalFormat>
  </conditional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C129BD9-1192-43C8-9EC8-C5AF8ED4C6ED}" name="PivotTable2" cacheId="14"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rowHeaderCaption="Age based on Gender">
  <location ref="O82:P113" firstHeaderRow="1" firstDataRow="1"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3">
    <field x="0"/>
    <field x="1"/>
    <field x="3"/>
  </rowFields>
  <rowItems count="31">
    <i>
      <x/>
    </i>
    <i r="1">
      <x/>
    </i>
    <i r="2">
      <x/>
    </i>
    <i r="2">
      <x v="1"/>
    </i>
    <i r="1">
      <x v="1"/>
    </i>
    <i r="2">
      <x/>
    </i>
    <i r="2">
      <x v="2"/>
    </i>
    <i r="1">
      <x v="2"/>
    </i>
    <i r="2">
      <x/>
    </i>
    <i r="2">
      <x v="2"/>
    </i>
    <i r="1">
      <x v="3"/>
    </i>
    <i r="2">
      <x/>
    </i>
    <i r="1">
      <x v="4"/>
    </i>
    <i r="2">
      <x/>
    </i>
    <i r="2">
      <x v="3"/>
    </i>
    <i r="1">
      <x v="5"/>
    </i>
    <i r="2">
      <x v="4"/>
    </i>
    <i>
      <x v="1"/>
    </i>
    <i r="1">
      <x/>
    </i>
    <i r="2">
      <x v="3"/>
    </i>
    <i r="2">
      <x v="1"/>
    </i>
    <i r="1">
      <x v="1"/>
    </i>
    <i r="2">
      <x/>
    </i>
    <i r="1">
      <x v="3"/>
    </i>
    <i r="2">
      <x/>
    </i>
    <i r="1">
      <x v="4"/>
    </i>
    <i r="2">
      <x/>
    </i>
    <i r="1">
      <x v="5"/>
    </i>
    <i r="2">
      <x/>
    </i>
    <i r="2">
      <x v="2"/>
    </i>
    <i t="grand">
      <x/>
    </i>
  </rowItems>
  <colItems count="1">
    <i/>
  </colItems>
  <dataFields count="1">
    <dataField name="# of Respondents by Occupation (Post-COVID)" fld="2" subtotal="count" baseField="0" baseItem="0"/>
  </dataFields>
  <conditionalFormats count="1">
    <conditionalFormat priority="40">
      <pivotAreas count="22">
        <pivotArea type="data" collapsedLevelsAreSubtotals="1" fieldPosition="0">
          <references count="4">
            <reference field="4294967294" count="1" selected="0">
              <x v="0"/>
            </reference>
            <reference field="0" count="1" selected="0">
              <x v="0"/>
            </reference>
            <reference field="1" count="1" selected="0">
              <x v="0"/>
            </reference>
            <reference field="3" count="2">
              <x v="0"/>
              <x v="1"/>
            </reference>
          </references>
        </pivotArea>
        <pivotArea type="data" collapsedLevelsAreSubtotals="1" fieldPosition="0">
          <references count="3">
            <reference field="4294967294" count="1" selected="0">
              <x v="0"/>
            </reference>
            <reference field="0" count="1" selected="0">
              <x v="0"/>
            </reference>
            <reference field="1" count="1">
              <x v="1"/>
            </reference>
          </references>
        </pivotArea>
        <pivotArea type="data" collapsedLevelsAreSubtotals="1" fieldPosition="0">
          <references count="4">
            <reference field="4294967294" count="1" selected="0">
              <x v="0"/>
            </reference>
            <reference field="0" count="1" selected="0">
              <x v="0"/>
            </reference>
            <reference field="1" count="1" selected="0">
              <x v="1"/>
            </reference>
            <reference field="3" count="2">
              <x v="0"/>
              <x v="2"/>
            </reference>
          </references>
        </pivotArea>
        <pivotArea type="data" collapsedLevelsAreSubtotals="1" fieldPosition="0">
          <references count="3">
            <reference field="4294967294" count="1" selected="0">
              <x v="0"/>
            </reference>
            <reference field="0" count="1" selected="0">
              <x v="0"/>
            </reference>
            <reference field="1" count="1">
              <x v="2"/>
            </reference>
          </references>
        </pivotArea>
        <pivotArea type="data" collapsedLevelsAreSubtotals="1" fieldPosition="0">
          <references count="4">
            <reference field="4294967294" count="1" selected="0">
              <x v="0"/>
            </reference>
            <reference field="0" count="1" selected="0">
              <x v="0"/>
            </reference>
            <reference field="1" count="1" selected="0">
              <x v="2"/>
            </reference>
            <reference field="3" count="2">
              <x v="0"/>
              <x v="2"/>
            </reference>
          </references>
        </pivotArea>
        <pivotArea type="data" collapsedLevelsAreSubtotals="1" fieldPosition="0">
          <references count="3">
            <reference field="4294967294" count="1" selected="0">
              <x v="0"/>
            </reference>
            <reference field="0" count="1" selected="0">
              <x v="0"/>
            </reference>
            <reference field="1" count="1">
              <x v="3"/>
            </reference>
          </references>
        </pivotArea>
        <pivotArea type="data" collapsedLevelsAreSubtotals="1" fieldPosition="0">
          <references count="4">
            <reference field="4294967294" count="1" selected="0">
              <x v="0"/>
            </reference>
            <reference field="0" count="1" selected="0">
              <x v="0"/>
            </reference>
            <reference field="1" count="1" selected="0">
              <x v="3"/>
            </reference>
            <reference field="3" count="1">
              <x v="0"/>
            </reference>
          </references>
        </pivotArea>
        <pivotArea type="data" collapsedLevelsAreSubtotals="1" fieldPosition="0">
          <references count="3">
            <reference field="4294967294" count="1" selected="0">
              <x v="0"/>
            </reference>
            <reference field="0" count="1" selected="0">
              <x v="0"/>
            </reference>
            <reference field="1" count="1">
              <x v="4"/>
            </reference>
          </references>
        </pivotArea>
        <pivotArea type="data" collapsedLevelsAreSubtotals="1" fieldPosition="0">
          <references count="4">
            <reference field="4294967294" count="1" selected="0">
              <x v="0"/>
            </reference>
            <reference field="0" count="1" selected="0">
              <x v="0"/>
            </reference>
            <reference field="1" count="1" selected="0">
              <x v="4"/>
            </reference>
            <reference field="3" count="2">
              <x v="0"/>
              <x v="3"/>
            </reference>
          </references>
        </pivotArea>
        <pivotArea type="data" collapsedLevelsAreSubtotals="1" fieldPosition="0">
          <references count="3">
            <reference field="4294967294" count="1" selected="0">
              <x v="0"/>
            </reference>
            <reference field="0" count="1" selected="0">
              <x v="0"/>
            </reference>
            <reference field="1" count="1">
              <x v="5"/>
            </reference>
          </references>
        </pivotArea>
        <pivotArea type="data" collapsedLevelsAreSubtotals="1" fieldPosition="0">
          <references count="4">
            <reference field="4294967294" count="1" selected="0">
              <x v="0"/>
            </reference>
            <reference field="0" count="1" selected="0">
              <x v="0"/>
            </reference>
            <reference field="1" count="1" selected="0">
              <x v="5"/>
            </reference>
            <reference field="3" count="1">
              <x v="4"/>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1">
              <x v="0"/>
            </reference>
          </references>
        </pivotArea>
        <pivotArea type="data" collapsedLevelsAreSubtotals="1" fieldPosition="0">
          <references count="4">
            <reference field="4294967294" count="1" selected="0">
              <x v="0"/>
            </reference>
            <reference field="0" count="1" selected="0">
              <x v="1"/>
            </reference>
            <reference field="1" count="1" selected="0">
              <x v="0"/>
            </reference>
            <reference field="3" count="2">
              <x v="1"/>
              <x v="3"/>
            </reference>
          </references>
        </pivotArea>
        <pivotArea type="data" collapsedLevelsAreSubtotals="1" fieldPosition="0">
          <references count="3">
            <reference field="4294967294" count="1" selected="0">
              <x v="0"/>
            </reference>
            <reference field="0" count="1" selected="0">
              <x v="1"/>
            </reference>
            <reference field="1" count="1">
              <x v="1"/>
            </reference>
          </references>
        </pivotArea>
        <pivotArea type="data" collapsedLevelsAreSubtotals="1" fieldPosition="0">
          <references count="4">
            <reference field="4294967294" count="1" selected="0">
              <x v="0"/>
            </reference>
            <reference field="0" count="1" selected="0">
              <x v="1"/>
            </reference>
            <reference field="1" count="1" selected="0">
              <x v="1"/>
            </reference>
            <reference field="3" count="1">
              <x v="0"/>
            </reference>
          </references>
        </pivotArea>
        <pivotArea type="data" collapsedLevelsAreSubtotals="1" fieldPosition="0">
          <references count="3">
            <reference field="4294967294" count="1" selected="0">
              <x v="0"/>
            </reference>
            <reference field="0" count="1" selected="0">
              <x v="1"/>
            </reference>
            <reference field="1" count="1">
              <x v="3"/>
            </reference>
          </references>
        </pivotArea>
        <pivotArea type="data" collapsedLevelsAreSubtotals="1" fieldPosition="0">
          <references count="4">
            <reference field="4294967294" count="1" selected="0">
              <x v="0"/>
            </reference>
            <reference field="0" count="1" selected="0">
              <x v="1"/>
            </reference>
            <reference field="1" count="1" selected="0">
              <x v="3"/>
            </reference>
            <reference field="3" count="1">
              <x v="0"/>
            </reference>
          </references>
        </pivotArea>
        <pivotArea type="data" collapsedLevelsAreSubtotals="1" fieldPosition="0">
          <references count="3">
            <reference field="4294967294" count="1" selected="0">
              <x v="0"/>
            </reference>
            <reference field="0" count="1" selected="0">
              <x v="1"/>
            </reference>
            <reference field="1" count="1">
              <x v="4"/>
            </reference>
          </references>
        </pivotArea>
        <pivotArea type="data" collapsedLevelsAreSubtotals="1" fieldPosition="0">
          <references count="4">
            <reference field="4294967294" count="1" selected="0">
              <x v="0"/>
            </reference>
            <reference field="0" count="1" selected="0">
              <x v="1"/>
            </reference>
            <reference field="1" count="1" selected="0">
              <x v="4"/>
            </reference>
            <reference field="3" count="1">
              <x v="0"/>
            </reference>
          </references>
        </pivotArea>
        <pivotArea type="data" collapsedLevelsAreSubtotals="1" fieldPosition="0">
          <references count="3">
            <reference field="4294967294" count="1" selected="0">
              <x v="0"/>
            </reference>
            <reference field="0" count="1" selected="0">
              <x v="1"/>
            </reference>
            <reference field="1" count="1">
              <x v="5"/>
            </reference>
          </references>
        </pivotArea>
        <pivotArea type="data" collapsedLevelsAreSubtotals="1" fieldPosition="0">
          <references count="4">
            <reference field="4294967294" count="1" selected="0">
              <x v="0"/>
            </reference>
            <reference field="0" count="1" selected="0">
              <x v="1"/>
            </reference>
            <reference field="1" count="1" selected="0">
              <x v="5"/>
            </reference>
            <reference field="3" count="2">
              <x v="0"/>
              <x v="2"/>
            </reference>
          </references>
        </pivotArea>
      </pivotAreas>
    </conditionalFormat>
  </conditional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of Respondents by Occupation (Post-COVID)"/>
    <pivotHierarchy dragToData="1"/>
  </pivotHierarchies>
  <pivotTableStyleInfo name="PivotStyleLight16" showRowHeaders="1" showColHeaders="1" showRowStripes="0" showColStripes="0" showLastColumn="1"/>
  <rowHierarchiesUsage count="3">
    <rowHierarchyUsage hierarchyUsage="68"/>
    <rowHierarchyUsage hierarchyUsage="69"/>
    <rowHierarchyUsage hierarchyUsage="7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6A301B5-D273-482D-87C1-FB245C0CEFBA}" name="PivotTable1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de of Transport by Area of Residence" colHeaderCaption="Gender">
  <location ref="AB173:AE207"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s>
  <rowFields count="2">
    <field x="1"/>
    <field x="2"/>
  </rowFields>
  <rowItems count="33">
    <i>
      <x/>
    </i>
    <i r="1">
      <x/>
    </i>
    <i>
      <x v="1"/>
    </i>
    <i r="1">
      <x/>
    </i>
    <i>
      <x v="2"/>
    </i>
    <i r="1">
      <x v="1"/>
    </i>
    <i r="1">
      <x v="2"/>
    </i>
    <i r="1">
      <x v="3"/>
    </i>
    <i r="1">
      <x/>
    </i>
    <i r="1">
      <x v="4"/>
    </i>
    <i r="1">
      <x v="5"/>
    </i>
    <i r="1">
      <x v="6"/>
    </i>
    <i r="1">
      <x v="7"/>
    </i>
    <i>
      <x v="3"/>
    </i>
    <i r="1">
      <x v="1"/>
    </i>
    <i r="1">
      <x v="2"/>
    </i>
    <i r="1">
      <x v="8"/>
    </i>
    <i r="1">
      <x/>
    </i>
    <i>
      <x v="4"/>
    </i>
    <i r="1">
      <x v="4"/>
    </i>
    <i>
      <x v="5"/>
    </i>
    <i r="1">
      <x v="1"/>
    </i>
    <i r="1">
      <x v="3"/>
    </i>
    <i r="1">
      <x v="8"/>
    </i>
    <i r="1">
      <x/>
    </i>
    <i r="1">
      <x v="9"/>
    </i>
    <i r="1">
      <x v="6"/>
    </i>
    <i>
      <x v="6"/>
    </i>
    <i r="1">
      <x v="2"/>
    </i>
    <i r="1">
      <x v="10"/>
    </i>
    <i>
      <x v="7"/>
    </i>
    <i r="1">
      <x/>
    </i>
    <i t="grand">
      <x/>
    </i>
  </rowItems>
  <colFields count="1">
    <field x="0"/>
  </colFields>
  <colItems count="3">
    <i>
      <x/>
    </i>
    <i>
      <x v="1"/>
    </i>
    <i t="grand">
      <x/>
    </i>
  </colItems>
  <dataFields count="1">
    <dataField name="# of Respondents" fld="3" subtotal="count" baseField="0" baseItem="0"/>
  </dataFields>
  <conditionalFormats count="2">
    <conditionalFormat priority="4">
      <pivotAreas count="9">
        <pivotArea type="data" collapsedLevelsAreSubtotals="1" fieldPosition="0">
          <references count="4">
            <reference field="4294967294" count="1" selected="0">
              <x v="0"/>
            </reference>
            <reference field="0" count="2" selected="0">
              <x v="0"/>
              <x v="1"/>
            </reference>
            <reference field="1" count="1" selected="0">
              <x v="0"/>
            </reference>
            <reference field="2" count="1">
              <x v="0"/>
            </reference>
          </references>
        </pivotArea>
        <pivotArea type="data" collapsedLevelsAreSubtotals="1" fieldPosition="0">
          <references count="4">
            <reference field="4294967294" count="1" selected="0">
              <x v="0"/>
            </reference>
            <reference field="0" count="1" selected="0">
              <x v="0"/>
            </reference>
            <reference field="1" count="1" selected="0">
              <x v="1"/>
            </reference>
            <reference field="2" count="1">
              <x v="0"/>
            </reference>
          </references>
        </pivotArea>
        <pivotArea type="data" collapsedLevelsAreSubtotals="1" fieldPosition="0">
          <references count="4">
            <reference field="4294967294" count="1" selected="0">
              <x v="0"/>
            </reference>
            <reference field="0" count="1" selected="0">
              <x v="1"/>
            </reference>
            <reference field="1" count="1" selected="0">
              <x v="1"/>
            </reference>
            <reference field="2" count="1">
              <x v="0"/>
            </reference>
          </references>
        </pivotArea>
        <pivotArea type="data" collapsedLevelsAreSubtotals="1" fieldPosition="0">
          <references count="4">
            <reference field="4294967294" count="1" selected="0">
              <x v="0"/>
            </reference>
            <reference field="0" count="2" selected="0">
              <x v="0"/>
              <x v="1"/>
            </reference>
            <reference field="1" count="1" selected="0">
              <x v="2"/>
            </reference>
            <reference field="2" count="8">
              <x v="0"/>
              <x v="1"/>
              <x v="2"/>
              <x v="3"/>
              <x v="4"/>
              <x v="5"/>
              <x v="6"/>
              <x v="7"/>
            </reference>
          </references>
        </pivotArea>
        <pivotArea type="data" collapsedLevelsAreSubtotals="1" fieldPosition="0">
          <references count="4">
            <reference field="4294967294" count="1" selected="0">
              <x v="0"/>
            </reference>
            <reference field="0" count="2" selected="0">
              <x v="0"/>
              <x v="1"/>
            </reference>
            <reference field="1" count="1" selected="0">
              <x v="3"/>
            </reference>
            <reference field="2" count="4">
              <x v="0"/>
              <x v="1"/>
              <x v="2"/>
              <x v="8"/>
            </reference>
          </references>
        </pivotArea>
        <pivotArea type="data" collapsedLevelsAreSubtotals="1" fieldPosition="0">
          <references count="4">
            <reference field="4294967294" count="1" selected="0">
              <x v="0"/>
            </reference>
            <reference field="0" count="2" selected="0">
              <x v="0"/>
              <x v="1"/>
            </reference>
            <reference field="1" count="1" selected="0">
              <x v="4"/>
            </reference>
            <reference field="2" count="1">
              <x v="4"/>
            </reference>
          </references>
        </pivotArea>
        <pivotArea type="data" collapsedLevelsAreSubtotals="1" fieldPosition="0">
          <references count="4">
            <reference field="4294967294" count="1" selected="0">
              <x v="0"/>
            </reference>
            <reference field="0" count="2" selected="0">
              <x v="0"/>
              <x v="1"/>
            </reference>
            <reference field="1" count="1" selected="0">
              <x v="5"/>
            </reference>
            <reference field="2" count="6">
              <x v="0"/>
              <x v="1"/>
              <x v="3"/>
              <x v="6"/>
              <x v="8"/>
              <x v="9"/>
            </reference>
          </references>
        </pivotArea>
        <pivotArea type="data" collapsedLevelsAreSubtotals="1" fieldPosition="0">
          <references count="4">
            <reference field="4294967294" count="1" selected="0">
              <x v="0"/>
            </reference>
            <reference field="0" count="2" selected="0">
              <x v="0"/>
              <x v="1"/>
            </reference>
            <reference field="1" count="1" selected="0">
              <x v="6"/>
            </reference>
            <reference field="2" count="2">
              <x v="2"/>
              <x v="10"/>
            </reference>
          </references>
        </pivotArea>
        <pivotArea type="data" collapsedLevelsAreSubtotals="1" fieldPosition="0">
          <references count="4">
            <reference field="4294967294" count="1" selected="0">
              <x v="0"/>
            </reference>
            <reference field="0" count="2" selected="0">
              <x v="0"/>
              <x v="1"/>
            </reference>
            <reference field="1" count="1" selected="0">
              <x v="7"/>
            </reference>
            <reference field="2" count="1">
              <x v="0"/>
            </reference>
          </references>
        </pivotArea>
      </pivotAreas>
    </conditionalFormat>
    <conditionalFormat type="all" priority="3">
      <pivotAreas count="8">
        <pivotArea type="data" grandCol="1" collapsedLevelsAreSubtotals="1" fieldPosition="0">
          <references count="3">
            <reference field="4294967294" count="1" selected="0">
              <x v="0"/>
            </reference>
            <reference field="1" count="1" selected="0">
              <x v="0"/>
            </reference>
            <reference field="2" count="1">
              <x v="0"/>
            </reference>
          </references>
        </pivotArea>
        <pivotArea type="data" grandCol="1" collapsedLevelsAreSubtotals="1" fieldPosition="0">
          <references count="3">
            <reference field="4294967294" count="1" selected="0">
              <x v="0"/>
            </reference>
            <reference field="1" count="1" selected="0">
              <x v="1"/>
            </reference>
            <reference field="2" count="1">
              <x v="0"/>
            </reference>
          </references>
        </pivotArea>
        <pivotArea type="data" grandCol="1" collapsedLevelsAreSubtotals="1" fieldPosition="0">
          <references count="3">
            <reference field="4294967294" count="1" selected="0">
              <x v="0"/>
            </reference>
            <reference field="1" count="1" selected="0">
              <x v="2"/>
            </reference>
            <reference field="2" count="8">
              <x v="0"/>
              <x v="1"/>
              <x v="2"/>
              <x v="3"/>
              <x v="4"/>
              <x v="5"/>
              <x v="6"/>
              <x v="7"/>
            </reference>
          </references>
        </pivotArea>
        <pivotArea type="data" grandCol="1" collapsedLevelsAreSubtotals="1" fieldPosition="0">
          <references count="3">
            <reference field="4294967294" count="1" selected="0">
              <x v="0"/>
            </reference>
            <reference field="1" count="1" selected="0">
              <x v="3"/>
            </reference>
            <reference field="2" count="4">
              <x v="0"/>
              <x v="1"/>
              <x v="2"/>
              <x v="8"/>
            </reference>
          </references>
        </pivotArea>
        <pivotArea type="data" grandCol="1" collapsedLevelsAreSubtotals="1" fieldPosition="0">
          <references count="3">
            <reference field="4294967294" count="1" selected="0">
              <x v="0"/>
            </reference>
            <reference field="1" count="1" selected="0">
              <x v="4"/>
            </reference>
            <reference field="2" count="1">
              <x v="4"/>
            </reference>
          </references>
        </pivotArea>
        <pivotArea type="data" grandCol="1" collapsedLevelsAreSubtotals="1" fieldPosition="0">
          <references count="3">
            <reference field="4294967294" count="1" selected="0">
              <x v="0"/>
            </reference>
            <reference field="1" count="1" selected="0">
              <x v="5"/>
            </reference>
            <reference field="2" count="6">
              <x v="0"/>
              <x v="1"/>
              <x v="3"/>
              <x v="6"/>
              <x v="8"/>
              <x v="9"/>
            </reference>
          </references>
        </pivotArea>
        <pivotArea type="data" grandCol="1" collapsedLevelsAreSubtotals="1" fieldPosition="0">
          <references count="3">
            <reference field="4294967294" count="1" selected="0">
              <x v="0"/>
            </reference>
            <reference field="1" count="1" selected="0">
              <x v="6"/>
            </reference>
            <reference field="2" count="2">
              <x v="2"/>
              <x v="10"/>
            </reference>
          </references>
        </pivotArea>
        <pivotArea type="data" grandCol="1" collapsedLevelsAreSubtotals="1" fieldPosition="0">
          <references count="3">
            <reference field="4294967294" count="1" selected="0">
              <x v="0"/>
            </reference>
            <reference field="1" count="1" selected="0">
              <x v="7"/>
            </reference>
            <reference field="2" count="1">
              <x v="0"/>
            </reference>
          </references>
        </pivotArea>
      </pivotAreas>
    </conditionalFormat>
  </conditionalFormats>
  <chartFormats count="2">
    <chartFormat chart="3" format="5" series="1">
      <pivotArea type="data" outline="0" fieldPosition="0">
        <references count="2">
          <reference field="4294967294" count="1" selected="0">
            <x v="0"/>
          </reference>
          <reference field="0" count="1" selected="0">
            <x v="0"/>
          </reference>
        </references>
      </pivotArea>
    </chartFormat>
    <chartFormat chart="3" format="6" series="1">
      <pivotArea type="data" outline="0" fieldPosition="0">
        <references count="2">
          <reference field="4294967294" count="1" selected="0">
            <x v="0"/>
          </reference>
          <reference field="0" count="1" selected="0">
            <x v="1"/>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42847B4-FE7F-44A3-893C-E354183B0086}" name="PivotTable1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ode of Transport by Age" colHeaderCaption="Gender">
  <location ref="AB110:AE140"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2">
    <field x="1"/>
    <field x="3"/>
  </rowFields>
  <rowItems count="29">
    <i>
      <x/>
    </i>
    <i r="1">
      <x/>
    </i>
    <i>
      <x v="1"/>
    </i>
    <i r="1">
      <x v="1"/>
    </i>
    <i>
      <x v="2"/>
    </i>
    <i r="1">
      <x v="1"/>
    </i>
    <i r="1">
      <x v="2"/>
    </i>
    <i r="1">
      <x v="3"/>
    </i>
    <i r="1">
      <x v="4"/>
    </i>
    <i>
      <x v="3"/>
    </i>
    <i r="1">
      <x v="1"/>
    </i>
    <i r="1">
      <x v="2"/>
    </i>
    <i>
      <x v="4"/>
    </i>
    <i r="1">
      <x v="3"/>
    </i>
    <i>
      <x v="5"/>
    </i>
    <i r="1">
      <x v="1"/>
    </i>
    <i r="1">
      <x v="2"/>
    </i>
    <i r="1">
      <x v="3"/>
    </i>
    <i r="1">
      <x v="5"/>
    </i>
    <i r="1">
      <x/>
    </i>
    <i r="1">
      <x v="4"/>
    </i>
    <i>
      <x v="6"/>
    </i>
    <i r="1">
      <x v="1"/>
    </i>
    <i r="1">
      <x v="2"/>
    </i>
    <i>
      <x v="7"/>
    </i>
    <i r="1">
      <x v="1"/>
    </i>
    <i r="1">
      <x v="2"/>
    </i>
    <i r="1">
      <x/>
    </i>
    <i t="grand">
      <x/>
    </i>
  </rowItems>
  <colFields count="1">
    <field x="0"/>
  </colFields>
  <colItems count="3">
    <i>
      <x/>
    </i>
    <i>
      <x v="1"/>
    </i>
    <i t="grand">
      <x/>
    </i>
  </colItems>
  <dataFields count="1">
    <dataField name="# of Respondents" fld="2" subtotal="count" baseField="0" baseItem="0"/>
  </dataFields>
  <conditionalFormats count="2">
    <conditionalFormat priority="8">
      <pivotAreas count="9">
        <pivotArea type="data" collapsedLevelsAreSubtotals="1" fieldPosition="0">
          <references count="4">
            <reference field="4294967294" count="1" selected="0">
              <x v="0"/>
            </reference>
            <reference field="0" count="1" selected="0">
              <x v="0"/>
            </reference>
            <reference field="1" count="1" selected="0">
              <x v="0"/>
            </reference>
            <reference field="3" count="1">
              <x v="0"/>
            </reference>
          </references>
        </pivotArea>
        <pivotArea type="data" collapsedLevelsAreSubtotals="1" fieldPosition="0">
          <references count="4">
            <reference field="4294967294" count="1" selected="0">
              <x v="0"/>
            </reference>
            <reference field="0" count="1" selected="0">
              <x v="1"/>
            </reference>
            <reference field="1" count="1" selected="0">
              <x v="0"/>
            </reference>
            <reference field="3" count="1">
              <x v="0"/>
            </reference>
          </references>
        </pivotArea>
        <pivotArea type="data" collapsedLevelsAreSubtotals="1" fieldPosition="0">
          <references count="4">
            <reference field="4294967294" count="1" selected="0">
              <x v="0"/>
            </reference>
            <reference field="0" count="2" selected="0">
              <x v="0"/>
              <x v="1"/>
            </reference>
            <reference field="1" count="1" selected="0">
              <x v="1"/>
            </reference>
            <reference field="3" count="1">
              <x v="1"/>
            </reference>
          </references>
        </pivotArea>
        <pivotArea type="data" collapsedLevelsAreSubtotals="1" fieldPosition="0">
          <references count="4">
            <reference field="4294967294" count="1" selected="0">
              <x v="0"/>
            </reference>
            <reference field="0" count="2" selected="0">
              <x v="0"/>
              <x v="1"/>
            </reference>
            <reference field="1" count="1" selected="0">
              <x v="2"/>
            </reference>
            <reference field="3" count="4">
              <x v="1"/>
              <x v="2"/>
              <x v="3"/>
              <x v="4"/>
            </reference>
          </references>
        </pivotArea>
        <pivotArea type="data" collapsedLevelsAreSubtotals="1" fieldPosition="0">
          <references count="4">
            <reference field="4294967294" count="1" selected="0">
              <x v="0"/>
            </reference>
            <reference field="0" count="2" selected="0">
              <x v="0"/>
              <x v="1"/>
            </reference>
            <reference field="1" count="1" selected="0">
              <x v="3"/>
            </reference>
            <reference field="3" count="2">
              <x v="1"/>
              <x v="2"/>
            </reference>
          </references>
        </pivotArea>
        <pivotArea type="data" collapsedLevelsAreSubtotals="1" fieldPosition="0">
          <references count="4">
            <reference field="4294967294" count="1" selected="0">
              <x v="0"/>
            </reference>
            <reference field="0" count="2" selected="0">
              <x v="0"/>
              <x v="1"/>
            </reference>
            <reference field="1" count="1" selected="0">
              <x v="4"/>
            </reference>
            <reference field="3" count="1">
              <x v="3"/>
            </reference>
          </references>
        </pivotArea>
        <pivotArea type="data" collapsedLevelsAreSubtotals="1" fieldPosition="0">
          <references count="4">
            <reference field="4294967294" count="1" selected="0">
              <x v="0"/>
            </reference>
            <reference field="0" count="2" selected="0">
              <x v="0"/>
              <x v="1"/>
            </reference>
            <reference field="1" count="1" selected="0">
              <x v="5"/>
            </reference>
            <reference field="3" count="6">
              <x v="0"/>
              <x v="1"/>
              <x v="2"/>
              <x v="3"/>
              <x v="4"/>
              <x v="5"/>
            </reference>
          </references>
        </pivotArea>
        <pivotArea type="data" collapsedLevelsAreSubtotals="1" fieldPosition="0">
          <references count="4">
            <reference field="4294967294" count="1" selected="0">
              <x v="0"/>
            </reference>
            <reference field="0" count="2" selected="0">
              <x v="0"/>
              <x v="1"/>
            </reference>
            <reference field="1" count="1" selected="0">
              <x v="6"/>
            </reference>
            <reference field="3" count="2">
              <x v="1"/>
              <x v="2"/>
            </reference>
          </references>
        </pivotArea>
        <pivotArea type="data" collapsedLevelsAreSubtotals="1" fieldPosition="0">
          <references count="4">
            <reference field="4294967294" count="1" selected="0">
              <x v="0"/>
            </reference>
            <reference field="0" count="2" selected="0">
              <x v="0"/>
              <x v="1"/>
            </reference>
            <reference field="1" count="1" selected="0">
              <x v="7"/>
            </reference>
            <reference field="3" count="3">
              <x v="0"/>
              <x v="1"/>
              <x v="2"/>
            </reference>
          </references>
        </pivotArea>
      </pivotAreas>
    </conditionalFormat>
    <conditionalFormat type="all" priority="7">
      <pivotAreas count="8">
        <pivotArea type="data" grandCol="1" collapsedLevelsAreSubtotals="1" fieldPosition="0">
          <references count="3">
            <reference field="4294967294" count="1" selected="0">
              <x v="0"/>
            </reference>
            <reference field="1" count="1" selected="0">
              <x v="0"/>
            </reference>
            <reference field="3" count="1">
              <x v="0"/>
            </reference>
          </references>
        </pivotArea>
        <pivotArea type="data" grandCol="1" collapsedLevelsAreSubtotals="1" fieldPosition="0">
          <references count="3">
            <reference field="4294967294" count="1" selected="0">
              <x v="0"/>
            </reference>
            <reference field="1" count="1" selected="0">
              <x v="1"/>
            </reference>
            <reference field="3" count="1">
              <x v="1"/>
            </reference>
          </references>
        </pivotArea>
        <pivotArea type="data" grandCol="1" collapsedLevelsAreSubtotals="1" fieldPosition="0">
          <references count="3">
            <reference field="4294967294" count="1" selected="0">
              <x v="0"/>
            </reference>
            <reference field="1" count="1" selected="0">
              <x v="2"/>
            </reference>
            <reference field="3" count="4">
              <x v="1"/>
              <x v="2"/>
              <x v="3"/>
              <x v="4"/>
            </reference>
          </references>
        </pivotArea>
        <pivotArea type="data" grandCol="1" collapsedLevelsAreSubtotals="1" fieldPosition="0">
          <references count="3">
            <reference field="4294967294" count="1" selected="0">
              <x v="0"/>
            </reference>
            <reference field="1" count="1" selected="0">
              <x v="3"/>
            </reference>
            <reference field="3" count="2">
              <x v="1"/>
              <x v="2"/>
            </reference>
          </references>
        </pivotArea>
        <pivotArea type="data" grandCol="1" collapsedLevelsAreSubtotals="1" fieldPosition="0">
          <references count="3">
            <reference field="4294967294" count="1" selected="0">
              <x v="0"/>
            </reference>
            <reference field="1" count="1" selected="0">
              <x v="4"/>
            </reference>
            <reference field="3" count="1">
              <x v="3"/>
            </reference>
          </references>
        </pivotArea>
        <pivotArea type="data" grandCol="1" collapsedLevelsAreSubtotals="1" fieldPosition="0">
          <references count="3">
            <reference field="4294967294" count="1" selected="0">
              <x v="0"/>
            </reference>
            <reference field="1" count="1" selected="0">
              <x v="5"/>
            </reference>
            <reference field="3" count="6">
              <x v="0"/>
              <x v="1"/>
              <x v="2"/>
              <x v="3"/>
              <x v="4"/>
              <x v="5"/>
            </reference>
          </references>
        </pivotArea>
        <pivotArea type="data" grandCol="1" collapsedLevelsAreSubtotals="1" fieldPosition="0">
          <references count="3">
            <reference field="4294967294" count="1" selected="0">
              <x v="0"/>
            </reference>
            <reference field="1" count="1" selected="0">
              <x v="6"/>
            </reference>
            <reference field="3" count="2">
              <x v="1"/>
              <x v="2"/>
            </reference>
          </references>
        </pivotArea>
        <pivotArea type="data" grandCol="1" collapsedLevelsAreSubtotals="1" fieldPosition="0">
          <references count="3">
            <reference field="4294967294" count="1" selected="0">
              <x v="0"/>
            </reference>
            <reference field="1" count="1" selected="0">
              <x v="7"/>
            </reference>
            <reference field="3" count="3">
              <x v="0"/>
              <x v="1"/>
              <x v="2"/>
            </reference>
          </references>
        </pivotArea>
      </pivotAreas>
    </conditionalFormat>
  </conditionalFormats>
  <chartFormats count="8">
    <chartFormat chart="0" format="0" series="1">
      <pivotArea type="data" outline="0" fieldPosition="0">
        <references count="1">
          <reference field="0" count="1" selected="0">
            <x v="2"/>
          </reference>
        </references>
      </pivotArea>
    </chartFormat>
    <chartFormat chart="0" format="1" series="1">
      <pivotArea type="data" outline="0" fieldPosition="0">
        <references count="1">
          <reference field="0" count="1" selected="0">
            <x v="0"/>
          </reference>
        </references>
      </pivotArea>
    </chartFormat>
    <chartFormat chart="0" format="2" series="1">
      <pivotArea type="data" outline="0" fieldPosition="0">
        <references count="1">
          <reference field="0" count="1" selected="0">
            <x v="1"/>
          </reference>
        </references>
      </pivotArea>
    </chartFormat>
    <chartFormat chart="2" format="0" series="1">
      <pivotArea type="data" outline="0" fieldPosition="0">
        <references count="1">
          <reference field="0" count="1" selected="0">
            <x v="2"/>
          </reference>
        </references>
      </pivotArea>
    </chartFormat>
    <chartFormat chart="2" format="1" series="1">
      <pivotArea type="data" outline="0" fieldPosition="0">
        <references count="1">
          <reference field="0" count="1" selected="0">
            <x v="0"/>
          </reference>
        </references>
      </pivotArea>
    </chartFormat>
    <chartFormat chart="2" format="2" series="1">
      <pivotArea type="data" outline="0" fieldPosition="0">
        <references count="1">
          <reference field="0" count="1" selected="0">
            <x v="1"/>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81FBA51-3205-436C-A7E6-2F62D819F27F}"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Distance by Age" colHeaderCaption="Gender">
  <location ref="W138:Z162"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6">
        <item x="0"/>
        <item x="1"/>
        <item x="2"/>
        <item x="3"/>
        <item x="4"/>
        <item x="5"/>
      </items>
    </pivotField>
  </pivotFields>
  <rowFields count="2">
    <field x="2"/>
    <field x="3"/>
  </rowFields>
  <rowItems count="23">
    <i>
      <x/>
    </i>
    <i r="1">
      <x/>
    </i>
    <i r="1">
      <x v="1"/>
    </i>
    <i r="1">
      <x v="2"/>
    </i>
    <i>
      <x v="1"/>
    </i>
    <i r="1">
      <x/>
    </i>
    <i>
      <x v="2"/>
    </i>
    <i r="1">
      <x v="3"/>
    </i>
    <i r="1">
      <x v="4"/>
    </i>
    <i>
      <x v="3"/>
    </i>
    <i r="1">
      <x v="1"/>
    </i>
    <i>
      <x v="4"/>
    </i>
    <i r="1">
      <x v="2"/>
    </i>
    <i>
      <x v="5"/>
    </i>
    <i r="1">
      <x/>
    </i>
    <i r="1">
      <x v="1"/>
    </i>
    <i>
      <x v="6"/>
    </i>
    <i r="1">
      <x/>
    </i>
    <i r="1">
      <x v="1"/>
    </i>
    <i r="1">
      <x v="3"/>
    </i>
    <i r="1">
      <x v="5"/>
    </i>
    <i r="1">
      <x v="4"/>
    </i>
    <i t="grand">
      <x/>
    </i>
  </rowItems>
  <colFields count="1">
    <field x="0"/>
  </colFields>
  <colItems count="3">
    <i>
      <x/>
    </i>
    <i>
      <x v="1"/>
    </i>
    <i t="grand">
      <x/>
    </i>
  </colItems>
  <dataFields count="1">
    <dataField name="# of Respondents" fld="1" subtotal="count" baseField="0" baseItem="0"/>
  </dataFields>
  <conditionalFormats count="3">
    <conditionalFormat priority="21">
      <pivotAreas count="7">
        <pivotArea type="data" collapsedLevelsAreSubtotals="1" fieldPosition="0">
          <references count="4">
            <reference field="4294967294" count="1" selected="0">
              <x v="0"/>
            </reference>
            <reference field="0" count="1" selected="0">
              <x v="0"/>
            </reference>
            <reference field="2" count="1" selected="0">
              <x v="0"/>
            </reference>
            <reference field="3" count="3">
              <x v="0"/>
              <x v="1"/>
              <x v="2"/>
            </reference>
          </references>
        </pivotArea>
        <pivotArea type="data" collapsedLevelsAreSubtotals="1" fieldPosition="0">
          <references count="4">
            <reference field="4294967294" count="1" selected="0">
              <x v="0"/>
            </reference>
            <reference field="0" count="1" selected="0">
              <x v="0"/>
            </reference>
            <reference field="2" count="1" selected="0">
              <x v="1"/>
            </reference>
            <reference field="3" count="1">
              <x v="0"/>
            </reference>
          </references>
        </pivotArea>
        <pivotArea type="data" collapsedLevelsAreSubtotals="1" fieldPosition="0">
          <references count="4">
            <reference field="4294967294" count="1" selected="0">
              <x v="0"/>
            </reference>
            <reference field="0" count="1" selected="0">
              <x v="0"/>
            </reference>
            <reference field="2" count="1" selected="0">
              <x v="2"/>
            </reference>
            <reference field="3" count="2">
              <x v="3"/>
              <x v="4"/>
            </reference>
          </references>
        </pivotArea>
        <pivotArea type="data" collapsedLevelsAreSubtotals="1" fieldPosition="0">
          <references count="4">
            <reference field="4294967294" count="1" selected="0">
              <x v="0"/>
            </reference>
            <reference field="0" count="1" selected="0">
              <x v="0"/>
            </reference>
            <reference field="2" count="1" selected="0">
              <x v="3"/>
            </reference>
            <reference field="3" count="1">
              <x v="1"/>
            </reference>
          </references>
        </pivotArea>
        <pivotArea type="data" collapsedLevelsAreSubtotals="1" fieldPosition="0">
          <references count="4">
            <reference field="4294967294" count="1" selected="0">
              <x v="0"/>
            </reference>
            <reference field="0" count="1" selected="0">
              <x v="0"/>
            </reference>
            <reference field="2" count="1" selected="0">
              <x v="4"/>
            </reference>
            <reference field="3" count="1">
              <x v="2"/>
            </reference>
          </references>
        </pivotArea>
        <pivotArea type="data" collapsedLevelsAreSubtotals="1" fieldPosition="0">
          <references count="4">
            <reference field="4294967294" count="1" selected="0">
              <x v="0"/>
            </reference>
            <reference field="0" count="1" selected="0">
              <x v="0"/>
            </reference>
            <reference field="2" count="1" selected="0">
              <x v="5"/>
            </reference>
            <reference field="3" count="1">
              <x v="0"/>
            </reference>
          </references>
        </pivotArea>
        <pivotArea type="data" collapsedLevelsAreSubtotals="1" fieldPosition="0">
          <references count="4">
            <reference field="4294967294" count="1" selected="0">
              <x v="0"/>
            </reference>
            <reference field="0" count="1" selected="0">
              <x v="0"/>
            </reference>
            <reference field="2" count="1" selected="0">
              <x v="6"/>
            </reference>
            <reference field="3" count="5">
              <x v="0"/>
              <x v="1"/>
              <x v="3"/>
              <x v="4"/>
              <x v="5"/>
            </reference>
          </references>
        </pivotArea>
      </pivotAreas>
    </conditionalFormat>
    <conditionalFormat priority="20">
      <pivotAreas count="7">
        <pivotArea type="data" collapsedLevelsAreSubtotals="1" fieldPosition="0">
          <references count="4">
            <reference field="4294967294" count="1" selected="0">
              <x v="0"/>
            </reference>
            <reference field="0" count="1" selected="0">
              <x v="1"/>
            </reference>
            <reference field="2" count="1" selected="0">
              <x v="0"/>
            </reference>
            <reference field="3" count="3">
              <x v="0"/>
              <x v="1"/>
              <x v="2"/>
            </reference>
          </references>
        </pivotArea>
        <pivotArea type="data" collapsedLevelsAreSubtotals="1" fieldPosition="0">
          <references count="4">
            <reference field="4294967294" count="1" selected="0">
              <x v="0"/>
            </reference>
            <reference field="0" count="1" selected="0">
              <x v="1"/>
            </reference>
            <reference field="2" count="1" selected="0">
              <x v="1"/>
            </reference>
            <reference field="3" count="1">
              <x v="0"/>
            </reference>
          </references>
        </pivotArea>
        <pivotArea type="data" collapsedLevelsAreSubtotals="1" fieldPosition="0">
          <references count="4">
            <reference field="4294967294" count="1" selected="0">
              <x v="0"/>
            </reference>
            <reference field="0" count="1" selected="0">
              <x v="1"/>
            </reference>
            <reference field="2" count="1" selected="0">
              <x v="2"/>
            </reference>
            <reference field="3" count="2">
              <x v="3"/>
              <x v="4"/>
            </reference>
          </references>
        </pivotArea>
        <pivotArea type="data" collapsedLevelsAreSubtotals="1" fieldPosition="0">
          <references count="4">
            <reference field="4294967294" count="1" selected="0">
              <x v="0"/>
            </reference>
            <reference field="0" count="1" selected="0">
              <x v="1"/>
            </reference>
            <reference field="2" count="1" selected="0">
              <x v="3"/>
            </reference>
            <reference field="3" count="1">
              <x v="1"/>
            </reference>
          </references>
        </pivotArea>
        <pivotArea type="data" collapsedLevelsAreSubtotals="1" fieldPosition="0">
          <references count="4">
            <reference field="4294967294" count="1" selected="0">
              <x v="0"/>
            </reference>
            <reference field="0" count="1" selected="0">
              <x v="1"/>
            </reference>
            <reference field="2" count="1" selected="0">
              <x v="4"/>
            </reference>
            <reference field="3" count="1">
              <x v="2"/>
            </reference>
          </references>
        </pivotArea>
        <pivotArea type="data" collapsedLevelsAreSubtotals="1" fieldPosition="0">
          <references count="4">
            <reference field="4294967294" count="1" selected="0">
              <x v="0"/>
            </reference>
            <reference field="0" count="1" selected="0">
              <x v="1"/>
            </reference>
            <reference field="2" count="1" selected="0">
              <x v="5"/>
            </reference>
            <reference field="3" count="2">
              <x v="0"/>
              <x v="1"/>
            </reference>
          </references>
        </pivotArea>
        <pivotArea type="data" collapsedLevelsAreSubtotals="1" fieldPosition="0">
          <references count="4">
            <reference field="4294967294" count="1" selected="0">
              <x v="0"/>
            </reference>
            <reference field="0" count="1" selected="0">
              <x v="1"/>
            </reference>
            <reference field="2" count="1" selected="0">
              <x v="6"/>
            </reference>
            <reference field="3" count="5">
              <x v="0"/>
              <x v="1"/>
              <x v="3"/>
              <x v="4"/>
              <x v="5"/>
            </reference>
          </references>
        </pivotArea>
      </pivotAreas>
    </conditionalFormat>
    <conditionalFormat type="all" priority="19">
      <pivotAreas count="7">
        <pivotArea type="data" grandCol="1" collapsedLevelsAreSubtotals="1" fieldPosition="0">
          <references count="3">
            <reference field="4294967294" count="1" selected="0">
              <x v="0"/>
            </reference>
            <reference field="2" count="1" selected="0">
              <x v="0"/>
            </reference>
            <reference field="3" count="3">
              <x v="0"/>
              <x v="1"/>
              <x v="2"/>
            </reference>
          </references>
        </pivotArea>
        <pivotArea type="data" grandCol="1" collapsedLevelsAreSubtotals="1" fieldPosition="0">
          <references count="3">
            <reference field="4294967294" count="1" selected="0">
              <x v="0"/>
            </reference>
            <reference field="2" count="1" selected="0">
              <x v="1"/>
            </reference>
            <reference field="3" count="1">
              <x v="0"/>
            </reference>
          </references>
        </pivotArea>
        <pivotArea type="data" grandCol="1" collapsedLevelsAreSubtotals="1" fieldPosition="0">
          <references count="3">
            <reference field="4294967294" count="1" selected="0">
              <x v="0"/>
            </reference>
            <reference field="2" count="1" selected="0">
              <x v="2"/>
            </reference>
            <reference field="3" count="2">
              <x v="3"/>
              <x v="4"/>
            </reference>
          </references>
        </pivotArea>
        <pivotArea type="data" grandCol="1" collapsedLevelsAreSubtotals="1" fieldPosition="0">
          <references count="3">
            <reference field="4294967294" count="1" selected="0">
              <x v="0"/>
            </reference>
            <reference field="2" count="1" selected="0">
              <x v="3"/>
            </reference>
            <reference field="3" count="1">
              <x v="1"/>
            </reference>
          </references>
        </pivotArea>
        <pivotArea type="data" grandCol="1" collapsedLevelsAreSubtotals="1" fieldPosition="0">
          <references count="3">
            <reference field="4294967294" count="1" selected="0">
              <x v="0"/>
            </reference>
            <reference field="2" count="1" selected="0">
              <x v="4"/>
            </reference>
            <reference field="3" count="1">
              <x v="2"/>
            </reference>
          </references>
        </pivotArea>
        <pivotArea type="data" grandCol="1" collapsedLevelsAreSubtotals="1" fieldPosition="0">
          <references count="3">
            <reference field="4294967294" count="1" selected="0">
              <x v="0"/>
            </reference>
            <reference field="2" count="1" selected="0">
              <x v="5"/>
            </reference>
            <reference field="3" count="2">
              <x v="0"/>
              <x v="1"/>
            </reference>
          </references>
        </pivotArea>
        <pivotArea type="data" grandCol="1" collapsedLevelsAreSubtotals="1" fieldPosition="0">
          <references count="3">
            <reference field="4294967294" count="1" selected="0">
              <x v="0"/>
            </reference>
            <reference field="2" count="1" selected="0">
              <x v="6"/>
            </reference>
            <reference field="3" count="5">
              <x v="0"/>
              <x v="1"/>
              <x v="3"/>
              <x v="4"/>
              <x v="5"/>
            </reference>
          </references>
        </pivotArea>
      </pivotAreas>
    </conditionalFormat>
  </conditionalFormats>
  <chartFormats count="2">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CF8A64A-E9F0-4949-AC0F-270F69D735AF}"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Mode of Transport by Age" colHeaderCaption="Gender">
  <location ref="AB143:AE170" firstHeaderRow="1" firstDataRow="2" firstDataCol="1"/>
  <pivotFields count="4">
    <pivotField axis="axisCol" allDrilled="1" subtotalTop="0" showAll="0" defaultSubtotal="0" defaultAttributeDrillState="1">
      <items count="2">
        <item x="0"/>
        <item x="1"/>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2">
    <field x="1"/>
    <field x="3"/>
  </rowFields>
  <rowItems count="26">
    <i>
      <x/>
    </i>
    <i r="1">
      <x/>
    </i>
    <i r="1">
      <x v="1"/>
    </i>
    <i>
      <x v="1"/>
    </i>
    <i r="1">
      <x/>
    </i>
    <i r="1">
      <x v="2"/>
    </i>
    <i r="1">
      <x v="3"/>
    </i>
    <i r="1">
      <x v="4"/>
    </i>
    <i>
      <x v="2"/>
    </i>
    <i r="1">
      <x v="1"/>
    </i>
    <i>
      <x v="3"/>
    </i>
    <i r="1">
      <x/>
    </i>
    <i r="1">
      <x v="2"/>
    </i>
    <i>
      <x v="4"/>
    </i>
    <i r="1">
      <x/>
    </i>
    <i r="1">
      <x v="2"/>
    </i>
    <i r="1">
      <x v="3"/>
    </i>
    <i r="1">
      <x v="5"/>
    </i>
    <i r="1">
      <x v="4"/>
    </i>
    <i>
      <x v="5"/>
    </i>
    <i r="1">
      <x/>
    </i>
    <i r="1">
      <x v="2"/>
    </i>
    <i r="1">
      <x v="1"/>
    </i>
    <i>
      <x v="6"/>
    </i>
    <i r="1">
      <x v="2"/>
    </i>
    <i t="grand">
      <x/>
    </i>
  </rowItems>
  <colFields count="1">
    <field x="0"/>
  </colFields>
  <colItems count="3">
    <i>
      <x/>
    </i>
    <i>
      <x v="1"/>
    </i>
    <i t="grand">
      <x/>
    </i>
  </colItems>
  <dataFields count="1">
    <dataField name="# of Respondents" fld="2" subtotal="count" baseField="0" baseItem="0"/>
  </dataFields>
  <conditionalFormats count="2">
    <conditionalFormat priority="6">
      <pivotAreas count="7">
        <pivotArea type="data" collapsedLevelsAreSubtotals="1" fieldPosition="0">
          <references count="4">
            <reference field="4294967294" count="1" selected="0">
              <x v="0"/>
            </reference>
            <reference field="0" count="2" selected="0">
              <x v="0"/>
              <x v="1"/>
            </reference>
            <reference field="1" count="1" selected="0">
              <x v="0"/>
            </reference>
            <reference field="3" count="2">
              <x v="0"/>
              <x v="1"/>
            </reference>
          </references>
        </pivotArea>
        <pivotArea type="data" collapsedLevelsAreSubtotals="1" fieldPosition="0">
          <references count="4">
            <reference field="4294967294" count="1" selected="0">
              <x v="0"/>
            </reference>
            <reference field="0" count="2" selected="0">
              <x v="0"/>
              <x v="1"/>
            </reference>
            <reference field="1" count="1" selected="0">
              <x v="1"/>
            </reference>
            <reference field="3" count="4">
              <x v="0"/>
              <x v="2"/>
              <x v="3"/>
              <x v="4"/>
            </reference>
          </references>
        </pivotArea>
        <pivotArea type="data" collapsedLevelsAreSubtotals="1" fieldPosition="0">
          <references count="4">
            <reference field="4294967294" count="1" selected="0">
              <x v="0"/>
            </reference>
            <reference field="0" count="2" selected="0">
              <x v="0"/>
              <x v="1"/>
            </reference>
            <reference field="1" count="1" selected="0">
              <x v="2"/>
            </reference>
            <reference field="3" count="1">
              <x v="1"/>
            </reference>
          </references>
        </pivotArea>
        <pivotArea type="data" collapsedLevelsAreSubtotals="1" fieldPosition="0">
          <references count="4">
            <reference field="4294967294" count="1" selected="0">
              <x v="0"/>
            </reference>
            <reference field="0" count="2" selected="0">
              <x v="0"/>
              <x v="1"/>
            </reference>
            <reference field="1" count="1" selected="0">
              <x v="3"/>
            </reference>
            <reference field="3" count="2">
              <x v="0"/>
              <x v="2"/>
            </reference>
          </references>
        </pivotArea>
        <pivotArea type="data" collapsedLevelsAreSubtotals="1" fieldPosition="0">
          <references count="4">
            <reference field="4294967294" count="1" selected="0">
              <x v="0"/>
            </reference>
            <reference field="0" count="2" selected="0">
              <x v="0"/>
              <x v="1"/>
            </reference>
            <reference field="1" count="1" selected="0">
              <x v="4"/>
            </reference>
            <reference field="3" count="5">
              <x v="0"/>
              <x v="2"/>
              <x v="3"/>
              <x v="4"/>
              <x v="5"/>
            </reference>
          </references>
        </pivotArea>
        <pivotArea type="data" collapsedLevelsAreSubtotals="1" fieldPosition="0">
          <references count="4">
            <reference field="4294967294" count="1" selected="0">
              <x v="0"/>
            </reference>
            <reference field="0" count="2" selected="0">
              <x v="0"/>
              <x v="1"/>
            </reference>
            <reference field="1" count="1" selected="0">
              <x v="5"/>
            </reference>
            <reference field="3" count="3">
              <x v="0"/>
              <x v="1"/>
              <x v="2"/>
            </reference>
          </references>
        </pivotArea>
        <pivotArea type="data" collapsedLevelsAreSubtotals="1" fieldPosition="0">
          <references count="4">
            <reference field="4294967294" count="1" selected="0">
              <x v="0"/>
            </reference>
            <reference field="0" count="2" selected="0">
              <x v="0"/>
              <x v="1"/>
            </reference>
            <reference field="1" count="1" selected="0">
              <x v="6"/>
            </reference>
            <reference field="3" count="1">
              <x v="2"/>
            </reference>
          </references>
        </pivotArea>
      </pivotAreas>
    </conditionalFormat>
    <conditionalFormat type="all" priority="5">
      <pivotAreas count="7">
        <pivotArea type="data" grandCol="1" collapsedLevelsAreSubtotals="1" fieldPosition="0">
          <references count="3">
            <reference field="4294967294" count="1" selected="0">
              <x v="0"/>
            </reference>
            <reference field="1" count="1" selected="0">
              <x v="0"/>
            </reference>
            <reference field="3" count="2">
              <x v="0"/>
              <x v="1"/>
            </reference>
          </references>
        </pivotArea>
        <pivotArea type="data" grandCol="1" collapsedLevelsAreSubtotals="1" fieldPosition="0">
          <references count="3">
            <reference field="4294967294" count="1" selected="0">
              <x v="0"/>
            </reference>
            <reference field="1" count="1" selected="0">
              <x v="1"/>
            </reference>
            <reference field="3" count="4">
              <x v="0"/>
              <x v="2"/>
              <x v="3"/>
              <x v="4"/>
            </reference>
          </references>
        </pivotArea>
        <pivotArea type="data" grandCol="1" collapsedLevelsAreSubtotals="1" fieldPosition="0">
          <references count="3">
            <reference field="4294967294" count="1" selected="0">
              <x v="0"/>
            </reference>
            <reference field="1" count="1" selected="0">
              <x v="2"/>
            </reference>
            <reference field="3" count="1">
              <x v="1"/>
            </reference>
          </references>
        </pivotArea>
        <pivotArea type="data" grandCol="1" collapsedLevelsAreSubtotals="1" fieldPosition="0">
          <references count="3">
            <reference field="4294967294" count="1" selected="0">
              <x v="0"/>
            </reference>
            <reference field="1" count="1" selected="0">
              <x v="3"/>
            </reference>
            <reference field="3" count="2">
              <x v="0"/>
              <x v="2"/>
            </reference>
          </references>
        </pivotArea>
        <pivotArea type="data" grandCol="1" collapsedLevelsAreSubtotals="1" fieldPosition="0">
          <references count="3">
            <reference field="4294967294" count="1" selected="0">
              <x v="0"/>
            </reference>
            <reference field="1" count="1" selected="0">
              <x v="4"/>
            </reference>
            <reference field="3" count="5">
              <x v="0"/>
              <x v="2"/>
              <x v="3"/>
              <x v="4"/>
              <x v="5"/>
            </reference>
          </references>
        </pivotArea>
        <pivotArea type="data" grandCol="1" collapsedLevelsAreSubtotals="1" fieldPosition="0">
          <references count="3">
            <reference field="4294967294" count="1" selected="0">
              <x v="0"/>
            </reference>
            <reference field="1" count="1" selected="0">
              <x v="5"/>
            </reference>
            <reference field="3" count="3">
              <x v="0"/>
              <x v="1"/>
              <x v="2"/>
            </reference>
          </references>
        </pivotArea>
        <pivotArea type="data" grandCol="1" collapsedLevelsAreSubtotals="1" fieldPosition="0">
          <references count="3">
            <reference field="4294967294" count="1" selected="0">
              <x v="0"/>
            </reference>
            <reference field="1" count="1" selected="0">
              <x v="6"/>
            </reference>
            <reference field="3" count="1">
              <x v="2"/>
            </reference>
          </references>
        </pivotArea>
      </pivotAreas>
    </conditionalFormat>
  </conditionalFormats>
  <chartFormats count="3">
    <chartFormat chart="4" format="5" series="1">
      <pivotArea type="data" outline="0" fieldPosition="0">
        <references count="2">
          <reference field="4294967294" count="1" selected="0">
            <x v="0"/>
          </reference>
          <reference field="0" count="1" selected="0">
            <x v="0"/>
          </reference>
        </references>
      </pivotArea>
    </chartFormat>
    <chartFormat chart="4" format="6" series="1">
      <pivotArea type="data" outline="0" fieldPosition="0">
        <references count="2">
          <reference field="4294967294" count="1" selected="0">
            <x v="0"/>
          </reference>
          <reference field="0" count="1" selected="0">
            <x v="1"/>
          </reference>
        </references>
      </pivotArea>
    </chartFormat>
    <chartFormat chart="4" format="7" series="1">
      <pivotArea type="data" outline="0" fieldPosition="0">
        <references count="1">
          <reference field="4294967294" count="1" selected="0">
            <x v="0"/>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4A59C0E-1C49-4BE1-9EC6-C3B24F2E1D95}" name="PivotTable1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de of Transport by Post-COVID Occupation" colHeaderCaption="Gender">
  <location ref="AB83:AE107"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5">
        <item x="0"/>
        <item x="1"/>
        <item x="2"/>
        <item x="3"/>
        <item x="4"/>
      </items>
    </pivotField>
  </pivotFields>
  <rowFields count="2">
    <field x="2"/>
    <field x="3"/>
  </rowFields>
  <rowItems count="23">
    <i>
      <x/>
    </i>
    <i r="1">
      <x/>
    </i>
    <i r="1">
      <x v="1"/>
    </i>
    <i>
      <x v="1"/>
    </i>
    <i r="1">
      <x/>
    </i>
    <i r="1">
      <x v="2"/>
    </i>
    <i>
      <x v="2"/>
    </i>
    <i r="1">
      <x v="1"/>
    </i>
    <i>
      <x v="3"/>
    </i>
    <i r="1">
      <x/>
    </i>
    <i r="1">
      <x v="2"/>
    </i>
    <i>
      <x v="4"/>
    </i>
    <i r="1">
      <x/>
    </i>
    <i r="1">
      <x v="1"/>
    </i>
    <i r="1">
      <x v="2"/>
    </i>
    <i r="1">
      <x v="3"/>
    </i>
    <i r="1">
      <x v="4"/>
    </i>
    <i>
      <x v="5"/>
    </i>
    <i r="1">
      <x/>
    </i>
    <i r="1">
      <x v="2"/>
    </i>
    <i>
      <x v="6"/>
    </i>
    <i r="1">
      <x/>
    </i>
    <i t="grand">
      <x/>
    </i>
  </rowItems>
  <colFields count="1">
    <field x="0"/>
  </colFields>
  <colItems count="3">
    <i>
      <x/>
    </i>
    <i>
      <x v="1"/>
    </i>
    <i t="grand">
      <x/>
    </i>
  </colItems>
  <dataFields count="1">
    <dataField name="# of Respondents" fld="1" subtotal="count" baseField="0" baseItem="0"/>
  </dataFields>
  <conditionalFormats count="2">
    <conditionalFormat priority="10">
      <pivotAreas count="15">
        <pivotArea type="data" collapsedLevelsAreSubtotals="1" fieldPosition="0">
          <references count="4">
            <reference field="4294967294" count="1" selected="0">
              <x v="0"/>
            </reference>
            <reference field="0" count="1" selected="0">
              <x v="0"/>
            </reference>
            <reference field="2" count="1" selected="0">
              <x v="0"/>
            </reference>
            <reference field="3" count="2">
              <x v="0"/>
              <x v="1"/>
            </reference>
          </references>
        </pivotArea>
        <pivotArea type="data" collapsedLevelsAreSubtotals="1" fieldPosition="0">
          <references count="4">
            <reference field="4294967294" count="1" selected="0">
              <x v="0"/>
            </reference>
            <reference field="0" count="1" selected="0">
              <x v="0"/>
            </reference>
            <reference field="2" count="1" selected="0">
              <x v="1"/>
            </reference>
            <reference field="3" count="2">
              <x v="0"/>
              <x v="2"/>
            </reference>
          </references>
        </pivotArea>
        <pivotArea type="data" collapsedLevelsAreSubtotals="1" fieldPosition="0">
          <references count="4">
            <reference field="4294967294" count="1" selected="0">
              <x v="0"/>
            </reference>
            <reference field="0" count="1" selected="0">
              <x v="0"/>
            </reference>
            <reference field="2" count="1" selected="0">
              <x v="2"/>
            </reference>
            <reference field="3" count="1">
              <x v="1"/>
            </reference>
          </references>
        </pivotArea>
        <pivotArea type="data" collapsedLevelsAreSubtotals="1" fieldPosition="0">
          <references count="4">
            <reference field="4294967294" count="1" selected="0">
              <x v="0"/>
            </reference>
            <reference field="0" count="1" selected="0">
              <x v="0"/>
            </reference>
            <reference field="2" count="1" selected="0">
              <x v="3"/>
            </reference>
            <reference field="3" count="2">
              <x v="0"/>
              <x v="2"/>
            </reference>
          </references>
        </pivotArea>
        <pivotArea type="data" collapsedLevelsAreSubtotals="1" fieldPosition="0">
          <references count="4">
            <reference field="4294967294" count="1" selected="0">
              <x v="0"/>
            </reference>
            <reference field="0" count="1" selected="0">
              <x v="0"/>
            </reference>
            <reference field="2" count="1" selected="0">
              <x v="4"/>
            </reference>
            <reference field="3" count="5">
              <x v="0"/>
              <x v="1"/>
              <x v="2"/>
              <x v="3"/>
              <x v="4"/>
            </reference>
          </references>
        </pivotArea>
        <pivotArea type="data" collapsedLevelsAreSubtotals="1" fieldPosition="0">
          <references count="4">
            <reference field="4294967294" count="1" selected="0">
              <x v="0"/>
            </reference>
            <reference field="0" count="1" selected="0">
              <x v="0"/>
            </reference>
            <reference field="2" count="1" selected="0">
              <x v="5"/>
            </reference>
            <reference field="3" count="2">
              <x v="0"/>
              <x v="2"/>
            </reference>
          </references>
        </pivotArea>
        <pivotArea type="data" collapsedLevelsAreSubtotals="1" fieldPosition="0">
          <references count="4">
            <reference field="4294967294" count="1" selected="0">
              <x v="0"/>
            </reference>
            <reference field="0" count="1" selected="0">
              <x v="0"/>
            </reference>
            <reference field="2" count="1" selected="0">
              <x v="6"/>
            </reference>
            <reference field="3" count="1">
              <x v="0"/>
            </reference>
          </references>
        </pivotArea>
        <pivotArea type="data" collapsedLevelsAreSubtotals="1" fieldPosition="0">
          <references count="4">
            <reference field="4294967294" count="1" selected="0">
              <x v="0"/>
            </reference>
            <reference field="0" count="1" selected="0">
              <x v="1"/>
            </reference>
            <reference field="2" count="1" selected="0">
              <x v="6"/>
            </reference>
            <reference field="3" count="1">
              <x v="0"/>
            </reference>
          </references>
        </pivotArea>
        <pivotArea type="data" collapsedLevelsAreSubtotals="1" fieldPosition="0">
          <references count="4">
            <reference field="4294967294" count="1" selected="0">
              <x v="0"/>
            </reference>
            <reference field="0" count="1" selected="0">
              <x v="1"/>
            </reference>
            <reference field="2" count="1" selected="0">
              <x v="5"/>
            </reference>
            <reference field="3" count="2">
              <x v="0"/>
              <x v="2"/>
            </reference>
          </references>
        </pivotArea>
        <pivotArea type="data" collapsedLevelsAreSubtotals="1" fieldPosition="0">
          <references count="4">
            <reference field="4294967294" count="1" selected="0">
              <x v="0"/>
            </reference>
            <reference field="0" count="1" selected="0">
              <x v="1"/>
            </reference>
            <reference field="2" count="1" selected="0">
              <x v="4"/>
            </reference>
            <reference field="3" count="4">
              <x v="0"/>
              <x v="1"/>
              <x v="2"/>
              <x v="3"/>
            </reference>
          </references>
        </pivotArea>
        <pivotArea type="data" collapsedLevelsAreSubtotals="1" fieldPosition="0">
          <references count="4">
            <reference field="4294967294" count="1" selected="0">
              <x v="0"/>
            </reference>
            <reference field="0" count="1" selected="0">
              <x v="1"/>
            </reference>
            <reference field="2" count="1" selected="0">
              <x v="4"/>
            </reference>
            <reference field="3" count="1">
              <x v="4"/>
            </reference>
          </references>
        </pivotArea>
        <pivotArea type="data" collapsedLevelsAreSubtotals="1" fieldPosition="0">
          <references count="4">
            <reference field="4294967294" count="1" selected="0">
              <x v="0"/>
            </reference>
            <reference field="0" count="1" selected="0">
              <x v="1"/>
            </reference>
            <reference field="2" count="1" selected="0">
              <x v="3"/>
            </reference>
            <reference field="3" count="2">
              <x v="0"/>
              <x v="2"/>
            </reference>
          </references>
        </pivotArea>
        <pivotArea type="data" collapsedLevelsAreSubtotals="1" fieldPosition="0">
          <references count="4">
            <reference field="4294967294" count="1" selected="0">
              <x v="0"/>
            </reference>
            <reference field="0" count="1" selected="0">
              <x v="1"/>
            </reference>
            <reference field="2" count="1" selected="0">
              <x v="2"/>
            </reference>
            <reference field="3" count="1">
              <x v="1"/>
            </reference>
          </references>
        </pivotArea>
        <pivotArea type="data" collapsedLevelsAreSubtotals="1" fieldPosition="0">
          <references count="4">
            <reference field="4294967294" count="1" selected="0">
              <x v="0"/>
            </reference>
            <reference field="0" count="1" selected="0">
              <x v="1"/>
            </reference>
            <reference field="2" count="1" selected="0">
              <x v="1"/>
            </reference>
            <reference field="3" count="2">
              <x v="0"/>
              <x v="2"/>
            </reference>
          </references>
        </pivotArea>
        <pivotArea type="data" collapsedLevelsAreSubtotals="1" fieldPosition="0">
          <references count="4">
            <reference field="4294967294" count="1" selected="0">
              <x v="0"/>
            </reference>
            <reference field="0" count="1" selected="0">
              <x v="1"/>
            </reference>
            <reference field="2" count="1" selected="0">
              <x v="0"/>
            </reference>
            <reference field="3" count="2">
              <x v="0"/>
              <x v="1"/>
            </reference>
          </references>
        </pivotArea>
      </pivotAreas>
    </conditionalFormat>
    <conditionalFormat type="all" priority="9">
      <pivotAreas count="7">
        <pivotArea type="data" grandCol="1" collapsedLevelsAreSubtotals="1" fieldPosition="0">
          <references count="3">
            <reference field="4294967294" count="1" selected="0">
              <x v="0"/>
            </reference>
            <reference field="2" count="1" selected="0">
              <x v="0"/>
            </reference>
            <reference field="3" count="2">
              <x v="0"/>
              <x v="1"/>
            </reference>
          </references>
        </pivotArea>
        <pivotArea type="data" grandCol="1" collapsedLevelsAreSubtotals="1" fieldPosition="0">
          <references count="3">
            <reference field="4294967294" count="1" selected="0">
              <x v="0"/>
            </reference>
            <reference field="2" count="1" selected="0">
              <x v="1"/>
            </reference>
            <reference field="3" count="2">
              <x v="0"/>
              <x v="2"/>
            </reference>
          </references>
        </pivotArea>
        <pivotArea type="data" grandCol="1" collapsedLevelsAreSubtotals="1" fieldPosition="0">
          <references count="3">
            <reference field="4294967294" count="1" selected="0">
              <x v="0"/>
            </reference>
            <reference field="2" count="1" selected="0">
              <x v="2"/>
            </reference>
            <reference field="3" count="1">
              <x v="1"/>
            </reference>
          </references>
        </pivotArea>
        <pivotArea type="data" grandCol="1" collapsedLevelsAreSubtotals="1" fieldPosition="0">
          <references count="3">
            <reference field="4294967294" count="1" selected="0">
              <x v="0"/>
            </reference>
            <reference field="2" count="1" selected="0">
              <x v="3"/>
            </reference>
            <reference field="3" count="2">
              <x v="0"/>
              <x v="2"/>
            </reference>
          </references>
        </pivotArea>
        <pivotArea type="data" grandCol="1" collapsedLevelsAreSubtotals="1" fieldPosition="0">
          <references count="3">
            <reference field="4294967294" count="1" selected="0">
              <x v="0"/>
            </reference>
            <reference field="2" count="1" selected="0">
              <x v="4"/>
            </reference>
            <reference field="3" count="5">
              <x v="0"/>
              <x v="1"/>
              <x v="2"/>
              <x v="3"/>
              <x v="4"/>
            </reference>
          </references>
        </pivotArea>
        <pivotArea type="data" grandCol="1" collapsedLevelsAreSubtotals="1" fieldPosition="0">
          <references count="3">
            <reference field="4294967294" count="1" selected="0">
              <x v="0"/>
            </reference>
            <reference field="2" count="1" selected="0">
              <x v="5"/>
            </reference>
            <reference field="3" count="2">
              <x v="0"/>
              <x v="2"/>
            </reference>
          </references>
        </pivotArea>
        <pivotArea type="data" grandCol="1" collapsedLevelsAreSubtotals="1" fieldPosition="0">
          <references count="3">
            <reference field="4294967294" count="1" selected="0">
              <x v="0"/>
            </reference>
            <reference field="2" count="1" selected="0">
              <x v="6"/>
            </reference>
            <reference field="3" count="1">
              <x v="0"/>
            </reference>
          </references>
        </pivotArea>
      </pivotAreas>
    </conditionalFormat>
  </conditionalFormats>
  <chartFormats count="2">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34AD880-BCEA-48BA-99E2-C44CD0051D55}" name="PivotTable4" cacheId="15" applyNumberFormats="0" applyBorderFormats="0" applyFontFormats="0" applyPatternFormats="0" applyAlignmentFormats="0" applyWidthHeightFormats="1" dataCaption="Values" tag="bf93c36b-f6e5-4bbc-af76-91196e3415f8" updatedVersion="8" minRefreshableVersion="3" useAutoFormatting="1" subtotalHiddenItems="1" itemPrintTitles="1" createdVersion="7" indent="0" outline="1" outlineData="1" multipleFieldFilters="0" rowHeaderCaption="Residence based on Age and Gender">
  <location ref="L45:M84" firstHeaderRow="1" firstDataRow="1"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3">
    <field x="0"/>
    <field x="3"/>
    <field x="1"/>
  </rowFields>
  <rowItems count="39">
    <i>
      <x/>
    </i>
    <i r="1">
      <x/>
    </i>
    <i r="2">
      <x/>
    </i>
    <i r="2">
      <x v="1"/>
    </i>
    <i r="2">
      <x v="2"/>
    </i>
    <i r="1">
      <x v="1"/>
    </i>
    <i r="2">
      <x v="1"/>
    </i>
    <i r="2">
      <x v="3"/>
    </i>
    <i r="2">
      <x v="2"/>
    </i>
    <i r="1">
      <x v="2"/>
    </i>
    <i r="2">
      <x v="4"/>
    </i>
    <i r="2">
      <x v="5"/>
    </i>
    <i r="1">
      <x v="3"/>
    </i>
    <i r="2">
      <x v="2"/>
    </i>
    <i r="1">
      <x v="4"/>
    </i>
    <i r="2">
      <x/>
    </i>
    <i r="2">
      <x v="2"/>
    </i>
    <i r="1">
      <x v="5"/>
    </i>
    <i r="2">
      <x v="2"/>
    </i>
    <i>
      <x v="1"/>
    </i>
    <i r="1">
      <x/>
    </i>
    <i r="2">
      <x/>
    </i>
    <i r="2">
      <x v="1"/>
    </i>
    <i r="2">
      <x v="2"/>
    </i>
    <i r="2">
      <x v="6"/>
    </i>
    <i r="2">
      <x v="7"/>
    </i>
    <i r="2">
      <x v="8"/>
    </i>
    <i r="2">
      <x v="9"/>
    </i>
    <i r="1">
      <x v="1"/>
    </i>
    <i r="2">
      <x v="10"/>
    </i>
    <i r="2">
      <x v="2"/>
    </i>
    <i r="1">
      <x v="3"/>
    </i>
    <i r="2">
      <x v="3"/>
    </i>
    <i r="1">
      <x v="4"/>
    </i>
    <i r="2">
      <x v="2"/>
    </i>
    <i r="1">
      <x v="5"/>
    </i>
    <i r="2">
      <x v="10"/>
    </i>
    <i r="2">
      <x v="4"/>
    </i>
    <i t="grand">
      <x/>
    </i>
  </rowItems>
  <colItems count="1">
    <i/>
  </colItems>
  <dataFields count="1">
    <dataField name="# of Respondents by Area of Residence" fld="2" subtotal="count" baseField="0" baseItem="0"/>
  </dataFields>
  <conditionalFormats count="1">
    <conditionalFormat priority="45">
      <pivotAreas count="22">
        <pivotArea type="data" collapsedLevelsAreSubtotals="1" fieldPosition="0">
          <references count="4">
            <reference field="4294967294" count="1" selected="0">
              <x v="0"/>
            </reference>
            <reference field="0" count="1" selected="0">
              <x v="0"/>
            </reference>
            <reference field="1" count="3">
              <x v="0"/>
              <x v="1"/>
              <x v="2"/>
            </reference>
            <reference field="3" count="1" selected="0">
              <x v="0"/>
            </reference>
          </references>
        </pivotArea>
        <pivotArea type="data" collapsedLevelsAreSubtotals="1" fieldPosition="0">
          <references count="3">
            <reference field="4294967294" count="1" selected="0">
              <x v="0"/>
            </reference>
            <reference field="0" count="1" selected="0">
              <x v="0"/>
            </reference>
            <reference field="3" count="1">
              <x v="1"/>
            </reference>
          </references>
        </pivotArea>
        <pivotArea type="data" collapsedLevelsAreSubtotals="1" fieldPosition="0">
          <references count="4">
            <reference field="4294967294" count="1" selected="0">
              <x v="0"/>
            </reference>
            <reference field="0" count="1" selected="0">
              <x v="0"/>
            </reference>
            <reference field="1" count="3">
              <x v="1"/>
              <x v="2"/>
              <x v="3"/>
            </reference>
            <reference field="3" count="1" selected="0">
              <x v="1"/>
            </reference>
          </references>
        </pivotArea>
        <pivotArea type="data" collapsedLevelsAreSubtotals="1" fieldPosition="0">
          <references count="3">
            <reference field="4294967294" count="1" selected="0">
              <x v="0"/>
            </reference>
            <reference field="0" count="1" selected="0">
              <x v="0"/>
            </reference>
            <reference field="3" count="1">
              <x v="2"/>
            </reference>
          </references>
        </pivotArea>
        <pivotArea type="data" collapsedLevelsAreSubtotals="1" fieldPosition="0">
          <references count="4">
            <reference field="4294967294" count="1" selected="0">
              <x v="0"/>
            </reference>
            <reference field="0" count="1" selected="0">
              <x v="0"/>
            </reference>
            <reference field="1" count="2">
              <x v="4"/>
              <x v="5"/>
            </reference>
            <reference field="3" count="1" selected="0">
              <x v="2"/>
            </reference>
          </references>
        </pivotArea>
        <pivotArea type="data" collapsedLevelsAreSubtotals="1" fieldPosition="0">
          <references count="3">
            <reference field="4294967294" count="1" selected="0">
              <x v="0"/>
            </reference>
            <reference field="0" count="1" selected="0">
              <x v="0"/>
            </reference>
            <reference field="3" count="1">
              <x v="3"/>
            </reference>
          </references>
        </pivotArea>
        <pivotArea type="data" collapsedLevelsAreSubtotals="1" fieldPosition="0">
          <references count="4">
            <reference field="4294967294" count="1" selected="0">
              <x v="0"/>
            </reference>
            <reference field="0" count="1" selected="0">
              <x v="0"/>
            </reference>
            <reference field="1" count="1">
              <x v="2"/>
            </reference>
            <reference field="3" count="1" selected="0">
              <x v="3"/>
            </reference>
          </references>
        </pivotArea>
        <pivotArea type="data" collapsedLevelsAreSubtotals="1" fieldPosition="0">
          <references count="3">
            <reference field="4294967294" count="1" selected="0">
              <x v="0"/>
            </reference>
            <reference field="0" count="1" selected="0">
              <x v="0"/>
            </reference>
            <reference field="3" count="1">
              <x v="4"/>
            </reference>
          </references>
        </pivotArea>
        <pivotArea type="data" collapsedLevelsAreSubtotals="1" fieldPosition="0">
          <references count="4">
            <reference field="4294967294" count="1" selected="0">
              <x v="0"/>
            </reference>
            <reference field="0" count="1" selected="0">
              <x v="0"/>
            </reference>
            <reference field="1" count="2">
              <x v="0"/>
              <x v="2"/>
            </reference>
            <reference field="3" count="1" selected="0">
              <x v="4"/>
            </reference>
          </references>
        </pivotArea>
        <pivotArea type="data" collapsedLevelsAreSubtotals="1" fieldPosition="0">
          <references count="3">
            <reference field="4294967294" count="1" selected="0">
              <x v="0"/>
            </reference>
            <reference field="0" count="1" selected="0">
              <x v="0"/>
            </reference>
            <reference field="3" count="1">
              <x v="5"/>
            </reference>
          </references>
        </pivotArea>
        <pivotArea type="data" collapsedLevelsAreSubtotals="1" fieldPosition="0">
          <references count="4">
            <reference field="4294967294" count="1" selected="0">
              <x v="0"/>
            </reference>
            <reference field="0" count="1" selected="0">
              <x v="0"/>
            </reference>
            <reference field="1" count="1">
              <x v="2"/>
            </reference>
            <reference field="3" count="1" selected="0">
              <x v="5"/>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3" count="1">
              <x v="0"/>
            </reference>
          </references>
        </pivotArea>
        <pivotArea type="data" collapsedLevelsAreSubtotals="1" fieldPosition="0">
          <references count="4">
            <reference field="4294967294" count="1" selected="0">
              <x v="0"/>
            </reference>
            <reference field="0" count="1" selected="0">
              <x v="1"/>
            </reference>
            <reference field="1" count="7">
              <x v="0"/>
              <x v="1"/>
              <x v="2"/>
              <x v="6"/>
              <x v="7"/>
              <x v="8"/>
              <x v="9"/>
            </reference>
            <reference field="3" count="1" selected="0">
              <x v="0"/>
            </reference>
          </references>
        </pivotArea>
        <pivotArea type="data" collapsedLevelsAreSubtotals="1" fieldPosition="0">
          <references count="3">
            <reference field="4294967294" count="1" selected="0">
              <x v="0"/>
            </reference>
            <reference field="0" count="1" selected="0">
              <x v="1"/>
            </reference>
            <reference field="3" count="1">
              <x v="1"/>
            </reference>
          </references>
        </pivotArea>
        <pivotArea type="data" collapsedLevelsAreSubtotals="1" fieldPosition="0">
          <references count="4">
            <reference field="4294967294" count="1" selected="0">
              <x v="0"/>
            </reference>
            <reference field="0" count="1" selected="0">
              <x v="1"/>
            </reference>
            <reference field="1" count="2">
              <x v="2"/>
              <x v="10"/>
            </reference>
            <reference field="3" count="1" selected="0">
              <x v="1"/>
            </reference>
          </references>
        </pivotArea>
        <pivotArea type="data" collapsedLevelsAreSubtotals="1" fieldPosition="0">
          <references count="3">
            <reference field="4294967294" count="1" selected="0">
              <x v="0"/>
            </reference>
            <reference field="0" count="1" selected="0">
              <x v="1"/>
            </reference>
            <reference field="3" count="1">
              <x v="3"/>
            </reference>
          </references>
        </pivotArea>
        <pivotArea type="data" collapsedLevelsAreSubtotals="1" fieldPosition="0">
          <references count="4">
            <reference field="4294967294" count="1" selected="0">
              <x v="0"/>
            </reference>
            <reference field="0" count="1" selected="0">
              <x v="1"/>
            </reference>
            <reference field="1" count="1">
              <x v="3"/>
            </reference>
            <reference field="3" count="1" selected="0">
              <x v="3"/>
            </reference>
          </references>
        </pivotArea>
        <pivotArea type="data" collapsedLevelsAreSubtotals="1" fieldPosition="0">
          <references count="3">
            <reference field="4294967294" count="1" selected="0">
              <x v="0"/>
            </reference>
            <reference field="0" count="1" selected="0">
              <x v="1"/>
            </reference>
            <reference field="3" count="1">
              <x v="4"/>
            </reference>
          </references>
        </pivotArea>
        <pivotArea type="data" collapsedLevelsAreSubtotals="1" fieldPosition="0">
          <references count="4">
            <reference field="4294967294" count="1" selected="0">
              <x v="0"/>
            </reference>
            <reference field="0" count="1" selected="0">
              <x v="1"/>
            </reference>
            <reference field="1" count="1">
              <x v="2"/>
            </reference>
            <reference field="3" count="1" selected="0">
              <x v="4"/>
            </reference>
          </references>
        </pivotArea>
        <pivotArea type="data" collapsedLevelsAreSubtotals="1" fieldPosition="0">
          <references count="3">
            <reference field="4294967294" count="1" selected="0">
              <x v="0"/>
            </reference>
            <reference field="0" count="1" selected="0">
              <x v="1"/>
            </reference>
            <reference field="3" count="1">
              <x v="5"/>
            </reference>
          </references>
        </pivotArea>
        <pivotArea type="data" collapsedLevelsAreSubtotals="1" fieldPosition="0">
          <references count="4">
            <reference field="4294967294" count="1" selected="0">
              <x v="0"/>
            </reference>
            <reference field="0" count="1" selected="0">
              <x v="1"/>
            </reference>
            <reference field="1" count="2">
              <x v="4"/>
              <x v="10"/>
            </reference>
            <reference field="3" count="1" selected="0">
              <x v="5"/>
            </reference>
          </references>
        </pivotArea>
      </pivotAreas>
    </conditionalFormat>
  </conditional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of Respondents by Area of Reside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34"/>
    <rowHierarchyUsage hierarchyUsage="35"/>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B8EC7EC-F514-47DE-A839-95CAE30951AD}"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Distance by Age" colHeaderCaption="Gender">
  <location ref="W107:Z135"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6">
        <item x="0"/>
        <item x="1"/>
        <item x="2"/>
        <item x="3"/>
        <item x="4"/>
        <item x="5"/>
      </items>
    </pivotField>
  </pivotFields>
  <rowFields count="2">
    <field x="2"/>
    <field x="3"/>
  </rowFields>
  <rowItems count="27">
    <i>
      <x/>
    </i>
    <i r="1">
      <x/>
    </i>
    <i r="1">
      <x v="1"/>
    </i>
    <i r="1">
      <x v="2"/>
    </i>
    <i>
      <x v="1"/>
    </i>
    <i r="1">
      <x/>
    </i>
    <i>
      <x v="2"/>
    </i>
    <i r="1">
      <x v="3"/>
    </i>
    <i r="1">
      <x v="1"/>
    </i>
    <i r="1">
      <x v="4"/>
    </i>
    <i>
      <x v="3"/>
    </i>
    <i r="1">
      <x/>
    </i>
    <i r="1">
      <x v="3"/>
    </i>
    <i>
      <x v="4"/>
    </i>
    <i r="1">
      <x/>
    </i>
    <i r="1">
      <x v="3"/>
    </i>
    <i>
      <x v="5"/>
    </i>
    <i r="1">
      <x/>
    </i>
    <i r="1">
      <x v="3"/>
    </i>
    <i>
      <x v="6"/>
    </i>
    <i r="1">
      <x/>
    </i>
    <i r="1">
      <x v="3"/>
    </i>
    <i r="1">
      <x v="1"/>
    </i>
    <i r="1">
      <x v="5"/>
    </i>
    <i r="1">
      <x v="2"/>
    </i>
    <i r="1">
      <x v="4"/>
    </i>
    <i t="grand">
      <x/>
    </i>
  </rowItems>
  <colFields count="1">
    <field x="0"/>
  </colFields>
  <colItems count="3">
    <i>
      <x/>
    </i>
    <i>
      <x v="1"/>
    </i>
    <i t="grand">
      <x/>
    </i>
  </colItems>
  <dataFields count="1">
    <dataField name="# of Respondents" fld="1" subtotal="count" baseField="0" baseItem="0"/>
  </dataFields>
  <conditionalFormats count="3">
    <conditionalFormat priority="24">
      <pivotAreas count="7">
        <pivotArea type="data" collapsedLevelsAreSubtotals="1" fieldPosition="0">
          <references count="4">
            <reference field="4294967294" count="1" selected="0">
              <x v="0"/>
            </reference>
            <reference field="0" count="1" selected="0">
              <x v="0"/>
            </reference>
            <reference field="2" count="1" selected="0">
              <x v="0"/>
            </reference>
            <reference field="3" count="3">
              <x v="0"/>
              <x v="1"/>
              <x v="2"/>
            </reference>
          </references>
        </pivotArea>
        <pivotArea type="data" collapsedLevelsAreSubtotals="1" fieldPosition="0">
          <references count="4">
            <reference field="4294967294" count="1" selected="0">
              <x v="0"/>
            </reference>
            <reference field="0" count="1" selected="0">
              <x v="0"/>
            </reference>
            <reference field="2" count="1" selected="0">
              <x v="1"/>
            </reference>
            <reference field="3" count="1">
              <x v="0"/>
            </reference>
          </references>
        </pivotArea>
        <pivotArea type="data" collapsedLevelsAreSubtotals="1" fieldPosition="0">
          <references count="4">
            <reference field="4294967294" count="1" selected="0">
              <x v="0"/>
            </reference>
            <reference field="0" count="1" selected="0">
              <x v="0"/>
            </reference>
            <reference field="2" count="1" selected="0">
              <x v="2"/>
            </reference>
            <reference field="3" count="3">
              <x v="1"/>
              <x v="3"/>
              <x v="4"/>
            </reference>
          </references>
        </pivotArea>
        <pivotArea type="data" collapsedLevelsAreSubtotals="1" fieldPosition="0">
          <references count="4">
            <reference field="4294967294" count="1" selected="0">
              <x v="0"/>
            </reference>
            <reference field="0" count="1" selected="0">
              <x v="0"/>
            </reference>
            <reference field="2" count="1" selected="0">
              <x v="3"/>
            </reference>
            <reference field="3" count="2">
              <x v="0"/>
              <x v="3"/>
            </reference>
          </references>
        </pivotArea>
        <pivotArea type="data" collapsedLevelsAreSubtotals="1" fieldPosition="0">
          <references count="4">
            <reference field="4294967294" count="1" selected="0">
              <x v="0"/>
            </reference>
            <reference field="0" count="1" selected="0">
              <x v="0"/>
            </reference>
            <reference field="2" count="1" selected="0">
              <x v="4"/>
            </reference>
            <reference field="3" count="2">
              <x v="0"/>
              <x v="3"/>
            </reference>
          </references>
        </pivotArea>
        <pivotArea type="data" collapsedLevelsAreSubtotals="1" fieldPosition="0">
          <references count="4">
            <reference field="4294967294" count="1" selected="0">
              <x v="0"/>
            </reference>
            <reference field="0" count="1" selected="0">
              <x v="0"/>
            </reference>
            <reference field="2" count="1" selected="0">
              <x v="5"/>
            </reference>
            <reference field="3" count="2">
              <x v="0"/>
              <x v="3"/>
            </reference>
          </references>
        </pivotArea>
        <pivotArea type="data" collapsedLevelsAreSubtotals="1" fieldPosition="0">
          <references count="4">
            <reference field="4294967294" count="1" selected="0">
              <x v="0"/>
            </reference>
            <reference field="0" count="1" selected="0">
              <x v="0"/>
            </reference>
            <reference field="2" count="1" selected="0">
              <x v="6"/>
            </reference>
            <reference field="3" count="6">
              <x v="0"/>
              <x v="1"/>
              <x v="2"/>
              <x v="3"/>
              <x v="4"/>
              <x v="5"/>
            </reference>
          </references>
        </pivotArea>
      </pivotAreas>
    </conditionalFormat>
    <conditionalFormat priority="23">
      <pivotAreas count="7">
        <pivotArea type="data" collapsedLevelsAreSubtotals="1" fieldPosition="0">
          <references count="4">
            <reference field="4294967294" count="1" selected="0">
              <x v="0"/>
            </reference>
            <reference field="0" count="1" selected="0">
              <x v="1"/>
            </reference>
            <reference field="2" count="1" selected="0">
              <x v="0"/>
            </reference>
            <reference field="3" count="3">
              <x v="0"/>
              <x v="1"/>
              <x v="2"/>
            </reference>
          </references>
        </pivotArea>
        <pivotArea type="data" collapsedLevelsAreSubtotals="1" fieldPosition="0">
          <references count="4">
            <reference field="4294967294" count="1" selected="0">
              <x v="0"/>
            </reference>
            <reference field="0" count="1" selected="0">
              <x v="1"/>
            </reference>
            <reference field="2" count="1" selected="0">
              <x v="1"/>
            </reference>
            <reference field="3" count="1">
              <x v="0"/>
            </reference>
          </references>
        </pivotArea>
        <pivotArea type="data" collapsedLevelsAreSubtotals="1" fieldPosition="0">
          <references count="4">
            <reference field="4294967294" count="1" selected="0">
              <x v="0"/>
            </reference>
            <reference field="0" count="1" selected="0">
              <x v="1"/>
            </reference>
            <reference field="2" count="1" selected="0">
              <x v="2"/>
            </reference>
            <reference field="3" count="3">
              <x v="1"/>
              <x v="3"/>
              <x v="4"/>
            </reference>
          </references>
        </pivotArea>
        <pivotArea type="data" collapsedLevelsAreSubtotals="1" fieldPosition="0">
          <references count="4">
            <reference field="4294967294" count="1" selected="0">
              <x v="0"/>
            </reference>
            <reference field="0" count="1" selected="0">
              <x v="1"/>
            </reference>
            <reference field="2" count="1" selected="0">
              <x v="3"/>
            </reference>
            <reference field="3" count="2">
              <x v="0"/>
              <x v="3"/>
            </reference>
          </references>
        </pivotArea>
        <pivotArea type="data" collapsedLevelsAreSubtotals="1" fieldPosition="0">
          <references count="4">
            <reference field="4294967294" count="1" selected="0">
              <x v="0"/>
            </reference>
            <reference field="0" count="1" selected="0">
              <x v="1"/>
            </reference>
            <reference field="2" count="1" selected="0">
              <x v="4"/>
            </reference>
            <reference field="3" count="2">
              <x v="0"/>
              <x v="3"/>
            </reference>
          </references>
        </pivotArea>
        <pivotArea type="data" collapsedLevelsAreSubtotals="1" fieldPosition="0">
          <references count="4">
            <reference field="4294967294" count="1" selected="0">
              <x v="0"/>
            </reference>
            <reference field="0" count="1" selected="0">
              <x v="1"/>
            </reference>
            <reference field="2" count="1" selected="0">
              <x v="5"/>
            </reference>
            <reference field="3" count="2">
              <x v="0"/>
              <x v="3"/>
            </reference>
          </references>
        </pivotArea>
        <pivotArea type="data" collapsedLevelsAreSubtotals="1" fieldPosition="0">
          <references count="4">
            <reference field="4294967294" count="1" selected="0">
              <x v="0"/>
            </reference>
            <reference field="0" count="1" selected="0">
              <x v="1"/>
            </reference>
            <reference field="2" count="1" selected="0">
              <x v="6"/>
            </reference>
            <reference field="3" count="6">
              <x v="0"/>
              <x v="1"/>
              <x v="2"/>
              <x v="3"/>
              <x v="4"/>
              <x v="5"/>
            </reference>
          </references>
        </pivotArea>
      </pivotAreas>
    </conditionalFormat>
    <conditionalFormat type="all" priority="22">
      <pivotAreas count="7">
        <pivotArea type="data" grandCol="1" collapsedLevelsAreSubtotals="1" fieldPosition="0">
          <references count="3">
            <reference field="4294967294" count="1" selected="0">
              <x v="0"/>
            </reference>
            <reference field="2" count="1" selected="0">
              <x v="0"/>
            </reference>
            <reference field="3" count="3">
              <x v="0"/>
              <x v="1"/>
              <x v="2"/>
            </reference>
          </references>
        </pivotArea>
        <pivotArea type="data" grandCol="1" collapsedLevelsAreSubtotals="1" fieldPosition="0">
          <references count="3">
            <reference field="4294967294" count="1" selected="0">
              <x v="0"/>
            </reference>
            <reference field="2" count="1" selected="0">
              <x v="1"/>
            </reference>
            <reference field="3" count="1">
              <x v="0"/>
            </reference>
          </references>
        </pivotArea>
        <pivotArea type="data" grandCol="1" collapsedLevelsAreSubtotals="1" fieldPosition="0">
          <references count="3">
            <reference field="4294967294" count="1" selected="0">
              <x v="0"/>
            </reference>
            <reference field="2" count="1" selected="0">
              <x v="2"/>
            </reference>
            <reference field="3" count="3">
              <x v="1"/>
              <x v="3"/>
              <x v="4"/>
            </reference>
          </references>
        </pivotArea>
        <pivotArea type="data" grandCol="1" collapsedLevelsAreSubtotals="1" fieldPosition="0">
          <references count="3">
            <reference field="4294967294" count="1" selected="0">
              <x v="0"/>
            </reference>
            <reference field="2" count="1" selected="0">
              <x v="3"/>
            </reference>
            <reference field="3" count="2">
              <x v="0"/>
              <x v="3"/>
            </reference>
          </references>
        </pivotArea>
        <pivotArea type="data" grandCol="1" collapsedLevelsAreSubtotals="1" fieldPosition="0">
          <references count="3">
            <reference field="4294967294" count="1" selected="0">
              <x v="0"/>
            </reference>
            <reference field="2" count="1" selected="0">
              <x v="4"/>
            </reference>
            <reference field="3" count="2">
              <x v="0"/>
              <x v="3"/>
            </reference>
          </references>
        </pivotArea>
        <pivotArea type="data" grandCol="1" collapsedLevelsAreSubtotals="1" fieldPosition="0">
          <references count="3">
            <reference field="4294967294" count="1" selected="0">
              <x v="0"/>
            </reference>
            <reference field="2" count="1" selected="0">
              <x v="5"/>
            </reference>
            <reference field="3" count="2">
              <x v="0"/>
              <x v="3"/>
            </reference>
          </references>
        </pivotArea>
        <pivotArea type="data" grandCol="1" collapsedLevelsAreSubtotals="1" fieldPosition="0">
          <references count="3">
            <reference field="4294967294" count="1" selected="0">
              <x v="0"/>
            </reference>
            <reference field="2" count="1" selected="0">
              <x v="6"/>
            </reference>
            <reference field="3" count="6">
              <x v="0"/>
              <x v="1"/>
              <x v="2"/>
              <x v="3"/>
              <x v="4"/>
              <x v="5"/>
            </reference>
          </references>
        </pivotArea>
      </pivotAreas>
    </conditionalFormat>
  </conditional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4" format="4" series="1">
      <pivotArea type="data" outline="0" fieldPosition="0">
        <references count="2">
          <reference field="4294967294" count="1" selected="0">
            <x v="0"/>
          </reference>
          <reference field="0" count="1" selected="0">
            <x v="0"/>
          </reference>
        </references>
      </pivotArea>
    </chartFormat>
    <chartFormat chart="4" format="5" series="1">
      <pivotArea type="data" outline="0" fieldPosition="0">
        <references count="2">
          <reference field="4294967294" count="1" selected="0">
            <x v="0"/>
          </reference>
          <reference field="0" count="1" selected="0">
            <x v="1"/>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7"/>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F3A64EF-E2B0-473A-84BC-5B01A49FDDA3}" name="PivotTable5" cacheId="13"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Age based on Gender">
  <location ref="O45:P78" firstHeaderRow="1" firstDataRow="1"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5">
        <item x="0"/>
        <item x="1"/>
        <item x="2"/>
        <item x="3"/>
        <item x="4"/>
      </items>
    </pivotField>
    <pivotField dataField="1" subtotalTop="0" showAll="0" defaultSubtotal="0"/>
  </pivotFields>
  <rowFields count="3">
    <field x="0"/>
    <field x="1"/>
    <field x="2"/>
  </rowFields>
  <rowItems count="33">
    <i>
      <x/>
    </i>
    <i r="1">
      <x/>
    </i>
    <i r="2">
      <x/>
    </i>
    <i r="2">
      <x v="1"/>
    </i>
    <i r="2">
      <x v="2"/>
    </i>
    <i r="1">
      <x v="1"/>
    </i>
    <i r="2">
      <x/>
    </i>
    <i r="2">
      <x v="2"/>
    </i>
    <i r="1">
      <x v="2"/>
    </i>
    <i r="2">
      <x/>
    </i>
    <i r="2">
      <x v="3"/>
    </i>
    <i r="2">
      <x v="2"/>
    </i>
    <i r="1">
      <x v="3"/>
    </i>
    <i r="2">
      <x/>
    </i>
    <i r="1">
      <x v="4"/>
    </i>
    <i r="2">
      <x/>
    </i>
    <i r="2">
      <x v="4"/>
    </i>
    <i r="1">
      <x v="5"/>
    </i>
    <i r="2">
      <x v="4"/>
    </i>
    <i>
      <x v="1"/>
    </i>
    <i r="1">
      <x/>
    </i>
    <i r="2">
      <x v="3"/>
    </i>
    <i r="2">
      <x v="1"/>
    </i>
    <i r="1">
      <x v="1"/>
    </i>
    <i r="2">
      <x/>
    </i>
    <i r="1">
      <x v="3"/>
    </i>
    <i r="2">
      <x/>
    </i>
    <i r="1">
      <x v="4"/>
    </i>
    <i r="2">
      <x/>
    </i>
    <i r="1">
      <x v="5"/>
    </i>
    <i r="2">
      <x/>
    </i>
    <i r="2">
      <x v="4"/>
    </i>
    <i t="grand">
      <x/>
    </i>
  </rowItems>
  <colItems count="1">
    <i/>
  </colItems>
  <dataFields count="1">
    <dataField name="# of Respondents by Occupation (Pre-COVID)" fld="3" subtotal="count" baseField="0" baseItem="0"/>
  </dataFields>
  <conditionalFormats count="1">
    <conditionalFormat priority="44">
      <pivotAreas count="22">
        <pivotArea type="data" collapsedLevelsAreSubtotals="1" fieldPosition="0">
          <references count="4">
            <reference field="4294967294" count="1" selected="0">
              <x v="0"/>
            </reference>
            <reference field="0" count="1" selected="0">
              <x v="0"/>
            </reference>
            <reference field="1" count="1" selected="0">
              <x v="0"/>
            </reference>
            <reference field="2" count="3">
              <x v="0"/>
              <x v="1"/>
              <x v="2"/>
            </reference>
          </references>
        </pivotArea>
        <pivotArea type="data" collapsedLevelsAreSubtotals="1" fieldPosition="0">
          <references count="3">
            <reference field="4294967294" count="1" selected="0">
              <x v="0"/>
            </reference>
            <reference field="0" count="1" selected="0">
              <x v="0"/>
            </reference>
            <reference field="1" count="1">
              <x v="1"/>
            </reference>
          </references>
        </pivotArea>
        <pivotArea type="data" collapsedLevelsAreSubtotals="1" fieldPosition="0">
          <references count="4">
            <reference field="4294967294" count="1" selected="0">
              <x v="0"/>
            </reference>
            <reference field="0" count="1" selected="0">
              <x v="0"/>
            </reference>
            <reference field="1" count="1" selected="0">
              <x v="1"/>
            </reference>
            <reference field="2" count="2">
              <x v="0"/>
              <x v="2"/>
            </reference>
          </references>
        </pivotArea>
        <pivotArea type="data" collapsedLevelsAreSubtotals="1" fieldPosition="0">
          <references count="3">
            <reference field="4294967294" count="1" selected="0">
              <x v="0"/>
            </reference>
            <reference field="0" count="1" selected="0">
              <x v="0"/>
            </reference>
            <reference field="1" count="1">
              <x v="2"/>
            </reference>
          </references>
        </pivotArea>
        <pivotArea type="data" collapsedLevelsAreSubtotals="1" fieldPosition="0">
          <references count="4">
            <reference field="4294967294" count="1" selected="0">
              <x v="0"/>
            </reference>
            <reference field="0" count="1" selected="0">
              <x v="0"/>
            </reference>
            <reference field="1" count="1" selected="0">
              <x v="2"/>
            </reference>
            <reference field="2" count="3">
              <x v="0"/>
              <x v="2"/>
              <x v="3"/>
            </reference>
          </references>
        </pivotArea>
        <pivotArea type="data" collapsedLevelsAreSubtotals="1" fieldPosition="0">
          <references count="3">
            <reference field="4294967294" count="1" selected="0">
              <x v="0"/>
            </reference>
            <reference field="0" count="1" selected="0">
              <x v="0"/>
            </reference>
            <reference field="1" count="1">
              <x v="3"/>
            </reference>
          </references>
        </pivotArea>
        <pivotArea type="data" collapsedLevelsAreSubtotals="1" fieldPosition="0">
          <references count="4">
            <reference field="4294967294" count="1" selected="0">
              <x v="0"/>
            </reference>
            <reference field="0" count="1" selected="0">
              <x v="0"/>
            </reference>
            <reference field="1" count="1" selected="0">
              <x v="3"/>
            </reference>
            <reference field="2" count="1">
              <x v="0"/>
            </reference>
          </references>
        </pivotArea>
        <pivotArea type="data" collapsedLevelsAreSubtotals="1" fieldPosition="0">
          <references count="3">
            <reference field="4294967294" count="1" selected="0">
              <x v="0"/>
            </reference>
            <reference field="0" count="1" selected="0">
              <x v="0"/>
            </reference>
            <reference field="1" count="1">
              <x v="4"/>
            </reference>
          </references>
        </pivotArea>
        <pivotArea type="data" collapsedLevelsAreSubtotals="1" fieldPosition="0">
          <references count="4">
            <reference field="4294967294" count="1" selected="0">
              <x v="0"/>
            </reference>
            <reference field="0" count="1" selected="0">
              <x v="0"/>
            </reference>
            <reference field="1" count="1" selected="0">
              <x v="4"/>
            </reference>
            <reference field="2" count="2">
              <x v="0"/>
              <x v="4"/>
            </reference>
          </references>
        </pivotArea>
        <pivotArea type="data" collapsedLevelsAreSubtotals="1" fieldPosition="0">
          <references count="3">
            <reference field="4294967294" count="1" selected="0">
              <x v="0"/>
            </reference>
            <reference field="0" count="1" selected="0">
              <x v="0"/>
            </reference>
            <reference field="1" count="1">
              <x v="5"/>
            </reference>
          </references>
        </pivotArea>
        <pivotArea type="data" collapsedLevelsAreSubtotals="1" fieldPosition="0">
          <references count="4">
            <reference field="4294967294" count="1" selected="0">
              <x v="0"/>
            </reference>
            <reference field="0" count="1" selected="0">
              <x v="0"/>
            </reference>
            <reference field="1" count="1" selected="0">
              <x v="5"/>
            </reference>
            <reference field="2" count="1">
              <x v="4"/>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1">
              <x v="0"/>
            </reference>
          </references>
        </pivotArea>
        <pivotArea type="data" collapsedLevelsAreSubtotals="1" fieldPosition="0">
          <references count="4">
            <reference field="4294967294" count="1" selected="0">
              <x v="0"/>
            </reference>
            <reference field="0" count="1" selected="0">
              <x v="1"/>
            </reference>
            <reference field="1" count="1" selected="0">
              <x v="0"/>
            </reference>
            <reference field="2" count="2">
              <x v="1"/>
              <x v="3"/>
            </reference>
          </references>
        </pivotArea>
        <pivotArea type="data" collapsedLevelsAreSubtotals="1" fieldPosition="0">
          <references count="3">
            <reference field="4294967294" count="1" selected="0">
              <x v="0"/>
            </reference>
            <reference field="0" count="1" selected="0">
              <x v="1"/>
            </reference>
            <reference field="1" count="1">
              <x v="1"/>
            </reference>
          </references>
        </pivotArea>
        <pivotArea type="data" collapsedLevelsAreSubtotals="1" fieldPosition="0">
          <references count="4">
            <reference field="4294967294" count="1" selected="0">
              <x v="0"/>
            </reference>
            <reference field="0" count="1" selected="0">
              <x v="1"/>
            </reference>
            <reference field="1" count="1" selected="0">
              <x v="1"/>
            </reference>
            <reference field="2" count="1">
              <x v="0"/>
            </reference>
          </references>
        </pivotArea>
        <pivotArea type="data" collapsedLevelsAreSubtotals="1" fieldPosition="0">
          <references count="3">
            <reference field="4294967294" count="1" selected="0">
              <x v="0"/>
            </reference>
            <reference field="0" count="1" selected="0">
              <x v="1"/>
            </reference>
            <reference field="1" count="1">
              <x v="3"/>
            </reference>
          </references>
        </pivotArea>
        <pivotArea type="data" collapsedLevelsAreSubtotals="1" fieldPosition="0">
          <references count="4">
            <reference field="4294967294" count="1" selected="0">
              <x v="0"/>
            </reference>
            <reference field="0" count="1" selected="0">
              <x v="1"/>
            </reference>
            <reference field="1" count="1" selected="0">
              <x v="3"/>
            </reference>
            <reference field="2" count="1">
              <x v="0"/>
            </reference>
          </references>
        </pivotArea>
        <pivotArea type="data" collapsedLevelsAreSubtotals="1" fieldPosition="0">
          <references count="3">
            <reference field="4294967294" count="1" selected="0">
              <x v="0"/>
            </reference>
            <reference field="0" count="1" selected="0">
              <x v="1"/>
            </reference>
            <reference field="1" count="1">
              <x v="4"/>
            </reference>
          </references>
        </pivotArea>
        <pivotArea type="data" collapsedLevelsAreSubtotals="1" fieldPosition="0">
          <references count="4">
            <reference field="4294967294" count="1" selected="0">
              <x v="0"/>
            </reference>
            <reference field="0" count="1" selected="0">
              <x v="1"/>
            </reference>
            <reference field="1" count="1" selected="0">
              <x v="4"/>
            </reference>
            <reference field="2" count="1">
              <x v="0"/>
            </reference>
          </references>
        </pivotArea>
        <pivotArea type="data" collapsedLevelsAreSubtotals="1" fieldPosition="0">
          <references count="3">
            <reference field="4294967294" count="1" selected="0">
              <x v="0"/>
            </reference>
            <reference field="0" count="1" selected="0">
              <x v="1"/>
            </reference>
            <reference field="1" count="1">
              <x v="5"/>
            </reference>
          </references>
        </pivotArea>
        <pivotArea type="data" collapsedLevelsAreSubtotals="1" fieldPosition="0">
          <references count="4">
            <reference field="4294967294" count="1" selected="0">
              <x v="0"/>
            </reference>
            <reference field="0" count="1" selected="0">
              <x v="1"/>
            </reference>
            <reference field="1" count="1" selected="0">
              <x v="5"/>
            </reference>
            <reference field="2" count="2">
              <x v="0"/>
              <x v="4"/>
            </reference>
          </references>
        </pivotArea>
      </pivotAreas>
    </conditionalFormat>
  </conditional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of Respondents by Occupation (Pre-COV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51"/>
    <rowHierarchyUsage hierarchyUsage="52"/>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Table2]"/>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CDB62B-83AF-4531-813B-9A4A16C0687E}" name="DataTable" displayName="DataTable" ref="B7:R42" totalsRowShown="0" headerRowDxfId="35" dataDxfId="34" tableBorderDxfId="33">
  <autoFilter ref="B7:R42" xr:uid="{08CDB62B-83AF-4531-813B-9A4A16C0687E}"/>
  <tableColumns count="17">
    <tableColumn id="1" xr3:uid="{E6D71FC3-BC38-4054-A91C-61B807D57B76}" name="#" dataDxfId="32"/>
    <tableColumn id="2" xr3:uid="{61A31A36-CE64-4146-82A0-63FA41C32BA9}" name="Name (Optional)" dataDxfId="31"/>
    <tableColumn id="3" xr3:uid="{2FF5880C-67E3-46DE-9C93-76928602B7A7}" name="Gender" dataDxfId="30"/>
    <tableColumn id="4" xr3:uid="{5D1FE9D9-AA6F-4650-A3CF-851B58504525}" name="Age" dataDxfId="29"/>
    <tableColumn id="5" xr3:uid="{2EE7D5CC-0366-4DF9-9DDA-7A0B105A24A5}" name="Area of Residence" dataDxfId="28"/>
    <tableColumn id="6" xr3:uid="{90C8FEE8-898D-496E-B6AB-5E178FE39F8D}" name="Occupation (Pre-COVID)" dataDxfId="27"/>
    <tableColumn id="7" xr3:uid="{8642F406-2428-41AA-A75B-0EEDB50C0B43}" name="Occupation (Post-COVID)" dataDxfId="26"/>
    <tableColumn id="8" xr3:uid="{09719B1F-DAD3-4E12-854E-2DF3A460544E}" name="Q1. Pre-COVID" dataDxfId="25"/>
    <tableColumn id="9" xr3:uid="{E5B87E80-764A-4646-938E-BE68A2ED93BD}" name="Q1. Post-COVID" dataDxfId="24"/>
    <tableColumn id="10" xr3:uid="{BE833165-1281-4210-8831-CDB7FE3FA068}" name="Q2. Pre-COVID" dataDxfId="23"/>
    <tableColumn id="11" xr3:uid="{DDDAB8D5-398A-48A5-BD67-7DE10F07CBF1}" name="Q2. Post-COVID" dataDxfId="22"/>
    <tableColumn id="12" xr3:uid="{8DAD3530-F640-434C-A3B4-C1BE01999BCD}" name="Q3. Pre-COVID" dataDxfId="21"/>
    <tableColumn id="13" xr3:uid="{51EDB4B7-BB0C-4A63-BDA0-B601CFD85632}" name="Q3. Post-COVID" dataDxfId="20"/>
    <tableColumn id="14" xr3:uid="{3E17D0A3-AC86-4FD7-B755-BC1C94DF8C76}" name="Q4. Pre-COVID" dataDxfId="19"/>
    <tableColumn id="15" xr3:uid="{C8A26447-136C-4E3F-9855-AB1AD24FCB39}" name="Q4. Post-COVID" dataDxfId="18"/>
    <tableColumn id="16" xr3:uid="{D4AC780E-517E-468D-9138-775E4492CB69}" name="Q5. Pre-COVID" dataDxfId="17"/>
    <tableColumn id="17" xr3:uid="{DF259C36-2994-4DD2-A334-109034FF0E87}" name="Q5. Post-COVID" dataDxf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3.xml"/><Relationship Id="rId13" Type="http://schemas.openxmlformats.org/officeDocument/2006/relationships/pivotTable" Target="../pivotTables/pivotTable18.xml"/><Relationship Id="rId18" Type="http://schemas.openxmlformats.org/officeDocument/2006/relationships/pivotTable" Target="../pivotTables/pivotTable23.xml"/><Relationship Id="rId3" Type="http://schemas.openxmlformats.org/officeDocument/2006/relationships/pivotTable" Target="../pivotTables/pivotTable8.xml"/><Relationship Id="rId21" Type="http://schemas.openxmlformats.org/officeDocument/2006/relationships/vmlDrawing" Target="../drawings/vmlDrawing5.vml"/><Relationship Id="rId7" Type="http://schemas.openxmlformats.org/officeDocument/2006/relationships/pivotTable" Target="../pivotTables/pivotTable12.xml"/><Relationship Id="rId12" Type="http://schemas.openxmlformats.org/officeDocument/2006/relationships/pivotTable" Target="../pivotTables/pivotTable17.xml"/><Relationship Id="rId17" Type="http://schemas.openxmlformats.org/officeDocument/2006/relationships/pivotTable" Target="../pivotTables/pivotTable22.xml"/><Relationship Id="rId2" Type="http://schemas.openxmlformats.org/officeDocument/2006/relationships/pivotTable" Target="../pivotTables/pivotTable7.xml"/><Relationship Id="rId16" Type="http://schemas.openxmlformats.org/officeDocument/2006/relationships/pivotTable" Target="../pivotTables/pivotTable21.xml"/><Relationship Id="rId20" Type="http://schemas.openxmlformats.org/officeDocument/2006/relationships/printerSettings" Target="../printerSettings/printerSettings4.bin"/><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5" Type="http://schemas.openxmlformats.org/officeDocument/2006/relationships/pivotTable" Target="../pivotTables/pivotTable20.xml"/><Relationship Id="rId23" Type="http://schemas.openxmlformats.org/officeDocument/2006/relationships/comments" Target="../comments5.xml"/><Relationship Id="rId10" Type="http://schemas.openxmlformats.org/officeDocument/2006/relationships/pivotTable" Target="../pivotTables/pivotTable15.xml"/><Relationship Id="rId19" Type="http://schemas.openxmlformats.org/officeDocument/2006/relationships/pivotTable" Target="../pivotTables/pivotTable24.xml"/><Relationship Id="rId4" Type="http://schemas.openxmlformats.org/officeDocument/2006/relationships/pivotTable" Target="../pivotTables/pivotTable9.xml"/><Relationship Id="rId9" Type="http://schemas.openxmlformats.org/officeDocument/2006/relationships/pivotTable" Target="../pivotTables/pivotTable14.xml"/><Relationship Id="rId14" Type="http://schemas.openxmlformats.org/officeDocument/2006/relationships/pivotTable" Target="../pivotTables/pivotTable19.xml"/><Relationship Id="rId22"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723A7-5EEA-484C-939D-BBE3D0A07B84}">
  <dimension ref="B1:AC88"/>
  <sheetViews>
    <sheetView workbookViewId="0"/>
  </sheetViews>
  <sheetFormatPr defaultRowHeight="14.4" x14ac:dyDescent="0.3"/>
  <cols>
    <col min="3" max="3" width="18.109375" customWidth="1"/>
    <col min="4" max="4" width="12.21875" bestFit="1" customWidth="1"/>
    <col min="5" max="5" width="11.21875" customWidth="1"/>
    <col min="6" max="6" width="18.109375" customWidth="1"/>
    <col min="7" max="7" width="9.6640625" customWidth="1"/>
    <col min="8" max="8" width="10.44140625" bestFit="1" customWidth="1"/>
    <col min="9" max="9" width="10.21875" bestFit="1" customWidth="1"/>
    <col min="10" max="10" width="12.77734375" customWidth="1"/>
    <col min="16" max="16" width="9.109375" customWidth="1"/>
    <col min="17" max="17" width="13.44140625" customWidth="1"/>
    <col min="28" max="28" width="10.33203125" customWidth="1"/>
  </cols>
  <sheetData>
    <row r="1" spans="2:29" ht="15" thickBot="1" x14ac:dyDescent="0.35">
      <c r="B1" s="3"/>
      <c r="C1" s="3"/>
      <c r="D1" s="3"/>
      <c r="E1" s="3"/>
      <c r="F1" s="3"/>
      <c r="G1" s="3"/>
    </row>
    <row r="2" spans="2:29" ht="15" thickBot="1" x14ac:dyDescent="0.35">
      <c r="B2" s="252" t="s">
        <v>5</v>
      </c>
      <c r="C2" s="253"/>
      <c r="D2" s="253"/>
      <c r="E2" s="253"/>
      <c r="F2" s="253"/>
      <c r="G2" s="253"/>
      <c r="H2" s="253"/>
      <c r="I2" s="253"/>
      <c r="J2" s="254"/>
      <c r="K2" s="1"/>
      <c r="L2" s="1"/>
      <c r="M2" s="252" t="s">
        <v>28</v>
      </c>
      <c r="N2" s="255"/>
      <c r="O2" s="255"/>
      <c r="P2" s="255"/>
      <c r="Q2" s="255"/>
      <c r="R2" s="255"/>
      <c r="S2" s="255"/>
      <c r="T2" s="256"/>
      <c r="V2" s="252" t="s">
        <v>29</v>
      </c>
      <c r="W2" s="255"/>
      <c r="X2" s="255"/>
      <c r="Y2" s="255"/>
      <c r="Z2" s="255"/>
      <c r="AA2" s="255"/>
      <c r="AB2" s="255"/>
      <c r="AC2" s="256"/>
    </row>
    <row r="3" spans="2:29" ht="15" thickBot="1" x14ac:dyDescent="0.35">
      <c r="M3" s="46"/>
      <c r="N3" s="46"/>
      <c r="O3" s="46"/>
      <c r="P3" s="46"/>
      <c r="Q3" s="47"/>
      <c r="R3" s="47"/>
      <c r="S3" s="47"/>
      <c r="T3" s="47"/>
      <c r="V3" s="46"/>
      <c r="W3" s="46"/>
      <c r="X3" s="46"/>
      <c r="Y3" s="46"/>
      <c r="Z3" s="47"/>
      <c r="AA3" s="47"/>
      <c r="AB3" s="47"/>
      <c r="AC3" s="47"/>
    </row>
    <row r="4" spans="2:29" ht="15" thickBot="1" x14ac:dyDescent="0.35">
      <c r="C4" s="19" t="s">
        <v>2</v>
      </c>
      <c r="D4" s="20" t="s">
        <v>0</v>
      </c>
      <c r="E4" s="21" t="s">
        <v>1</v>
      </c>
      <c r="F4" s="36" t="s">
        <v>4</v>
      </c>
      <c r="G4" s="257" t="s">
        <v>3</v>
      </c>
      <c r="H4" s="258"/>
      <c r="I4" s="258"/>
      <c r="J4" s="259"/>
      <c r="M4" s="260" t="s">
        <v>20</v>
      </c>
      <c r="N4" s="261"/>
      <c r="O4" s="261"/>
      <c r="P4" s="261"/>
      <c r="Q4" s="261" t="s">
        <v>9</v>
      </c>
      <c r="R4" s="261"/>
      <c r="S4" s="261" t="s">
        <v>10</v>
      </c>
      <c r="T4" s="262"/>
      <c r="V4" s="260" t="s">
        <v>20</v>
      </c>
      <c r="W4" s="261"/>
      <c r="X4" s="261"/>
      <c r="Y4" s="261"/>
      <c r="Z4" s="261" t="s">
        <v>9</v>
      </c>
      <c r="AA4" s="261"/>
      <c r="AB4" s="261" t="s">
        <v>10</v>
      </c>
      <c r="AC4" s="262"/>
    </row>
    <row r="5" spans="2:29" x14ac:dyDescent="0.3">
      <c r="B5" s="58">
        <v>1</v>
      </c>
      <c r="C5" s="13"/>
      <c r="D5" s="13"/>
      <c r="E5" s="13"/>
      <c r="F5" s="13"/>
      <c r="G5" s="263"/>
      <c r="H5" s="263"/>
      <c r="I5" s="263"/>
      <c r="J5" s="264"/>
      <c r="M5" s="265" t="s">
        <v>26</v>
      </c>
      <c r="N5" s="266"/>
      <c r="O5" s="266"/>
      <c r="P5" s="266"/>
      <c r="Q5" s="266"/>
      <c r="R5" s="266"/>
      <c r="S5" s="266"/>
      <c r="T5" s="267"/>
      <c r="V5" s="265" t="s">
        <v>26</v>
      </c>
      <c r="W5" s="266"/>
      <c r="X5" s="266"/>
      <c r="Y5" s="266"/>
      <c r="Z5" s="266"/>
      <c r="AA5" s="266"/>
      <c r="AB5" s="266"/>
      <c r="AC5" s="267"/>
    </row>
    <row r="6" spans="2:29" x14ac:dyDescent="0.3">
      <c r="B6" s="14">
        <v>2</v>
      </c>
      <c r="C6" s="6"/>
      <c r="D6" s="6"/>
      <c r="E6" s="6"/>
      <c r="F6" s="6"/>
      <c r="G6" s="268"/>
      <c r="H6" s="268"/>
      <c r="I6" s="268"/>
      <c r="J6" s="269"/>
      <c r="M6" s="270" t="s">
        <v>27</v>
      </c>
      <c r="N6" s="271"/>
      <c r="O6" s="271"/>
      <c r="P6" s="271"/>
      <c r="Q6" s="272" t="s">
        <v>21</v>
      </c>
      <c r="R6" s="272"/>
      <c r="S6" s="271" t="s">
        <v>21</v>
      </c>
      <c r="T6" s="273"/>
      <c r="V6" s="270" t="s">
        <v>27</v>
      </c>
      <c r="W6" s="271"/>
      <c r="X6" s="271"/>
      <c r="Y6" s="271"/>
      <c r="Z6" s="272" t="s">
        <v>21</v>
      </c>
      <c r="AA6" s="272"/>
      <c r="AB6" s="271" t="s">
        <v>21</v>
      </c>
      <c r="AC6" s="273"/>
    </row>
    <row r="7" spans="2:29" x14ac:dyDescent="0.3">
      <c r="B7" s="15">
        <v>3</v>
      </c>
      <c r="C7" s="5"/>
      <c r="D7" s="5"/>
      <c r="E7" s="5"/>
      <c r="F7" s="5"/>
      <c r="G7" s="274"/>
      <c r="H7" s="274"/>
      <c r="I7" s="274"/>
      <c r="J7" s="275"/>
      <c r="M7" s="265" t="s">
        <v>22</v>
      </c>
      <c r="N7" s="266"/>
      <c r="O7" s="266"/>
      <c r="P7" s="266"/>
      <c r="Q7" s="266"/>
      <c r="R7" s="266"/>
      <c r="S7" s="266"/>
      <c r="T7" s="267"/>
      <c r="V7" s="265" t="s">
        <v>22</v>
      </c>
      <c r="W7" s="266"/>
      <c r="X7" s="266"/>
      <c r="Y7" s="266"/>
      <c r="Z7" s="266"/>
      <c r="AA7" s="266"/>
      <c r="AB7" s="266"/>
      <c r="AC7" s="267"/>
    </row>
    <row r="8" spans="2:29" x14ac:dyDescent="0.3">
      <c r="B8" s="14">
        <v>4</v>
      </c>
      <c r="C8" s="6"/>
      <c r="D8" s="6"/>
      <c r="E8" s="6"/>
      <c r="F8" s="6"/>
      <c r="G8" s="268"/>
      <c r="H8" s="268"/>
      <c r="I8" s="268"/>
      <c r="J8" s="269"/>
      <c r="M8" s="270" t="s">
        <v>21</v>
      </c>
      <c r="N8" s="271"/>
      <c r="O8" s="271"/>
      <c r="P8" s="271"/>
      <c r="Q8" s="272" t="s">
        <v>21</v>
      </c>
      <c r="R8" s="272"/>
      <c r="S8" s="271" t="s">
        <v>21</v>
      </c>
      <c r="T8" s="273"/>
      <c r="V8" s="270" t="s">
        <v>21</v>
      </c>
      <c r="W8" s="271"/>
      <c r="X8" s="271"/>
      <c r="Y8" s="271"/>
      <c r="Z8" s="272" t="s">
        <v>21</v>
      </c>
      <c r="AA8" s="272"/>
      <c r="AB8" s="271" t="s">
        <v>21</v>
      </c>
      <c r="AC8" s="273"/>
    </row>
    <row r="9" spans="2:29" x14ac:dyDescent="0.3">
      <c r="B9" s="15">
        <v>5</v>
      </c>
      <c r="C9" s="5"/>
      <c r="D9" s="5"/>
      <c r="E9" s="5"/>
      <c r="F9" s="5"/>
      <c r="G9" s="274"/>
      <c r="H9" s="274"/>
      <c r="I9" s="274"/>
      <c r="J9" s="275"/>
      <c r="M9" s="265" t="s">
        <v>23</v>
      </c>
      <c r="N9" s="266"/>
      <c r="O9" s="266"/>
      <c r="P9" s="266"/>
      <c r="Q9" s="266"/>
      <c r="R9" s="266"/>
      <c r="S9" s="266"/>
      <c r="T9" s="267"/>
      <c r="V9" s="265" t="s">
        <v>23</v>
      </c>
      <c r="W9" s="266"/>
      <c r="X9" s="266"/>
      <c r="Y9" s="266"/>
      <c r="Z9" s="266"/>
      <c r="AA9" s="266"/>
      <c r="AB9" s="266"/>
      <c r="AC9" s="267"/>
    </row>
    <row r="10" spans="2:29" x14ac:dyDescent="0.3">
      <c r="B10" s="14">
        <v>6</v>
      </c>
      <c r="C10" s="6"/>
      <c r="D10" s="6"/>
      <c r="E10" s="6"/>
      <c r="F10" s="6"/>
      <c r="G10" s="268"/>
      <c r="H10" s="268"/>
      <c r="I10" s="268"/>
      <c r="J10" s="269"/>
      <c r="M10" s="270" t="s">
        <v>21</v>
      </c>
      <c r="N10" s="271"/>
      <c r="O10" s="271"/>
      <c r="P10" s="271"/>
      <c r="Q10" s="272" t="s">
        <v>21</v>
      </c>
      <c r="R10" s="272"/>
      <c r="S10" s="271" t="s">
        <v>21</v>
      </c>
      <c r="T10" s="273"/>
      <c r="V10" s="270" t="s">
        <v>21</v>
      </c>
      <c r="W10" s="271"/>
      <c r="X10" s="271"/>
      <c r="Y10" s="271"/>
      <c r="Z10" s="272" t="s">
        <v>21</v>
      </c>
      <c r="AA10" s="272"/>
      <c r="AB10" s="271" t="s">
        <v>21</v>
      </c>
      <c r="AC10" s="273"/>
    </row>
    <row r="11" spans="2:29" x14ac:dyDescent="0.3">
      <c r="B11" s="15">
        <v>7</v>
      </c>
      <c r="C11" s="5"/>
      <c r="D11" s="5"/>
      <c r="E11" s="5"/>
      <c r="F11" s="5"/>
      <c r="G11" s="274"/>
      <c r="H11" s="274"/>
      <c r="I11" s="274"/>
      <c r="J11" s="275"/>
      <c r="M11" s="265" t="s">
        <v>24</v>
      </c>
      <c r="N11" s="266"/>
      <c r="O11" s="266"/>
      <c r="P11" s="266"/>
      <c r="Q11" s="266"/>
      <c r="R11" s="266"/>
      <c r="S11" s="266"/>
      <c r="T11" s="267"/>
      <c r="V11" s="265" t="s">
        <v>24</v>
      </c>
      <c r="W11" s="266"/>
      <c r="X11" s="266"/>
      <c r="Y11" s="266"/>
      <c r="Z11" s="266"/>
      <c r="AA11" s="266"/>
      <c r="AB11" s="266"/>
      <c r="AC11" s="267"/>
    </row>
    <row r="12" spans="2:29" x14ac:dyDescent="0.3">
      <c r="B12" s="14">
        <v>8</v>
      </c>
      <c r="C12" s="6"/>
      <c r="D12" s="6"/>
      <c r="E12" s="6"/>
      <c r="F12" s="6"/>
      <c r="G12" s="268"/>
      <c r="H12" s="268"/>
      <c r="I12" s="268"/>
      <c r="J12" s="269"/>
      <c r="M12" s="270" t="s">
        <v>21</v>
      </c>
      <c r="N12" s="271"/>
      <c r="O12" s="271"/>
      <c r="P12" s="271"/>
      <c r="Q12" s="272" t="s">
        <v>21</v>
      </c>
      <c r="R12" s="272"/>
      <c r="S12" s="271" t="s">
        <v>21</v>
      </c>
      <c r="T12" s="273"/>
      <c r="V12" s="270" t="s">
        <v>21</v>
      </c>
      <c r="W12" s="271"/>
      <c r="X12" s="271"/>
      <c r="Y12" s="271"/>
      <c r="Z12" s="272" t="s">
        <v>21</v>
      </c>
      <c r="AA12" s="272"/>
      <c r="AB12" s="271" t="s">
        <v>21</v>
      </c>
      <c r="AC12" s="273"/>
    </row>
    <row r="13" spans="2:29" x14ac:dyDescent="0.3">
      <c r="B13" s="15">
        <v>9</v>
      </c>
      <c r="C13" s="5"/>
      <c r="D13" s="5"/>
      <c r="E13" s="5"/>
      <c r="F13" s="5"/>
      <c r="G13" s="274"/>
      <c r="H13" s="274"/>
      <c r="I13" s="274"/>
      <c r="J13" s="275"/>
      <c r="M13" s="265" t="s">
        <v>25</v>
      </c>
      <c r="N13" s="266"/>
      <c r="O13" s="266"/>
      <c r="P13" s="266"/>
      <c r="Q13" s="266"/>
      <c r="R13" s="266"/>
      <c r="S13" s="266"/>
      <c r="T13" s="267"/>
      <c r="V13" s="265" t="s">
        <v>25</v>
      </c>
      <c r="W13" s="266"/>
      <c r="X13" s="266"/>
      <c r="Y13" s="266"/>
      <c r="Z13" s="266"/>
      <c r="AA13" s="266"/>
      <c r="AB13" s="266"/>
      <c r="AC13" s="267"/>
    </row>
    <row r="14" spans="2:29" ht="15" thickBot="1" x14ac:dyDescent="0.35">
      <c r="B14" s="14">
        <v>10</v>
      </c>
      <c r="C14" s="6"/>
      <c r="D14" s="6"/>
      <c r="E14" s="6"/>
      <c r="F14" s="6"/>
      <c r="G14" s="268"/>
      <c r="H14" s="268"/>
      <c r="I14" s="268"/>
      <c r="J14" s="269"/>
      <c r="M14" s="277" t="s">
        <v>21</v>
      </c>
      <c r="N14" s="278"/>
      <c r="O14" s="278"/>
      <c r="P14" s="278"/>
      <c r="Q14" s="279" t="s">
        <v>21</v>
      </c>
      <c r="R14" s="279"/>
      <c r="S14" s="278" t="s">
        <v>21</v>
      </c>
      <c r="T14" s="280"/>
      <c r="V14" s="277" t="s">
        <v>21</v>
      </c>
      <c r="W14" s="278"/>
      <c r="X14" s="278"/>
      <c r="Y14" s="278"/>
      <c r="Z14" s="279" t="s">
        <v>21</v>
      </c>
      <c r="AA14" s="279"/>
      <c r="AB14" s="278" t="s">
        <v>21</v>
      </c>
      <c r="AC14" s="280"/>
    </row>
    <row r="15" spans="2:29" x14ac:dyDescent="0.3">
      <c r="B15" s="15">
        <v>11</v>
      </c>
      <c r="C15" s="5"/>
      <c r="D15" s="5"/>
      <c r="E15" s="5"/>
      <c r="F15" s="5"/>
      <c r="G15" s="274"/>
      <c r="H15" s="274"/>
      <c r="I15" s="274"/>
      <c r="J15" s="275"/>
    </row>
    <row r="16" spans="2:29" ht="15" thickBot="1" x14ac:dyDescent="0.35">
      <c r="B16" s="14">
        <v>12</v>
      </c>
      <c r="C16" s="6"/>
      <c r="D16" s="6"/>
      <c r="E16" s="6"/>
      <c r="F16" s="6"/>
      <c r="G16" s="268"/>
      <c r="H16" s="268"/>
      <c r="I16" s="268"/>
      <c r="J16" s="269"/>
    </row>
    <row r="17" spans="2:16" ht="15" thickBot="1" x14ac:dyDescent="0.35">
      <c r="B17" s="15">
        <v>13</v>
      </c>
      <c r="C17" s="5"/>
      <c r="D17" s="5"/>
      <c r="E17" s="5"/>
      <c r="F17" s="5"/>
      <c r="G17" s="274"/>
      <c r="H17" s="274"/>
      <c r="I17" s="274"/>
      <c r="J17" s="275"/>
      <c r="M17" s="276" t="s">
        <v>37</v>
      </c>
      <c r="N17" s="255"/>
      <c r="O17" s="255"/>
      <c r="P17" s="256"/>
    </row>
    <row r="18" spans="2:16" x14ac:dyDescent="0.3">
      <c r="B18" s="14">
        <v>14</v>
      </c>
      <c r="C18" s="6"/>
      <c r="D18" s="6"/>
      <c r="E18" s="6"/>
      <c r="F18" s="6"/>
      <c r="G18" s="268"/>
      <c r="H18" s="268"/>
      <c r="I18" s="268"/>
      <c r="J18" s="269"/>
    </row>
    <row r="19" spans="2:16" x14ac:dyDescent="0.3">
      <c r="B19" s="15">
        <v>15</v>
      </c>
      <c r="C19" s="5"/>
      <c r="D19" s="5"/>
      <c r="E19" s="5"/>
      <c r="F19" s="5"/>
      <c r="G19" s="274"/>
      <c r="H19" s="274"/>
      <c r="I19" s="274"/>
      <c r="J19" s="275"/>
    </row>
    <row r="20" spans="2:16" x14ac:dyDescent="0.3">
      <c r="B20" s="14">
        <v>16</v>
      </c>
      <c r="C20" s="6"/>
      <c r="D20" s="6"/>
      <c r="E20" s="6"/>
      <c r="F20" s="6"/>
      <c r="G20" s="268"/>
      <c r="H20" s="268"/>
      <c r="I20" s="268"/>
      <c r="J20" s="269"/>
    </row>
    <row r="21" spans="2:16" x14ac:dyDescent="0.3">
      <c r="B21" s="15">
        <v>17</v>
      </c>
      <c r="C21" s="5"/>
      <c r="D21" s="5"/>
      <c r="E21" s="5"/>
      <c r="F21" s="5"/>
      <c r="G21" s="274"/>
      <c r="H21" s="274"/>
      <c r="I21" s="274"/>
      <c r="J21" s="275"/>
    </row>
    <row r="22" spans="2:16" x14ac:dyDescent="0.3">
      <c r="B22" s="14">
        <v>18</v>
      </c>
      <c r="C22" s="6"/>
      <c r="D22" s="6"/>
      <c r="E22" s="6"/>
      <c r="F22" s="6"/>
      <c r="G22" s="268"/>
      <c r="H22" s="268"/>
      <c r="I22" s="268"/>
      <c r="J22" s="269"/>
      <c r="M22" s="281" t="s">
        <v>143</v>
      </c>
      <c r="N22" s="281"/>
    </row>
    <row r="23" spans="2:16" x14ac:dyDescent="0.3">
      <c r="B23" s="15">
        <v>19</v>
      </c>
      <c r="C23" s="5"/>
      <c r="D23" s="5"/>
      <c r="E23" s="5"/>
      <c r="F23" s="5"/>
      <c r="G23" s="274"/>
      <c r="H23" s="274"/>
      <c r="I23" s="274"/>
      <c r="J23" s="275"/>
      <c r="M23" s="145" t="s">
        <v>144</v>
      </c>
      <c r="N23" s="1"/>
      <c r="O23" s="1"/>
      <c r="P23" s="1"/>
    </row>
    <row r="24" spans="2:16" x14ac:dyDescent="0.3">
      <c r="B24" s="14">
        <v>20</v>
      </c>
      <c r="C24" s="6"/>
      <c r="D24" s="6"/>
      <c r="E24" s="6"/>
      <c r="F24" s="6"/>
      <c r="G24" s="268"/>
      <c r="H24" s="268"/>
      <c r="I24" s="268"/>
      <c r="J24" s="269"/>
      <c r="M24" s="146" t="s">
        <v>162</v>
      </c>
      <c r="N24" s="1"/>
      <c r="O24" s="1"/>
      <c r="P24" s="1"/>
    </row>
    <row r="25" spans="2:16" x14ac:dyDescent="0.3">
      <c r="B25" s="15">
        <v>21</v>
      </c>
      <c r="C25" s="5"/>
      <c r="D25" s="5"/>
      <c r="E25" s="5"/>
      <c r="F25" s="5"/>
      <c r="G25" s="274"/>
      <c r="H25" s="274"/>
      <c r="I25" s="274"/>
      <c r="J25" s="275"/>
      <c r="M25" s="1"/>
      <c r="N25" s="1"/>
      <c r="O25" s="1"/>
      <c r="P25" s="1"/>
    </row>
    <row r="26" spans="2:16" x14ac:dyDescent="0.3">
      <c r="B26" s="14">
        <v>22</v>
      </c>
      <c r="C26" s="6"/>
      <c r="D26" s="6"/>
      <c r="E26" s="6"/>
      <c r="F26" s="6"/>
      <c r="G26" s="268"/>
      <c r="H26" s="268"/>
      <c r="I26" s="268"/>
      <c r="J26" s="269"/>
      <c r="M26" s="1"/>
      <c r="N26" s="1"/>
      <c r="O26" s="1"/>
      <c r="P26" s="1"/>
    </row>
    <row r="27" spans="2:16" x14ac:dyDescent="0.3">
      <c r="B27" s="15">
        <v>23</v>
      </c>
      <c r="C27" s="5"/>
      <c r="D27" s="5"/>
      <c r="E27" s="5"/>
      <c r="F27" s="5"/>
      <c r="G27" s="274"/>
      <c r="H27" s="274"/>
      <c r="I27" s="274"/>
      <c r="J27" s="275"/>
    </row>
    <row r="28" spans="2:16" x14ac:dyDescent="0.3">
      <c r="B28" s="14">
        <v>24</v>
      </c>
      <c r="C28" s="6"/>
      <c r="D28" s="6"/>
      <c r="E28" s="6"/>
      <c r="F28" s="6"/>
      <c r="G28" s="268"/>
      <c r="H28" s="268"/>
      <c r="I28" s="268"/>
      <c r="J28" s="269"/>
    </row>
    <row r="29" spans="2:16" x14ac:dyDescent="0.3">
      <c r="B29" s="15">
        <v>25</v>
      </c>
      <c r="C29" s="5"/>
      <c r="D29" s="5"/>
      <c r="E29" s="5"/>
      <c r="F29" s="5"/>
      <c r="G29" s="274"/>
      <c r="H29" s="274"/>
      <c r="I29" s="274"/>
      <c r="J29" s="275"/>
    </row>
    <row r="30" spans="2:16" x14ac:dyDescent="0.3">
      <c r="B30" s="14">
        <v>26</v>
      </c>
      <c r="C30" s="6"/>
      <c r="D30" s="6"/>
      <c r="E30" s="6"/>
      <c r="F30" s="6"/>
      <c r="G30" s="268"/>
      <c r="H30" s="268"/>
      <c r="I30" s="268"/>
      <c r="J30" s="269"/>
    </row>
    <row r="31" spans="2:16" x14ac:dyDescent="0.3">
      <c r="B31" s="15">
        <v>27</v>
      </c>
      <c r="C31" s="5"/>
      <c r="D31" s="5"/>
      <c r="E31" s="5"/>
      <c r="F31" s="5"/>
      <c r="G31" s="274"/>
      <c r="H31" s="274"/>
      <c r="I31" s="274"/>
      <c r="J31" s="275"/>
    </row>
    <row r="32" spans="2:16" x14ac:dyDescent="0.3">
      <c r="B32" s="14">
        <v>28</v>
      </c>
      <c r="C32" s="6"/>
      <c r="D32" s="6"/>
      <c r="E32" s="6"/>
      <c r="F32" s="6"/>
      <c r="G32" s="268"/>
      <c r="H32" s="268"/>
      <c r="I32" s="268"/>
      <c r="J32" s="269"/>
    </row>
    <row r="33" spans="2:10" x14ac:dyDescent="0.3">
      <c r="B33" s="15">
        <v>29</v>
      </c>
      <c r="C33" s="5"/>
      <c r="D33" s="5"/>
      <c r="E33" s="5"/>
      <c r="F33" s="5"/>
      <c r="G33" s="274"/>
      <c r="H33" s="274"/>
      <c r="I33" s="274"/>
      <c r="J33" s="275"/>
    </row>
    <row r="34" spans="2:10" x14ac:dyDescent="0.3">
      <c r="B34" s="14">
        <v>30</v>
      </c>
      <c r="C34" s="6"/>
      <c r="D34" s="6"/>
      <c r="E34" s="6"/>
      <c r="F34" s="6"/>
      <c r="G34" s="268"/>
      <c r="H34" s="268"/>
      <c r="I34" s="268"/>
      <c r="J34" s="269"/>
    </row>
    <row r="35" spans="2:10" x14ac:dyDescent="0.3">
      <c r="B35" s="15">
        <v>31</v>
      </c>
      <c r="C35" s="5"/>
      <c r="D35" s="5"/>
      <c r="E35" s="5"/>
      <c r="F35" s="5"/>
      <c r="G35" s="274"/>
      <c r="H35" s="274"/>
      <c r="I35" s="274"/>
      <c r="J35" s="275"/>
    </row>
    <row r="36" spans="2:10" x14ac:dyDescent="0.3">
      <c r="B36" s="14">
        <v>32</v>
      </c>
      <c r="C36" s="6"/>
      <c r="D36" s="6"/>
      <c r="E36" s="6"/>
      <c r="F36" s="6"/>
      <c r="G36" s="268"/>
      <c r="H36" s="268"/>
      <c r="I36" s="268"/>
      <c r="J36" s="269"/>
    </row>
    <row r="37" spans="2:10" x14ac:dyDescent="0.3">
      <c r="B37" s="15">
        <v>33</v>
      </c>
      <c r="C37" s="5"/>
      <c r="D37" s="5"/>
      <c r="E37" s="5"/>
      <c r="F37" s="5"/>
      <c r="G37" s="274"/>
      <c r="H37" s="274"/>
      <c r="I37" s="274"/>
      <c r="J37" s="275"/>
    </row>
    <row r="38" spans="2:10" x14ac:dyDescent="0.3">
      <c r="B38" s="14">
        <v>34</v>
      </c>
      <c r="C38" s="6"/>
      <c r="D38" s="6"/>
      <c r="E38" s="6"/>
      <c r="F38" s="6"/>
      <c r="G38" s="268"/>
      <c r="H38" s="268"/>
      <c r="I38" s="268"/>
      <c r="J38" s="269"/>
    </row>
    <row r="39" spans="2:10" x14ac:dyDescent="0.3">
      <c r="B39" s="15">
        <v>35</v>
      </c>
      <c r="C39" s="5"/>
      <c r="D39" s="5"/>
      <c r="E39" s="5"/>
      <c r="F39" s="5"/>
      <c r="G39" s="274"/>
      <c r="H39" s="274"/>
      <c r="I39" s="274"/>
      <c r="J39" s="275"/>
    </row>
    <row r="40" spans="2:10" x14ac:dyDescent="0.3">
      <c r="B40" s="14">
        <v>36</v>
      </c>
      <c r="C40" s="6"/>
      <c r="D40" s="6"/>
      <c r="E40" s="6"/>
      <c r="F40" s="6"/>
      <c r="G40" s="268"/>
      <c r="H40" s="268"/>
      <c r="I40" s="268"/>
      <c r="J40" s="269"/>
    </row>
    <row r="41" spans="2:10" x14ac:dyDescent="0.3">
      <c r="B41" s="15">
        <v>37</v>
      </c>
      <c r="C41" s="5"/>
      <c r="D41" s="5"/>
      <c r="E41" s="5"/>
      <c r="F41" s="5"/>
      <c r="G41" s="274"/>
      <c r="H41" s="274"/>
      <c r="I41" s="274"/>
      <c r="J41" s="275"/>
    </row>
    <row r="42" spans="2:10" x14ac:dyDescent="0.3">
      <c r="B42" s="14">
        <v>38</v>
      </c>
      <c r="C42" s="6"/>
      <c r="D42" s="6"/>
      <c r="E42" s="6"/>
      <c r="F42" s="6"/>
      <c r="G42" s="268"/>
      <c r="H42" s="268"/>
      <c r="I42" s="268"/>
      <c r="J42" s="269"/>
    </row>
    <row r="43" spans="2:10" x14ac:dyDescent="0.3">
      <c r="B43" s="15">
        <v>39</v>
      </c>
      <c r="C43" s="5"/>
      <c r="D43" s="5"/>
      <c r="E43" s="5"/>
      <c r="F43" s="5"/>
      <c r="G43" s="274"/>
      <c r="H43" s="274"/>
      <c r="I43" s="274"/>
      <c r="J43" s="275"/>
    </row>
    <row r="44" spans="2:10" x14ac:dyDescent="0.3">
      <c r="B44" s="14">
        <v>40</v>
      </c>
      <c r="C44" s="6"/>
      <c r="D44" s="6"/>
      <c r="E44" s="6"/>
      <c r="F44" s="6"/>
      <c r="G44" s="268"/>
      <c r="H44" s="268"/>
      <c r="I44" s="268"/>
      <c r="J44" s="269"/>
    </row>
    <row r="45" spans="2:10" x14ac:dyDescent="0.3">
      <c r="B45" s="15">
        <v>41</v>
      </c>
      <c r="C45" s="5"/>
      <c r="D45" s="5"/>
      <c r="E45" s="5"/>
      <c r="F45" s="5"/>
      <c r="G45" s="274"/>
      <c r="H45" s="274"/>
      <c r="I45" s="274"/>
      <c r="J45" s="275"/>
    </row>
    <row r="46" spans="2:10" x14ac:dyDescent="0.3">
      <c r="B46" s="14">
        <v>42</v>
      </c>
      <c r="C46" s="6"/>
      <c r="D46" s="6"/>
      <c r="E46" s="6"/>
      <c r="F46" s="6"/>
      <c r="G46" s="268"/>
      <c r="H46" s="268"/>
      <c r="I46" s="268"/>
      <c r="J46" s="269"/>
    </row>
    <row r="47" spans="2:10" x14ac:dyDescent="0.3">
      <c r="B47" s="15">
        <v>43</v>
      </c>
      <c r="C47" s="5"/>
      <c r="D47" s="5"/>
      <c r="E47" s="5"/>
      <c r="F47" s="5"/>
      <c r="G47" s="274"/>
      <c r="H47" s="274"/>
      <c r="I47" s="274"/>
      <c r="J47" s="275"/>
    </row>
    <row r="48" spans="2:10" x14ac:dyDescent="0.3">
      <c r="B48" s="14">
        <v>44</v>
      </c>
      <c r="C48" s="6"/>
      <c r="D48" s="6"/>
      <c r="E48" s="6"/>
      <c r="F48" s="6"/>
      <c r="G48" s="268"/>
      <c r="H48" s="268"/>
      <c r="I48" s="268"/>
      <c r="J48" s="269"/>
    </row>
    <row r="49" spans="2:16" x14ac:dyDescent="0.3">
      <c r="B49" s="15">
        <v>45</v>
      </c>
      <c r="C49" s="5"/>
      <c r="D49" s="5"/>
      <c r="E49" s="5"/>
      <c r="F49" s="5"/>
      <c r="G49" s="274"/>
      <c r="H49" s="274"/>
      <c r="I49" s="274"/>
      <c r="J49" s="275"/>
    </row>
    <row r="50" spans="2:16" x14ac:dyDescent="0.3">
      <c r="B50" s="14">
        <v>46</v>
      </c>
      <c r="C50" s="6"/>
      <c r="D50" s="6"/>
      <c r="E50" s="6"/>
      <c r="F50" s="6"/>
      <c r="G50" s="268"/>
      <c r="H50" s="268"/>
      <c r="I50" s="268"/>
      <c r="J50" s="269"/>
    </row>
    <row r="51" spans="2:16" x14ac:dyDescent="0.3">
      <c r="B51" s="15">
        <v>47</v>
      </c>
      <c r="C51" s="5"/>
      <c r="D51" s="5"/>
      <c r="E51" s="5"/>
      <c r="F51" s="5"/>
      <c r="G51" s="274"/>
      <c r="H51" s="274"/>
      <c r="I51" s="274"/>
      <c r="J51" s="275"/>
    </row>
    <row r="52" spans="2:16" x14ac:dyDescent="0.3">
      <c r="B52" s="14">
        <v>48</v>
      </c>
      <c r="C52" s="6"/>
      <c r="D52" s="6"/>
      <c r="E52" s="6"/>
      <c r="F52" s="6"/>
      <c r="G52" s="268"/>
      <c r="H52" s="268"/>
      <c r="I52" s="268"/>
      <c r="J52" s="269"/>
    </row>
    <row r="53" spans="2:16" x14ac:dyDescent="0.3">
      <c r="B53" s="15">
        <v>49</v>
      </c>
      <c r="C53" s="5"/>
      <c r="D53" s="5"/>
      <c r="E53" s="5"/>
      <c r="F53" s="5"/>
      <c r="G53" s="274"/>
      <c r="H53" s="274"/>
      <c r="I53" s="274"/>
      <c r="J53" s="275"/>
    </row>
    <row r="54" spans="2:16" ht="15" thickBot="1" x14ac:dyDescent="0.35">
      <c r="B54" s="17">
        <v>50</v>
      </c>
      <c r="C54" s="18"/>
      <c r="D54" s="18"/>
      <c r="E54" s="18"/>
      <c r="F54" s="18"/>
      <c r="G54" s="282"/>
      <c r="H54" s="282"/>
      <c r="I54" s="282"/>
      <c r="J54" s="283"/>
    </row>
    <row r="56" spans="2:16" ht="15" thickBot="1" x14ac:dyDescent="0.35">
      <c r="K56" s="38"/>
      <c r="L56" s="38"/>
      <c r="M56" s="38"/>
      <c r="N56" s="38"/>
      <c r="O56" s="38"/>
      <c r="P56" s="9"/>
    </row>
    <row r="57" spans="2:16" ht="15" thickBot="1" x14ac:dyDescent="0.35">
      <c r="B57" s="284" t="s">
        <v>6</v>
      </c>
      <c r="C57" s="10"/>
      <c r="D57" s="23" t="s">
        <v>0</v>
      </c>
      <c r="E57" s="24" t="s">
        <v>9</v>
      </c>
      <c r="F57" s="22" t="s">
        <v>10</v>
      </c>
      <c r="H57" s="37"/>
      <c r="I57" s="37"/>
      <c r="J57" s="37"/>
      <c r="K57" s="38"/>
      <c r="L57" s="38"/>
      <c r="M57" s="38"/>
      <c r="N57" s="38"/>
      <c r="O57" s="38"/>
      <c r="P57" s="9"/>
    </row>
    <row r="58" spans="2:16" x14ac:dyDescent="0.3">
      <c r="B58" s="285"/>
      <c r="C58" s="8"/>
      <c r="D58" s="49" t="s">
        <v>7</v>
      </c>
      <c r="E58" s="25"/>
      <c r="F58" s="26"/>
      <c r="H58" s="39"/>
      <c r="I58" s="39"/>
      <c r="J58" s="39"/>
      <c r="K58" s="38"/>
      <c r="L58" s="38"/>
      <c r="M58" s="38"/>
      <c r="N58" s="38"/>
      <c r="O58" s="38"/>
      <c r="P58" s="9"/>
    </row>
    <row r="59" spans="2:16" ht="15" thickBot="1" x14ac:dyDescent="0.35">
      <c r="B59" s="286"/>
      <c r="C59" s="8"/>
      <c r="D59" s="50" t="s">
        <v>8</v>
      </c>
      <c r="E59" s="56"/>
      <c r="F59" s="57"/>
      <c r="H59" s="39"/>
      <c r="I59" s="39"/>
      <c r="J59" s="39"/>
    </row>
    <row r="60" spans="2:16" ht="15" thickBot="1" x14ac:dyDescent="0.35">
      <c r="B60" s="34"/>
      <c r="C60" s="8"/>
      <c r="D60" s="32"/>
      <c r="E60" s="33"/>
      <c r="F60" s="2"/>
    </row>
    <row r="61" spans="2:16" ht="15" thickBot="1" x14ac:dyDescent="0.35">
      <c r="C61" s="27"/>
      <c r="D61" s="28" t="s">
        <v>11</v>
      </c>
      <c r="E61" s="30"/>
      <c r="F61" s="7"/>
    </row>
    <row r="62" spans="2:16" ht="15" thickBot="1" x14ac:dyDescent="0.35"/>
    <row r="63" spans="2:16" ht="15" thickBot="1" x14ac:dyDescent="0.35">
      <c r="D63" s="23" t="s">
        <v>1</v>
      </c>
      <c r="E63" s="24" t="s">
        <v>9</v>
      </c>
      <c r="F63" s="22" t="s">
        <v>10</v>
      </c>
    </row>
    <row r="64" spans="2:16" x14ac:dyDescent="0.3">
      <c r="D64" s="40" t="s">
        <v>12</v>
      </c>
      <c r="E64" s="25"/>
      <c r="F64" s="35"/>
    </row>
    <row r="65" spans="4:6" x14ac:dyDescent="0.3">
      <c r="D65" s="53" t="s">
        <v>13</v>
      </c>
      <c r="E65" s="54"/>
      <c r="F65" s="55"/>
    </row>
    <row r="66" spans="4:6" x14ac:dyDescent="0.3">
      <c r="D66" s="53" t="s">
        <v>14</v>
      </c>
      <c r="E66" s="5"/>
      <c r="F66" s="16"/>
    </row>
    <row r="67" spans="4:6" x14ac:dyDescent="0.3">
      <c r="D67" s="42" t="s">
        <v>15</v>
      </c>
      <c r="E67" s="5"/>
      <c r="F67" s="16"/>
    </row>
    <row r="68" spans="4:6" x14ac:dyDescent="0.3">
      <c r="D68" s="42" t="s">
        <v>16</v>
      </c>
      <c r="E68" s="5"/>
      <c r="F68" s="16"/>
    </row>
    <row r="69" spans="4:6" x14ac:dyDescent="0.3">
      <c r="D69" s="42" t="s">
        <v>17</v>
      </c>
      <c r="E69" s="5"/>
      <c r="F69" s="16"/>
    </row>
    <row r="70" spans="4:6" x14ac:dyDescent="0.3">
      <c r="D70" s="42" t="s">
        <v>18</v>
      </c>
      <c r="E70" s="5"/>
      <c r="F70" s="16"/>
    </row>
    <row r="71" spans="4:6" ht="15" thickBot="1" x14ac:dyDescent="0.35">
      <c r="D71" s="43" t="s">
        <v>19</v>
      </c>
      <c r="E71" s="44"/>
      <c r="F71" s="45"/>
    </row>
    <row r="72" spans="4:6" ht="15" thickBot="1" x14ac:dyDescent="0.35">
      <c r="D72" s="32"/>
      <c r="E72" s="33"/>
      <c r="F72" s="2"/>
    </row>
    <row r="73" spans="4:6" ht="15" thickBot="1" x14ac:dyDescent="0.35">
      <c r="D73" s="28" t="s">
        <v>11</v>
      </c>
      <c r="E73" s="30"/>
      <c r="F73" s="7"/>
    </row>
    <row r="74" spans="4:6" ht="15" thickBot="1" x14ac:dyDescent="0.35"/>
    <row r="75" spans="4:6" ht="27.6" customHeight="1" thickBot="1" x14ac:dyDescent="0.35">
      <c r="D75" s="48" t="s">
        <v>30</v>
      </c>
      <c r="E75" s="24" t="s">
        <v>9</v>
      </c>
      <c r="F75" s="22" t="s">
        <v>10</v>
      </c>
    </row>
    <row r="76" spans="4:6" x14ac:dyDescent="0.3">
      <c r="D76" s="49" t="s">
        <v>31</v>
      </c>
      <c r="E76" s="25"/>
      <c r="F76" s="26"/>
    </row>
    <row r="77" spans="4:6" x14ac:dyDescent="0.3">
      <c r="D77" s="51" t="s">
        <v>32</v>
      </c>
      <c r="E77" s="29"/>
      <c r="F77" s="11"/>
    </row>
    <row r="78" spans="4:6" ht="15" thickBot="1" x14ac:dyDescent="0.35">
      <c r="D78" s="50" t="s">
        <v>21</v>
      </c>
      <c r="E78" s="56"/>
      <c r="F78" s="57"/>
    </row>
    <row r="79" spans="4:6" ht="15" thickBot="1" x14ac:dyDescent="0.35">
      <c r="D79" s="32"/>
      <c r="E79" s="33"/>
      <c r="F79" s="2"/>
    </row>
    <row r="80" spans="4:6" ht="15" thickBot="1" x14ac:dyDescent="0.35">
      <c r="D80" s="28" t="s">
        <v>11</v>
      </c>
      <c r="E80" s="30"/>
      <c r="F80" s="7"/>
    </row>
    <row r="81" spans="4:6" ht="15" thickBot="1" x14ac:dyDescent="0.35"/>
    <row r="82" spans="4:6" ht="15" thickBot="1" x14ac:dyDescent="0.35">
      <c r="D82" s="48" t="s">
        <v>33</v>
      </c>
      <c r="E82" s="24" t="s">
        <v>9</v>
      </c>
      <c r="F82" s="22" t="s">
        <v>10</v>
      </c>
    </row>
    <row r="83" spans="4:6" x14ac:dyDescent="0.3">
      <c r="D83" s="49" t="s">
        <v>34</v>
      </c>
      <c r="E83" s="25"/>
      <c r="F83" s="26"/>
    </row>
    <row r="84" spans="4:6" x14ac:dyDescent="0.3">
      <c r="D84" s="52" t="s">
        <v>35</v>
      </c>
      <c r="E84" s="54"/>
      <c r="F84" s="59"/>
    </row>
    <row r="85" spans="4:6" x14ac:dyDescent="0.3">
      <c r="D85" s="51" t="s">
        <v>36</v>
      </c>
      <c r="E85" s="29"/>
      <c r="F85" s="11"/>
    </row>
    <row r="86" spans="4:6" ht="15" thickBot="1" x14ac:dyDescent="0.35">
      <c r="D86" s="50" t="s">
        <v>21</v>
      </c>
      <c r="E86" s="56"/>
      <c r="F86" s="57"/>
    </row>
    <row r="87" spans="4:6" ht="15" thickBot="1" x14ac:dyDescent="0.35">
      <c r="D87" s="32"/>
      <c r="E87" s="33"/>
      <c r="F87" s="2"/>
    </row>
    <row r="88" spans="4:6" ht="15" thickBot="1" x14ac:dyDescent="0.35">
      <c r="D88" s="28" t="s">
        <v>11</v>
      </c>
      <c r="E88" s="30"/>
      <c r="F88" s="7"/>
    </row>
  </sheetData>
  <mergeCells count="103">
    <mergeCell ref="M22:N22"/>
    <mergeCell ref="G50:J50"/>
    <mergeCell ref="G51:J51"/>
    <mergeCell ref="G52:J52"/>
    <mergeCell ref="G53:J53"/>
    <mergeCell ref="G54:J54"/>
    <mergeCell ref="B57:B59"/>
    <mergeCell ref="G44:J44"/>
    <mergeCell ref="G45:J45"/>
    <mergeCell ref="G46:J46"/>
    <mergeCell ref="G47:J47"/>
    <mergeCell ref="G48:J48"/>
    <mergeCell ref="G49:J49"/>
    <mergeCell ref="G38:J38"/>
    <mergeCell ref="G39:J39"/>
    <mergeCell ref="G40:J40"/>
    <mergeCell ref="G41:J41"/>
    <mergeCell ref="G42:J42"/>
    <mergeCell ref="G43:J43"/>
    <mergeCell ref="G32:J32"/>
    <mergeCell ref="G33:J33"/>
    <mergeCell ref="G34:J34"/>
    <mergeCell ref="G35:J35"/>
    <mergeCell ref="G36:J36"/>
    <mergeCell ref="G37:J37"/>
    <mergeCell ref="G26:J26"/>
    <mergeCell ref="G27:J27"/>
    <mergeCell ref="G28:J28"/>
    <mergeCell ref="G29:J29"/>
    <mergeCell ref="G30:J30"/>
    <mergeCell ref="G31:J31"/>
    <mergeCell ref="G20:J20"/>
    <mergeCell ref="G21:J21"/>
    <mergeCell ref="G22:J22"/>
    <mergeCell ref="G23:J23"/>
    <mergeCell ref="G24:J24"/>
    <mergeCell ref="G25:J25"/>
    <mergeCell ref="G15:J15"/>
    <mergeCell ref="G16:J16"/>
    <mergeCell ref="G17:J17"/>
    <mergeCell ref="M17:P17"/>
    <mergeCell ref="G18:J18"/>
    <mergeCell ref="G19:J19"/>
    <mergeCell ref="G13:J13"/>
    <mergeCell ref="M13:T13"/>
    <mergeCell ref="V13:AC13"/>
    <mergeCell ref="G14:J14"/>
    <mergeCell ref="M14:P14"/>
    <mergeCell ref="Q14:R14"/>
    <mergeCell ref="S14:T14"/>
    <mergeCell ref="V14:Y14"/>
    <mergeCell ref="Z14:AA14"/>
    <mergeCell ref="AB14:AC14"/>
    <mergeCell ref="G11:J11"/>
    <mergeCell ref="M11:T11"/>
    <mergeCell ref="V11:AC11"/>
    <mergeCell ref="G12:J12"/>
    <mergeCell ref="M12:P12"/>
    <mergeCell ref="Q12:R12"/>
    <mergeCell ref="S12:T12"/>
    <mergeCell ref="V12:Y12"/>
    <mergeCell ref="Z12:AA12"/>
    <mergeCell ref="AB12:AC12"/>
    <mergeCell ref="G9:J9"/>
    <mergeCell ref="M9:T9"/>
    <mergeCell ref="V9:AC9"/>
    <mergeCell ref="G10:J10"/>
    <mergeCell ref="M10:P10"/>
    <mergeCell ref="Q10:R10"/>
    <mergeCell ref="S10:T10"/>
    <mergeCell ref="V10:Y10"/>
    <mergeCell ref="Z10:AA10"/>
    <mergeCell ref="AB10:AC10"/>
    <mergeCell ref="G7:J7"/>
    <mergeCell ref="M7:T7"/>
    <mergeCell ref="V7:AC7"/>
    <mergeCell ref="G8:J8"/>
    <mergeCell ref="M8:P8"/>
    <mergeCell ref="Q8:R8"/>
    <mergeCell ref="S8:T8"/>
    <mergeCell ref="V8:Y8"/>
    <mergeCell ref="Z8:AA8"/>
    <mergeCell ref="AB8:AC8"/>
    <mergeCell ref="G5:J5"/>
    <mergeCell ref="M5:T5"/>
    <mergeCell ref="V5:AC5"/>
    <mergeCell ref="G6:J6"/>
    <mergeCell ref="M6:P6"/>
    <mergeCell ref="Q6:R6"/>
    <mergeCell ref="S6:T6"/>
    <mergeCell ref="V6:Y6"/>
    <mergeCell ref="Z6:AA6"/>
    <mergeCell ref="AB6:AC6"/>
    <mergeCell ref="B2:J2"/>
    <mergeCell ref="M2:T2"/>
    <mergeCell ref="V2:AC2"/>
    <mergeCell ref="G4:J4"/>
    <mergeCell ref="M4:P4"/>
    <mergeCell ref="Q4:R4"/>
    <mergeCell ref="S4:T4"/>
    <mergeCell ref="V4:Y4"/>
    <mergeCell ref="Z4:AA4"/>
    <mergeCell ref="AB4:AC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5270A-8519-47BF-96EE-BF91545E7FED}">
  <dimension ref="B1:BW102"/>
  <sheetViews>
    <sheetView workbookViewId="0"/>
  </sheetViews>
  <sheetFormatPr defaultRowHeight="14.4" x14ac:dyDescent="0.3"/>
  <cols>
    <col min="2" max="2" width="8.88671875" customWidth="1"/>
    <col min="3" max="3" width="18.109375" customWidth="1"/>
    <col min="4" max="4" width="12.21875" bestFit="1" customWidth="1"/>
    <col min="5" max="5" width="13" bestFit="1" customWidth="1"/>
    <col min="6" max="6" width="18.109375" customWidth="1"/>
    <col min="7" max="7" width="9.6640625" customWidth="1"/>
    <col min="8" max="8" width="10.44140625" bestFit="1" customWidth="1"/>
    <col min="9" max="9" width="10.21875" bestFit="1" customWidth="1"/>
    <col min="10" max="10" width="12.77734375" customWidth="1"/>
    <col min="12" max="12" width="12.88671875" customWidth="1"/>
    <col min="13" max="13" width="9.6640625" customWidth="1"/>
    <col min="14" max="14" width="7.77734375" customWidth="1"/>
    <col min="15" max="15" width="9.6640625" customWidth="1"/>
    <col min="16" max="16" width="10.6640625" customWidth="1"/>
    <col min="17" max="17" width="9.88671875" customWidth="1"/>
    <col min="18" max="18" width="11.21875" customWidth="1"/>
    <col min="19" max="19" width="12.6640625" customWidth="1"/>
    <col min="25" max="25" width="10.33203125" customWidth="1"/>
    <col min="30" max="30" width="10.44140625" customWidth="1"/>
    <col min="39" max="39" width="10.109375" customWidth="1"/>
    <col min="47" max="47" width="9.77734375" customWidth="1"/>
    <col min="51" max="51" width="11.44140625" customWidth="1"/>
    <col min="55" max="55" width="9.88671875" customWidth="1"/>
    <col min="57" max="57" width="9.77734375" customWidth="1"/>
    <col min="64" max="64" width="11.33203125" customWidth="1"/>
    <col min="65" max="65" width="11.5546875" customWidth="1"/>
    <col min="66" max="66" width="12.6640625" customWidth="1"/>
    <col min="67" max="67" width="15.33203125" customWidth="1"/>
    <col min="68" max="68" width="12" customWidth="1"/>
    <col min="69" max="69" width="11.6640625" customWidth="1"/>
    <col min="70" max="70" width="10.6640625" customWidth="1"/>
    <col min="71" max="71" width="11.5546875" customWidth="1"/>
    <col min="72" max="72" width="14" customWidth="1"/>
    <col min="73" max="73" width="11.5546875" customWidth="1"/>
  </cols>
  <sheetData>
    <row r="1" spans="2:75" ht="15" thickBot="1" x14ac:dyDescent="0.35"/>
    <row r="2" spans="2:75" ht="15" thickBot="1" x14ac:dyDescent="0.35">
      <c r="B2" s="337" t="s">
        <v>5</v>
      </c>
      <c r="C2" s="338"/>
      <c r="D2" s="338"/>
      <c r="E2" s="338"/>
      <c r="F2" s="338"/>
      <c r="G2" s="338"/>
      <c r="H2" s="338"/>
      <c r="I2" s="338"/>
      <c r="J2" s="339"/>
      <c r="L2" s="252" t="s">
        <v>98</v>
      </c>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6"/>
    </row>
    <row r="3" spans="2:75" ht="15" thickBot="1" x14ac:dyDescent="0.35">
      <c r="B3" s="340"/>
      <c r="C3" s="341"/>
      <c r="D3" s="341"/>
      <c r="E3" s="341"/>
      <c r="F3" s="341"/>
      <c r="G3" s="341"/>
      <c r="H3" s="341"/>
      <c r="I3" s="341"/>
      <c r="J3" s="342"/>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row>
    <row r="4" spans="2:75" ht="15" thickBot="1" x14ac:dyDescent="0.35">
      <c r="B4" s="340"/>
      <c r="C4" s="341"/>
      <c r="D4" s="341"/>
      <c r="E4" s="341"/>
      <c r="F4" s="341"/>
      <c r="G4" s="341"/>
      <c r="H4" s="341"/>
      <c r="I4" s="341"/>
      <c r="J4" s="342"/>
      <c r="L4" s="315" t="s">
        <v>101</v>
      </c>
      <c r="M4" s="316"/>
      <c r="N4" s="316"/>
      <c r="O4" s="316"/>
      <c r="P4" s="316"/>
      <c r="Q4" s="316"/>
      <c r="R4" s="316"/>
      <c r="S4" s="316"/>
      <c r="T4" s="316"/>
      <c r="U4" s="316"/>
      <c r="V4" s="316"/>
      <c r="W4" s="316"/>
      <c r="X4" s="316"/>
      <c r="Y4" s="317"/>
      <c r="Z4" s="315" t="s">
        <v>99</v>
      </c>
      <c r="AA4" s="316"/>
      <c r="AB4" s="316"/>
      <c r="AC4" s="316"/>
      <c r="AD4" s="316"/>
      <c r="AE4" s="316"/>
      <c r="AF4" s="316"/>
      <c r="AG4" s="316"/>
      <c r="AH4" s="316"/>
      <c r="AI4" s="316"/>
      <c r="AJ4" s="316"/>
      <c r="AK4" s="316"/>
      <c r="AL4" s="316"/>
      <c r="AM4" s="316"/>
      <c r="AN4" s="316"/>
      <c r="AO4" s="316"/>
      <c r="AP4" s="316"/>
      <c r="AQ4" s="317"/>
      <c r="AR4" s="315" t="s">
        <v>57</v>
      </c>
      <c r="AS4" s="316"/>
      <c r="AT4" s="316"/>
      <c r="AU4" s="316"/>
      <c r="AV4" s="316"/>
      <c r="AW4" s="316"/>
      <c r="AX4" s="316"/>
      <c r="AY4" s="317"/>
      <c r="AZ4" s="346" t="s">
        <v>102</v>
      </c>
      <c r="BA4" s="347"/>
      <c r="BB4" s="347"/>
      <c r="BC4" s="347"/>
      <c r="BD4" s="347"/>
      <c r="BE4" s="347"/>
      <c r="BF4" s="347"/>
      <c r="BG4" s="347"/>
      <c r="BH4" s="347"/>
      <c r="BI4" s="347"/>
      <c r="BJ4" s="347"/>
      <c r="BK4" s="348"/>
      <c r="BL4" s="346" t="s">
        <v>67</v>
      </c>
      <c r="BM4" s="347"/>
      <c r="BN4" s="347"/>
      <c r="BO4" s="347"/>
      <c r="BP4" s="347"/>
      <c r="BQ4" s="347"/>
      <c r="BR4" s="347"/>
      <c r="BS4" s="347"/>
      <c r="BT4" s="347"/>
      <c r="BU4" s="348"/>
    </row>
    <row r="5" spans="2:75" ht="15" thickBot="1" x14ac:dyDescent="0.35">
      <c r="B5" s="343"/>
      <c r="C5" s="344"/>
      <c r="D5" s="344"/>
      <c r="E5" s="344"/>
      <c r="F5" s="344"/>
      <c r="G5" s="344"/>
      <c r="H5" s="344"/>
      <c r="I5" s="344"/>
      <c r="J5" s="345"/>
      <c r="K5" s="1"/>
      <c r="L5" s="331" t="s">
        <v>38</v>
      </c>
      <c r="M5" s="332"/>
      <c r="N5" s="332"/>
      <c r="O5" s="332"/>
      <c r="P5" s="332"/>
      <c r="Q5" s="332"/>
      <c r="R5" s="333"/>
      <c r="S5" s="315" t="s">
        <v>39</v>
      </c>
      <c r="T5" s="316"/>
      <c r="U5" s="316"/>
      <c r="V5" s="316"/>
      <c r="W5" s="316"/>
      <c r="X5" s="316"/>
      <c r="Y5" s="317"/>
      <c r="Z5" s="315" t="s">
        <v>38</v>
      </c>
      <c r="AA5" s="316"/>
      <c r="AB5" s="316"/>
      <c r="AC5" s="316"/>
      <c r="AD5" s="316"/>
      <c r="AE5" s="316"/>
      <c r="AF5" s="316"/>
      <c r="AG5" s="316"/>
      <c r="AH5" s="317"/>
      <c r="AI5" s="315" t="s">
        <v>39</v>
      </c>
      <c r="AJ5" s="316"/>
      <c r="AK5" s="316"/>
      <c r="AL5" s="316"/>
      <c r="AM5" s="316"/>
      <c r="AN5" s="316"/>
      <c r="AO5" s="316"/>
      <c r="AP5" s="316"/>
      <c r="AQ5" s="317"/>
      <c r="AR5" s="315" t="s">
        <v>38</v>
      </c>
      <c r="AS5" s="316"/>
      <c r="AT5" s="316"/>
      <c r="AU5" s="316"/>
      <c r="AV5" s="315" t="s">
        <v>39</v>
      </c>
      <c r="AW5" s="316"/>
      <c r="AX5" s="316"/>
      <c r="AY5" s="317"/>
      <c r="AZ5" s="315" t="s">
        <v>38</v>
      </c>
      <c r="BA5" s="316"/>
      <c r="BB5" s="316"/>
      <c r="BC5" s="316"/>
      <c r="BD5" s="316"/>
      <c r="BE5" s="316"/>
      <c r="BF5" s="315" t="s">
        <v>39</v>
      </c>
      <c r="BG5" s="316"/>
      <c r="BH5" s="316"/>
      <c r="BI5" s="316"/>
      <c r="BJ5" s="316"/>
      <c r="BK5" s="317"/>
      <c r="BL5" s="315" t="s">
        <v>38</v>
      </c>
      <c r="BM5" s="316"/>
      <c r="BN5" s="316"/>
      <c r="BO5" s="316"/>
      <c r="BP5" s="316"/>
      <c r="BQ5" s="315" t="s">
        <v>39</v>
      </c>
      <c r="BR5" s="316"/>
      <c r="BS5" s="316"/>
      <c r="BT5" s="316"/>
      <c r="BU5" s="317"/>
    </row>
    <row r="6" spans="2:75" ht="15" customHeight="1" thickBot="1" x14ac:dyDescent="0.35">
      <c r="K6" s="96" t="s">
        <v>100</v>
      </c>
      <c r="L6" s="325" t="s">
        <v>41</v>
      </c>
      <c r="M6" s="327" t="s">
        <v>42</v>
      </c>
      <c r="N6" s="327" t="s">
        <v>43</v>
      </c>
      <c r="O6" s="327" t="s">
        <v>44</v>
      </c>
      <c r="P6" s="327" t="s">
        <v>45</v>
      </c>
      <c r="Q6" s="327" t="s">
        <v>46</v>
      </c>
      <c r="R6" s="329" t="s">
        <v>47</v>
      </c>
      <c r="S6" s="334" t="s">
        <v>41</v>
      </c>
      <c r="T6" s="324" t="s">
        <v>42</v>
      </c>
      <c r="U6" s="324" t="s">
        <v>43</v>
      </c>
      <c r="V6" s="324" t="s">
        <v>44</v>
      </c>
      <c r="W6" s="324" t="s">
        <v>45</v>
      </c>
      <c r="X6" s="324" t="s">
        <v>46</v>
      </c>
      <c r="Y6" s="335" t="s">
        <v>47</v>
      </c>
      <c r="Z6" s="322" t="s">
        <v>48</v>
      </c>
      <c r="AA6" s="324" t="s">
        <v>55</v>
      </c>
      <c r="AB6" s="318" t="s">
        <v>54</v>
      </c>
      <c r="AC6" s="318" t="s">
        <v>49</v>
      </c>
      <c r="AD6" s="318" t="s">
        <v>50</v>
      </c>
      <c r="AE6" s="324" t="s">
        <v>56</v>
      </c>
      <c r="AF6" s="318" t="s">
        <v>51</v>
      </c>
      <c r="AG6" s="318" t="s">
        <v>52</v>
      </c>
      <c r="AH6" s="320" t="s">
        <v>53</v>
      </c>
      <c r="AI6" s="322" t="s">
        <v>48</v>
      </c>
      <c r="AJ6" s="324" t="s">
        <v>55</v>
      </c>
      <c r="AK6" s="318" t="s">
        <v>54</v>
      </c>
      <c r="AL6" s="318" t="s">
        <v>49</v>
      </c>
      <c r="AM6" s="318" t="s">
        <v>50</v>
      </c>
      <c r="AN6" s="324" t="s">
        <v>56</v>
      </c>
      <c r="AO6" s="318" t="s">
        <v>51</v>
      </c>
      <c r="AP6" s="318" t="s">
        <v>52</v>
      </c>
      <c r="AQ6" s="320" t="s">
        <v>53</v>
      </c>
      <c r="AR6" s="322" t="s">
        <v>48</v>
      </c>
      <c r="AS6" s="318" t="s">
        <v>58</v>
      </c>
      <c r="AT6" s="318" t="s">
        <v>59</v>
      </c>
      <c r="AU6" s="335" t="s">
        <v>60</v>
      </c>
      <c r="AV6" s="322" t="s">
        <v>48</v>
      </c>
      <c r="AW6" s="318" t="s">
        <v>58</v>
      </c>
      <c r="AX6" s="318" t="s">
        <v>59</v>
      </c>
      <c r="AY6" s="335" t="s">
        <v>60</v>
      </c>
      <c r="AZ6" s="334" t="s">
        <v>61</v>
      </c>
      <c r="BA6" s="324" t="s">
        <v>62</v>
      </c>
      <c r="BB6" s="324" t="s">
        <v>63</v>
      </c>
      <c r="BC6" s="324" t="s">
        <v>64</v>
      </c>
      <c r="BD6" s="324" t="s">
        <v>65</v>
      </c>
      <c r="BE6" s="335" t="s">
        <v>66</v>
      </c>
      <c r="BF6" s="334" t="s">
        <v>61</v>
      </c>
      <c r="BG6" s="324" t="s">
        <v>62</v>
      </c>
      <c r="BH6" s="324" t="s">
        <v>63</v>
      </c>
      <c r="BI6" s="324" t="s">
        <v>64</v>
      </c>
      <c r="BJ6" s="324" t="s">
        <v>65</v>
      </c>
      <c r="BK6" s="335" t="s">
        <v>66</v>
      </c>
      <c r="BL6" s="334" t="s">
        <v>68</v>
      </c>
      <c r="BM6" s="324" t="s">
        <v>69</v>
      </c>
      <c r="BN6" s="324" t="s">
        <v>70</v>
      </c>
      <c r="BO6" s="324" t="s">
        <v>71</v>
      </c>
      <c r="BP6" s="335" t="s">
        <v>72</v>
      </c>
      <c r="BQ6" s="334" t="s">
        <v>68</v>
      </c>
      <c r="BR6" s="324" t="s">
        <v>69</v>
      </c>
      <c r="BS6" s="324" t="s">
        <v>70</v>
      </c>
      <c r="BT6" s="324" t="s">
        <v>71</v>
      </c>
      <c r="BU6" s="335" t="s">
        <v>72</v>
      </c>
    </row>
    <row r="7" spans="2:75" ht="15" thickBot="1" x14ac:dyDescent="0.35">
      <c r="C7" s="19" t="s">
        <v>2</v>
      </c>
      <c r="D7" s="20" t="s">
        <v>0</v>
      </c>
      <c r="E7" s="21" t="s">
        <v>1</v>
      </c>
      <c r="F7" s="36" t="s">
        <v>4</v>
      </c>
      <c r="G7" s="310" t="s">
        <v>33</v>
      </c>
      <c r="H7" s="311"/>
      <c r="I7" s="311"/>
      <c r="J7" s="312"/>
      <c r="L7" s="326"/>
      <c r="M7" s="328"/>
      <c r="N7" s="328"/>
      <c r="O7" s="328"/>
      <c r="P7" s="328"/>
      <c r="Q7" s="328"/>
      <c r="R7" s="330"/>
      <c r="S7" s="323"/>
      <c r="T7" s="319"/>
      <c r="U7" s="319"/>
      <c r="V7" s="319"/>
      <c r="W7" s="319"/>
      <c r="X7" s="319"/>
      <c r="Y7" s="321"/>
      <c r="Z7" s="323"/>
      <c r="AA7" s="319"/>
      <c r="AB7" s="319"/>
      <c r="AC7" s="319"/>
      <c r="AD7" s="319"/>
      <c r="AE7" s="319"/>
      <c r="AF7" s="319"/>
      <c r="AG7" s="319"/>
      <c r="AH7" s="321"/>
      <c r="AI7" s="323"/>
      <c r="AJ7" s="319"/>
      <c r="AK7" s="319"/>
      <c r="AL7" s="319"/>
      <c r="AM7" s="319"/>
      <c r="AN7" s="319"/>
      <c r="AO7" s="319"/>
      <c r="AP7" s="319"/>
      <c r="AQ7" s="321"/>
      <c r="AR7" s="323"/>
      <c r="AS7" s="319"/>
      <c r="AT7" s="319"/>
      <c r="AU7" s="321"/>
      <c r="AV7" s="323"/>
      <c r="AW7" s="319"/>
      <c r="AX7" s="319"/>
      <c r="AY7" s="321"/>
      <c r="AZ7" s="323"/>
      <c r="BA7" s="319"/>
      <c r="BB7" s="336"/>
      <c r="BC7" s="319"/>
      <c r="BD7" s="319"/>
      <c r="BE7" s="321"/>
      <c r="BF7" s="323"/>
      <c r="BG7" s="319"/>
      <c r="BH7" s="336"/>
      <c r="BI7" s="319"/>
      <c r="BJ7" s="319"/>
      <c r="BK7" s="321"/>
      <c r="BL7" s="323"/>
      <c r="BM7" s="319"/>
      <c r="BN7" s="319"/>
      <c r="BO7" s="319"/>
      <c r="BP7" s="321"/>
      <c r="BQ7" s="323"/>
      <c r="BR7" s="319"/>
      <c r="BS7" s="319"/>
      <c r="BT7" s="319"/>
      <c r="BU7" s="321"/>
    </row>
    <row r="8" spans="2:75" x14ac:dyDescent="0.3">
      <c r="B8" s="12">
        <v>1</v>
      </c>
      <c r="C8" s="13"/>
      <c r="D8" s="13" t="s">
        <v>7</v>
      </c>
      <c r="E8" s="13" t="s">
        <v>15</v>
      </c>
      <c r="F8" s="13" t="s">
        <v>31</v>
      </c>
      <c r="G8" s="263"/>
      <c r="H8" s="263"/>
      <c r="I8" s="263"/>
      <c r="J8" s="264"/>
      <c r="L8" s="68"/>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69"/>
      <c r="BW8" s="77" t="s">
        <v>73</v>
      </c>
    </row>
    <row r="9" spans="2:75" x14ac:dyDescent="0.3">
      <c r="B9" s="14">
        <v>2</v>
      </c>
      <c r="C9" s="6"/>
      <c r="D9" s="6"/>
      <c r="E9" s="6" t="s">
        <v>14</v>
      </c>
      <c r="F9" s="6" t="s">
        <v>32</v>
      </c>
      <c r="G9" s="268"/>
      <c r="H9" s="268"/>
      <c r="I9" s="268"/>
      <c r="J9" s="269"/>
      <c r="L9" s="71"/>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t="s">
        <v>73</v>
      </c>
      <c r="AS9" s="72"/>
      <c r="AT9" s="72"/>
      <c r="AU9" s="72"/>
      <c r="AV9" s="72"/>
      <c r="AW9" s="72"/>
      <c r="AX9" s="72"/>
      <c r="AY9" s="72" t="s">
        <v>73</v>
      </c>
      <c r="AZ9" s="72"/>
      <c r="BA9" s="72"/>
      <c r="BB9" s="72"/>
      <c r="BC9" s="72"/>
      <c r="BD9" s="72"/>
      <c r="BE9" s="72"/>
      <c r="BF9" s="72"/>
      <c r="BG9" s="72"/>
      <c r="BH9" s="72"/>
      <c r="BI9" s="72"/>
      <c r="BJ9" s="72"/>
      <c r="BK9" s="72"/>
      <c r="BL9" s="72"/>
      <c r="BM9" s="72"/>
      <c r="BN9" s="72"/>
      <c r="BO9" s="72"/>
      <c r="BP9" s="72"/>
      <c r="BQ9" s="72"/>
      <c r="BR9" s="72"/>
      <c r="BS9" s="72"/>
      <c r="BT9" s="72" t="s">
        <v>73</v>
      </c>
      <c r="BU9" s="73"/>
    </row>
    <row r="10" spans="2:75" x14ac:dyDescent="0.3">
      <c r="B10" s="15">
        <v>3</v>
      </c>
      <c r="C10" s="5"/>
      <c r="D10" s="5"/>
      <c r="E10" s="5"/>
      <c r="F10" s="5" t="s">
        <v>21</v>
      </c>
      <c r="G10" s="274"/>
      <c r="H10" s="274"/>
      <c r="I10" s="274"/>
      <c r="J10" s="275"/>
      <c r="L10" s="70"/>
      <c r="M10" s="5"/>
      <c r="N10" s="5"/>
      <c r="O10" s="5" t="s">
        <v>73</v>
      </c>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t="s">
        <v>73</v>
      </c>
      <c r="AT10" s="5"/>
      <c r="AU10" s="5"/>
      <c r="AV10" s="5"/>
      <c r="AW10" s="5"/>
      <c r="AX10" s="5"/>
      <c r="AY10" s="5"/>
      <c r="AZ10" s="5"/>
      <c r="BA10" s="5"/>
      <c r="BB10" s="5"/>
      <c r="BC10" s="5"/>
      <c r="BD10" s="5"/>
      <c r="BE10" s="5"/>
      <c r="BF10" s="5"/>
      <c r="BG10" s="5"/>
      <c r="BH10" s="5"/>
      <c r="BI10" s="5" t="s">
        <v>73</v>
      </c>
      <c r="BJ10" s="5"/>
      <c r="BK10" s="5"/>
      <c r="BL10" s="5"/>
      <c r="BM10" s="5"/>
      <c r="BN10" s="5"/>
      <c r="BO10" s="5" t="s">
        <v>73</v>
      </c>
      <c r="BP10" s="5"/>
      <c r="BQ10" s="5"/>
      <c r="BR10" s="5"/>
      <c r="BS10" s="5" t="s">
        <v>73</v>
      </c>
      <c r="BT10" s="5"/>
      <c r="BU10" s="16"/>
    </row>
    <row r="11" spans="2:75" x14ac:dyDescent="0.3">
      <c r="B11" s="14">
        <v>4</v>
      </c>
      <c r="C11" s="6"/>
      <c r="D11" s="6"/>
      <c r="E11" s="6"/>
      <c r="F11" s="6"/>
      <c r="G11" s="268"/>
      <c r="H11" s="268"/>
      <c r="I11" s="268"/>
      <c r="J11" s="269"/>
      <c r="L11" s="71"/>
      <c r="M11" s="72"/>
      <c r="N11" s="72"/>
      <c r="O11" s="72"/>
      <c r="P11" s="72" t="s">
        <v>73</v>
      </c>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t="s">
        <v>73</v>
      </c>
      <c r="AY11" s="72"/>
      <c r="AZ11" s="72"/>
      <c r="BA11" s="72"/>
      <c r="BB11" s="72" t="s">
        <v>73</v>
      </c>
      <c r="BC11" s="72"/>
      <c r="BD11" s="72"/>
      <c r="BE11" s="72"/>
      <c r="BF11" s="72"/>
      <c r="BG11" s="72"/>
      <c r="BH11" s="72" t="s">
        <v>73</v>
      </c>
      <c r="BI11" s="72"/>
      <c r="BJ11" s="72"/>
      <c r="BK11" s="72"/>
      <c r="BL11" s="72"/>
      <c r="BM11" s="72"/>
      <c r="BN11" s="72"/>
      <c r="BO11" s="72"/>
      <c r="BP11" s="72" t="s">
        <v>73</v>
      </c>
      <c r="BQ11" s="72"/>
      <c r="BR11" s="72" t="s">
        <v>73</v>
      </c>
      <c r="BS11" s="72"/>
      <c r="BT11" s="72"/>
      <c r="BU11" s="73"/>
    </row>
    <row r="12" spans="2:75" x14ac:dyDescent="0.3">
      <c r="B12" s="15">
        <v>5</v>
      </c>
      <c r="C12" s="5"/>
      <c r="D12" s="5"/>
      <c r="E12" s="5"/>
      <c r="F12" s="5"/>
      <c r="G12" s="274"/>
      <c r="H12" s="274"/>
      <c r="I12" s="274"/>
      <c r="J12" s="275"/>
      <c r="L12" s="70"/>
      <c r="M12" s="5" t="s">
        <v>73</v>
      </c>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t="s">
        <v>73</v>
      </c>
      <c r="AV12" s="5"/>
      <c r="AW12" s="5" t="s">
        <v>73</v>
      </c>
      <c r="AX12" s="5"/>
      <c r="AY12" s="5"/>
      <c r="AZ12" s="5"/>
      <c r="BA12" s="5" t="s">
        <v>73</v>
      </c>
      <c r="BB12" s="5"/>
      <c r="BC12" s="5"/>
      <c r="BD12" s="5" t="s">
        <v>73</v>
      </c>
      <c r="BE12" s="5"/>
      <c r="BF12" s="5"/>
      <c r="BG12" s="5" t="s">
        <v>73</v>
      </c>
      <c r="BH12" s="5"/>
      <c r="BI12" s="5"/>
      <c r="BJ12" s="5"/>
      <c r="BK12" s="5"/>
      <c r="BL12" s="5" t="s">
        <v>73</v>
      </c>
      <c r="BM12" s="5"/>
      <c r="BN12" s="5"/>
      <c r="BO12" s="5"/>
      <c r="BP12" s="5"/>
      <c r="BQ12" s="5"/>
      <c r="BR12" s="5"/>
      <c r="BS12" s="5"/>
      <c r="BT12" s="5"/>
      <c r="BU12" s="16"/>
    </row>
    <row r="13" spans="2:75" x14ac:dyDescent="0.3">
      <c r="B13" s="14">
        <v>6</v>
      </c>
      <c r="C13" s="6"/>
      <c r="D13" s="6"/>
      <c r="E13" s="6" t="s">
        <v>13</v>
      </c>
      <c r="F13" s="6"/>
      <c r="G13" s="268"/>
      <c r="H13" s="268"/>
      <c r="I13" s="268"/>
      <c r="J13" s="269"/>
      <c r="L13" s="71"/>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t="s">
        <v>73</v>
      </c>
      <c r="BF13" s="72"/>
      <c r="BG13" s="72"/>
      <c r="BH13" s="72"/>
      <c r="BI13" s="72"/>
      <c r="BJ13" s="72"/>
      <c r="BK13" s="72"/>
      <c r="BL13" s="72"/>
      <c r="BM13" s="72" t="s">
        <v>73</v>
      </c>
      <c r="BN13" s="72"/>
      <c r="BO13" s="72"/>
      <c r="BP13" s="72"/>
      <c r="BQ13" s="72" t="s">
        <v>73</v>
      </c>
      <c r="BR13" s="72"/>
      <c r="BS13" s="72"/>
      <c r="BT13" s="72"/>
      <c r="BU13" s="73"/>
    </row>
    <row r="14" spans="2:75" x14ac:dyDescent="0.3">
      <c r="B14" s="15">
        <v>7</v>
      </c>
      <c r="C14" s="5"/>
      <c r="D14" s="5"/>
      <c r="E14" s="5"/>
      <c r="F14" s="5"/>
      <c r="G14" s="274"/>
      <c r="H14" s="274"/>
      <c r="I14" s="274"/>
      <c r="J14" s="275"/>
      <c r="L14" s="70"/>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t="s">
        <v>73</v>
      </c>
      <c r="AW14" s="5"/>
      <c r="AX14" s="5"/>
      <c r="AY14" s="5"/>
      <c r="AZ14" s="5" t="s">
        <v>73</v>
      </c>
      <c r="BA14" s="5"/>
      <c r="BB14" s="5"/>
      <c r="BC14" s="5"/>
      <c r="BD14" s="5"/>
      <c r="BE14" s="5"/>
      <c r="BF14" s="5"/>
      <c r="BG14" s="5"/>
      <c r="BH14" s="5"/>
      <c r="BI14" s="5"/>
      <c r="BJ14" s="5" t="s">
        <v>73</v>
      </c>
      <c r="BK14" s="5"/>
      <c r="BL14" s="5"/>
      <c r="BM14" s="5"/>
      <c r="BN14" s="5"/>
      <c r="BO14" s="5"/>
      <c r="BP14" s="5"/>
      <c r="BQ14" s="5"/>
      <c r="BR14" s="5"/>
      <c r="BS14" s="5"/>
      <c r="BT14" s="5"/>
      <c r="BU14" s="16"/>
    </row>
    <row r="15" spans="2:75" x14ac:dyDescent="0.3">
      <c r="B15" s="14">
        <v>8</v>
      </c>
      <c r="C15" s="6"/>
      <c r="D15" s="6"/>
      <c r="E15" s="6" t="s">
        <v>16</v>
      </c>
      <c r="F15" s="6"/>
      <c r="G15" s="268"/>
      <c r="H15" s="268"/>
      <c r="I15" s="268"/>
      <c r="J15" s="269"/>
      <c r="L15" s="71"/>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t="s">
        <v>73</v>
      </c>
      <c r="BD15" s="72"/>
      <c r="BE15" s="72"/>
      <c r="BF15" s="72"/>
      <c r="BG15" s="72"/>
      <c r="BH15" s="72"/>
      <c r="BI15" s="72"/>
      <c r="BJ15" s="72"/>
      <c r="BK15" s="72"/>
      <c r="BL15" s="72"/>
      <c r="BM15" s="72"/>
      <c r="BN15" s="72" t="s">
        <v>73</v>
      </c>
      <c r="BO15" s="72"/>
      <c r="BP15" s="72"/>
      <c r="BQ15" s="72"/>
      <c r="BR15" s="72"/>
      <c r="BS15" s="72"/>
      <c r="BT15" s="72"/>
      <c r="BU15" s="73" t="s">
        <v>73</v>
      </c>
    </row>
    <row r="16" spans="2:75" x14ac:dyDescent="0.3">
      <c r="B16" s="15">
        <v>9</v>
      </c>
      <c r="C16" s="5"/>
      <c r="D16" s="5"/>
      <c r="E16" s="5"/>
      <c r="F16" s="5"/>
      <c r="G16" s="274"/>
      <c r="H16" s="274"/>
      <c r="I16" s="274"/>
      <c r="J16" s="275"/>
      <c r="L16" s="70"/>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t="s">
        <v>73</v>
      </c>
      <c r="AU16" s="5"/>
      <c r="AV16" s="5"/>
      <c r="AW16" s="5"/>
      <c r="AX16" s="5"/>
      <c r="AY16" s="5"/>
      <c r="AZ16" s="5"/>
      <c r="BA16" s="5"/>
      <c r="BB16" s="5"/>
      <c r="BC16" s="5"/>
      <c r="BD16" s="5"/>
      <c r="BE16" s="5"/>
      <c r="BF16" s="5" t="s">
        <v>73</v>
      </c>
      <c r="BG16" s="5"/>
      <c r="BH16" s="5"/>
      <c r="BI16" s="5"/>
      <c r="BJ16" s="5"/>
      <c r="BK16" s="5"/>
      <c r="BL16" s="5"/>
      <c r="BM16" s="5"/>
      <c r="BN16" s="5"/>
      <c r="BO16" s="5"/>
      <c r="BP16" s="5"/>
      <c r="BQ16" s="5"/>
      <c r="BR16" s="5"/>
      <c r="BS16" s="5"/>
      <c r="BT16" s="5"/>
      <c r="BU16" s="16"/>
    </row>
    <row r="17" spans="2:73" x14ac:dyDescent="0.3">
      <c r="B17" s="14">
        <v>10</v>
      </c>
      <c r="C17" s="6"/>
      <c r="D17" s="6"/>
      <c r="E17" s="6"/>
      <c r="F17" s="6" t="s">
        <v>32</v>
      </c>
      <c r="G17" s="268"/>
      <c r="H17" s="268"/>
      <c r="I17" s="268"/>
      <c r="J17" s="269"/>
      <c r="L17" s="71"/>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3"/>
    </row>
    <row r="18" spans="2:73" x14ac:dyDescent="0.3">
      <c r="B18" s="15">
        <v>11</v>
      </c>
      <c r="C18" s="5"/>
      <c r="D18" s="5"/>
      <c r="E18" s="5" t="s">
        <v>18</v>
      </c>
      <c r="F18" s="5"/>
      <c r="G18" s="274"/>
      <c r="H18" s="274"/>
      <c r="I18" s="274"/>
      <c r="J18" s="275"/>
      <c r="L18" s="70"/>
      <c r="M18" s="5"/>
      <c r="N18" s="5" t="s">
        <v>73</v>
      </c>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t="s">
        <v>73</v>
      </c>
      <c r="BL18" s="5"/>
      <c r="BM18" s="5"/>
      <c r="BN18" s="5"/>
      <c r="BO18" s="5"/>
      <c r="BP18" s="5"/>
      <c r="BQ18" s="5"/>
      <c r="BR18" s="5"/>
      <c r="BS18" s="5"/>
      <c r="BT18" s="5"/>
      <c r="BU18" s="16"/>
    </row>
    <row r="19" spans="2:73" x14ac:dyDescent="0.3">
      <c r="B19" s="14">
        <v>12</v>
      </c>
      <c r="C19" s="6"/>
      <c r="D19" s="6"/>
      <c r="E19" s="6"/>
      <c r="F19" s="6"/>
      <c r="G19" s="268"/>
      <c r="H19" s="268"/>
      <c r="I19" s="268"/>
      <c r="J19" s="269"/>
      <c r="L19" s="71"/>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c r="BT19" s="72"/>
      <c r="BU19" s="73"/>
    </row>
    <row r="20" spans="2:73" x14ac:dyDescent="0.3">
      <c r="B20" s="15">
        <v>13</v>
      </c>
      <c r="C20" s="5"/>
      <c r="D20" s="5"/>
      <c r="E20" s="5"/>
      <c r="F20" s="5"/>
      <c r="G20" s="274"/>
      <c r="H20" s="274"/>
      <c r="I20" s="274"/>
      <c r="J20" s="275"/>
      <c r="L20" s="70"/>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t="s">
        <v>73</v>
      </c>
      <c r="BA20" s="5"/>
      <c r="BB20" s="5"/>
      <c r="BC20" s="5"/>
      <c r="BD20" s="5" t="s">
        <v>73</v>
      </c>
      <c r="BE20" s="5"/>
      <c r="BF20" s="5"/>
      <c r="BG20" s="5"/>
      <c r="BH20" s="5"/>
      <c r="BI20" s="5"/>
      <c r="BJ20" s="5"/>
      <c r="BK20" s="5"/>
      <c r="BL20" s="5"/>
      <c r="BM20" s="5"/>
      <c r="BN20" s="5" t="s">
        <v>73</v>
      </c>
      <c r="BO20" s="5"/>
      <c r="BP20" s="5"/>
      <c r="BQ20" s="5"/>
      <c r="BR20" s="5"/>
      <c r="BS20" s="5"/>
      <c r="BT20" s="5"/>
      <c r="BU20" s="16"/>
    </row>
    <row r="21" spans="2:73" x14ac:dyDescent="0.3">
      <c r="B21" s="14">
        <v>14</v>
      </c>
      <c r="C21" s="6"/>
      <c r="D21" s="6"/>
      <c r="E21" s="6"/>
      <c r="F21" s="6"/>
      <c r="G21" s="268"/>
      <c r="H21" s="268"/>
      <c r="I21" s="268"/>
      <c r="J21" s="269"/>
      <c r="L21" s="71"/>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t="s">
        <v>73</v>
      </c>
      <c r="BB21" s="72"/>
      <c r="BC21" s="72"/>
      <c r="BD21" s="72"/>
      <c r="BE21" s="72"/>
      <c r="BF21" s="72"/>
      <c r="BG21" s="72"/>
      <c r="BH21" s="72"/>
      <c r="BI21" s="72"/>
      <c r="BJ21" s="72"/>
      <c r="BK21" s="72"/>
      <c r="BL21" s="72"/>
      <c r="BM21" s="72"/>
      <c r="BN21" s="72"/>
      <c r="BO21" s="72"/>
      <c r="BP21" s="72"/>
      <c r="BQ21" s="72"/>
      <c r="BR21" s="72"/>
      <c r="BS21" s="72"/>
      <c r="BT21" s="72"/>
      <c r="BU21" s="73"/>
    </row>
    <row r="22" spans="2:73" x14ac:dyDescent="0.3">
      <c r="B22" s="15">
        <v>15</v>
      </c>
      <c r="C22" s="5"/>
      <c r="D22" s="5"/>
      <c r="E22" s="5"/>
      <c r="F22" s="5"/>
      <c r="G22" s="274"/>
      <c r="H22" s="274"/>
      <c r="I22" s="274"/>
      <c r="J22" s="275"/>
      <c r="L22" s="70"/>
      <c r="M22" s="5"/>
      <c r="N22" s="5"/>
      <c r="O22" s="5" t="s">
        <v>73</v>
      </c>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16"/>
    </row>
    <row r="23" spans="2:73" x14ac:dyDescent="0.3">
      <c r="B23" s="14">
        <v>16</v>
      </c>
      <c r="C23" s="6"/>
      <c r="D23" s="6"/>
      <c r="E23" s="6"/>
      <c r="F23" s="6"/>
      <c r="G23" s="268"/>
      <c r="H23" s="268"/>
      <c r="I23" s="268"/>
      <c r="J23" s="269"/>
      <c r="L23" s="71"/>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t="s">
        <v>73</v>
      </c>
      <c r="AS23" s="72"/>
      <c r="AT23" s="72"/>
      <c r="AU23" s="72"/>
      <c r="AV23" s="72"/>
      <c r="AW23" s="72"/>
      <c r="AX23" s="72" t="s">
        <v>73</v>
      </c>
      <c r="AY23" s="72"/>
      <c r="AZ23" s="72"/>
      <c r="BA23" s="72"/>
      <c r="BB23" s="72"/>
      <c r="BC23" s="72"/>
      <c r="BD23" s="72"/>
      <c r="BE23" s="72"/>
      <c r="BF23" s="72"/>
      <c r="BG23" s="72"/>
      <c r="BH23" s="72"/>
      <c r="BI23" s="72"/>
      <c r="BJ23" s="72"/>
      <c r="BK23" s="72"/>
      <c r="BL23" s="72"/>
      <c r="BM23" s="72"/>
      <c r="BN23" s="72"/>
      <c r="BO23" s="72"/>
      <c r="BP23" s="72"/>
      <c r="BQ23" s="72"/>
      <c r="BR23" s="72"/>
      <c r="BS23" s="72"/>
      <c r="BT23" s="72" t="s">
        <v>73</v>
      </c>
      <c r="BU23" s="73"/>
    </row>
    <row r="24" spans="2:73" x14ac:dyDescent="0.3">
      <c r="B24" s="15">
        <v>17</v>
      </c>
      <c r="C24" s="5"/>
      <c r="D24" s="5"/>
      <c r="E24" s="5" t="s">
        <v>19</v>
      </c>
      <c r="F24" s="5" t="s">
        <v>31</v>
      </c>
      <c r="G24" s="274"/>
      <c r="H24" s="274"/>
      <c r="I24" s="274"/>
      <c r="J24" s="275"/>
      <c r="L24" s="70"/>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t="s">
        <v>73</v>
      </c>
      <c r="BJ24" s="5"/>
      <c r="BK24" s="5"/>
      <c r="BL24" s="5"/>
      <c r="BM24" s="5"/>
      <c r="BN24" s="5"/>
      <c r="BO24" s="5"/>
      <c r="BP24" s="5"/>
      <c r="BQ24" s="5" t="s">
        <v>73</v>
      </c>
      <c r="BR24" s="5"/>
      <c r="BS24" s="5"/>
      <c r="BT24" s="5"/>
      <c r="BU24" s="16"/>
    </row>
    <row r="25" spans="2:73" x14ac:dyDescent="0.3">
      <c r="B25" s="14">
        <v>18</v>
      </c>
      <c r="C25" s="6"/>
      <c r="D25" s="6"/>
      <c r="E25" s="6"/>
      <c r="F25" s="6"/>
      <c r="G25" s="268"/>
      <c r="H25" s="268"/>
      <c r="I25" s="268"/>
      <c r="J25" s="269"/>
      <c r="L25" s="71"/>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t="s">
        <v>73</v>
      </c>
      <c r="BM25" s="72"/>
      <c r="BN25" s="72"/>
      <c r="BO25" s="72"/>
      <c r="BP25" s="72"/>
      <c r="BQ25" s="72"/>
      <c r="BR25" s="72"/>
      <c r="BS25" s="72"/>
      <c r="BT25" s="72"/>
      <c r="BU25" s="73"/>
    </row>
    <row r="26" spans="2:73" x14ac:dyDescent="0.3">
      <c r="B26" s="15">
        <v>19</v>
      </c>
      <c r="C26" s="5"/>
      <c r="D26" s="5"/>
      <c r="E26" s="5"/>
      <c r="F26" s="5"/>
      <c r="G26" s="274"/>
      <c r="H26" s="274"/>
      <c r="I26" s="274"/>
      <c r="J26" s="275"/>
      <c r="L26" s="70"/>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16"/>
    </row>
    <row r="27" spans="2:73" x14ac:dyDescent="0.3">
      <c r="B27" s="14">
        <v>20</v>
      </c>
      <c r="C27" s="6"/>
      <c r="D27" s="6"/>
      <c r="E27" s="6"/>
      <c r="F27" s="6" t="s">
        <v>31</v>
      </c>
      <c r="G27" s="268"/>
      <c r="H27" s="268"/>
      <c r="I27" s="268"/>
      <c r="J27" s="269"/>
      <c r="L27" s="71"/>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t="s">
        <v>73</v>
      </c>
      <c r="AV27" s="72"/>
      <c r="AW27" s="72"/>
      <c r="AX27" s="72"/>
      <c r="AY27" s="72"/>
      <c r="AZ27" s="72"/>
      <c r="BA27" s="72"/>
      <c r="BB27" s="72"/>
      <c r="BC27" s="72"/>
      <c r="BD27" s="72"/>
      <c r="BE27" s="72"/>
      <c r="BF27" s="72"/>
      <c r="BG27" s="72"/>
      <c r="BH27" s="72"/>
      <c r="BI27" s="72"/>
      <c r="BJ27" s="72"/>
      <c r="BK27" s="72"/>
      <c r="BL27" s="72"/>
      <c r="BM27" s="72"/>
      <c r="BN27" s="72" t="s">
        <v>73</v>
      </c>
      <c r="BO27" s="72"/>
      <c r="BP27" s="72"/>
      <c r="BQ27" s="72"/>
      <c r="BR27" s="72"/>
      <c r="BS27" s="72"/>
      <c r="BT27" s="72"/>
      <c r="BU27" s="73"/>
    </row>
    <row r="28" spans="2:73" x14ac:dyDescent="0.3">
      <c r="B28" s="15">
        <v>21</v>
      </c>
      <c r="C28" s="5"/>
      <c r="D28" s="5"/>
      <c r="E28" s="5"/>
      <c r="F28" s="5"/>
      <c r="G28" s="274"/>
      <c r="H28" s="274"/>
      <c r="I28" s="274"/>
      <c r="J28" s="275"/>
      <c r="L28" s="70"/>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t="s">
        <v>73</v>
      </c>
      <c r="AY28" s="5"/>
      <c r="AZ28" s="5"/>
      <c r="BA28" s="5"/>
      <c r="BB28" s="5"/>
      <c r="BC28" s="5"/>
      <c r="BD28" s="5"/>
      <c r="BE28" s="5"/>
      <c r="BF28" s="5"/>
      <c r="BG28" s="5"/>
      <c r="BH28" s="5"/>
      <c r="BI28" s="5" t="s">
        <v>73</v>
      </c>
      <c r="BJ28" s="5"/>
      <c r="BK28" s="5"/>
      <c r="BL28" s="5"/>
      <c r="BM28" s="5"/>
      <c r="BN28" s="5"/>
      <c r="BO28" s="5"/>
      <c r="BP28" s="5"/>
      <c r="BQ28" s="5"/>
      <c r="BR28" s="5"/>
      <c r="BS28" s="5"/>
      <c r="BT28" s="5"/>
      <c r="BU28" s="16"/>
    </row>
    <row r="29" spans="2:73" x14ac:dyDescent="0.3">
      <c r="B29" s="14">
        <v>22</v>
      </c>
      <c r="C29" s="6"/>
      <c r="D29" s="6"/>
      <c r="E29" s="6"/>
      <c r="F29" s="6"/>
      <c r="G29" s="268"/>
      <c r="H29" s="268"/>
      <c r="I29" s="268"/>
      <c r="J29" s="269"/>
      <c r="L29" s="71"/>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t="s">
        <v>73</v>
      </c>
      <c r="BB29" s="72"/>
      <c r="BC29" s="72"/>
      <c r="BD29" s="72"/>
      <c r="BE29" s="72"/>
      <c r="BF29" s="72"/>
      <c r="BG29" s="72"/>
      <c r="BH29" s="72"/>
      <c r="BI29" s="72"/>
      <c r="BJ29" s="72"/>
      <c r="BK29" s="72"/>
      <c r="BL29" s="72"/>
      <c r="BM29" s="72"/>
      <c r="BN29" s="72"/>
      <c r="BO29" s="72"/>
      <c r="BP29" s="72"/>
      <c r="BQ29" s="72"/>
      <c r="BR29" s="72"/>
      <c r="BS29" s="72"/>
      <c r="BT29" s="72"/>
      <c r="BU29" s="73"/>
    </row>
    <row r="30" spans="2:73" x14ac:dyDescent="0.3">
      <c r="B30" s="15">
        <v>23</v>
      </c>
      <c r="C30" s="5"/>
      <c r="D30" s="5"/>
      <c r="E30" s="5" t="s">
        <v>12</v>
      </c>
      <c r="F30" s="5"/>
      <c r="G30" s="274"/>
      <c r="H30" s="274"/>
      <c r="I30" s="274"/>
      <c r="J30" s="275"/>
      <c r="L30" s="70"/>
      <c r="M30" s="5"/>
      <c r="N30" s="5"/>
      <c r="O30" s="5"/>
      <c r="P30" s="5"/>
      <c r="Q30" s="5"/>
      <c r="R30" s="5"/>
      <c r="S30" s="5"/>
      <c r="T30" s="5"/>
      <c r="U30" s="5"/>
      <c r="V30" s="5" t="s">
        <v>73</v>
      </c>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16"/>
    </row>
    <row r="31" spans="2:73" x14ac:dyDescent="0.3">
      <c r="B31" s="14">
        <v>24</v>
      </c>
      <c r="C31" s="6"/>
      <c r="D31" s="6"/>
      <c r="E31" s="6"/>
      <c r="F31" s="6" t="s">
        <v>32</v>
      </c>
      <c r="G31" s="268"/>
      <c r="H31" s="268"/>
      <c r="I31" s="268"/>
      <c r="J31" s="269"/>
      <c r="L31" s="71"/>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t="s">
        <v>73</v>
      </c>
      <c r="AU31" s="72"/>
      <c r="AV31" s="72"/>
      <c r="AW31" s="72"/>
      <c r="AX31" s="72"/>
      <c r="AY31" s="72" t="s">
        <v>73</v>
      </c>
      <c r="AZ31" s="72"/>
      <c r="BA31" s="72"/>
      <c r="BB31" s="72"/>
      <c r="BC31" s="72"/>
      <c r="BD31" s="72"/>
      <c r="BE31" s="72"/>
      <c r="BF31" s="72" t="s">
        <v>73</v>
      </c>
      <c r="BG31" s="72"/>
      <c r="BH31" s="72"/>
      <c r="BI31" s="72"/>
      <c r="BJ31" s="72"/>
      <c r="BK31" s="72"/>
      <c r="BL31" s="72"/>
      <c r="BM31" s="72"/>
      <c r="BN31" s="72"/>
      <c r="BO31" s="72" t="s">
        <v>73</v>
      </c>
      <c r="BP31" s="72"/>
      <c r="BQ31" s="72"/>
      <c r="BR31" s="72" t="s">
        <v>73</v>
      </c>
      <c r="BS31" s="72"/>
      <c r="BT31" s="72"/>
      <c r="BU31" s="73"/>
    </row>
    <row r="32" spans="2:73" x14ac:dyDescent="0.3">
      <c r="B32" s="15">
        <v>25</v>
      </c>
      <c r="C32" s="5"/>
      <c r="D32" s="5"/>
      <c r="E32" s="5" t="s">
        <v>14</v>
      </c>
      <c r="F32" s="5"/>
      <c r="G32" s="274"/>
      <c r="H32" s="274"/>
      <c r="I32" s="274"/>
      <c r="J32" s="275"/>
      <c r="L32" s="70"/>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16" t="s">
        <v>73</v>
      </c>
    </row>
    <row r="33" spans="2:73" x14ac:dyDescent="0.3">
      <c r="B33" s="14">
        <v>26</v>
      </c>
      <c r="C33" s="6"/>
      <c r="D33" s="6"/>
      <c r="E33" s="6"/>
      <c r="F33" s="6" t="s">
        <v>32</v>
      </c>
      <c r="G33" s="268"/>
      <c r="H33" s="268"/>
      <c r="I33" s="268"/>
      <c r="J33" s="269"/>
      <c r="L33" s="71"/>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t="s">
        <v>73</v>
      </c>
      <c r="AT33" s="72"/>
      <c r="AU33" s="72"/>
      <c r="AV33" s="72"/>
      <c r="AW33" s="72" t="s">
        <v>73</v>
      </c>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3"/>
    </row>
    <row r="34" spans="2:73" x14ac:dyDescent="0.3">
      <c r="B34" s="15">
        <v>27</v>
      </c>
      <c r="C34" s="5"/>
      <c r="D34" s="5"/>
      <c r="E34" s="5"/>
      <c r="F34" s="5"/>
      <c r="G34" s="274" t="s">
        <v>35</v>
      </c>
      <c r="H34" s="274"/>
      <c r="I34" s="274"/>
      <c r="J34" s="275"/>
      <c r="L34" s="70"/>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t="s">
        <v>73</v>
      </c>
      <c r="AU34" s="5"/>
      <c r="AV34" s="5"/>
      <c r="AW34" s="5"/>
      <c r="AX34" s="5"/>
      <c r="AY34" s="5" t="s">
        <v>73</v>
      </c>
      <c r="AZ34" s="5"/>
      <c r="BA34" s="5"/>
      <c r="BB34" s="5"/>
      <c r="BC34" s="5"/>
      <c r="BD34" s="5"/>
      <c r="BE34" s="5"/>
      <c r="BF34" s="5"/>
      <c r="BG34" s="5"/>
      <c r="BH34" s="5"/>
      <c r="BI34" s="5" t="s">
        <v>73</v>
      </c>
      <c r="BJ34" s="5"/>
      <c r="BK34" s="5"/>
      <c r="BL34" s="5"/>
      <c r="BM34" s="5"/>
      <c r="BN34" s="5"/>
      <c r="BO34" s="5"/>
      <c r="BP34" s="5" t="s">
        <v>73</v>
      </c>
      <c r="BQ34" s="5"/>
      <c r="BR34" s="5"/>
      <c r="BS34" s="5"/>
      <c r="BT34" s="5"/>
      <c r="BU34" s="16"/>
    </row>
    <row r="35" spans="2:73" x14ac:dyDescent="0.3">
      <c r="B35" s="14">
        <v>28</v>
      </c>
      <c r="C35" s="6"/>
      <c r="D35" s="6"/>
      <c r="E35" s="6"/>
      <c r="F35" s="6"/>
      <c r="G35" s="268"/>
      <c r="H35" s="268"/>
      <c r="I35" s="268"/>
      <c r="J35" s="269"/>
      <c r="L35" s="71"/>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t="s">
        <v>73</v>
      </c>
      <c r="AX35" s="72"/>
      <c r="AY35" s="72"/>
      <c r="AZ35" s="72"/>
      <c r="BA35" s="72"/>
      <c r="BB35" s="72"/>
      <c r="BC35" s="72"/>
      <c r="BD35" s="72"/>
      <c r="BE35" s="72"/>
      <c r="BF35" s="72"/>
      <c r="BG35" s="72"/>
      <c r="BH35" s="72"/>
      <c r="BI35" s="72"/>
      <c r="BJ35" s="72"/>
      <c r="BK35" s="72"/>
      <c r="BL35" s="72"/>
      <c r="BM35" s="72"/>
      <c r="BN35" s="72"/>
      <c r="BO35" s="72"/>
      <c r="BP35" s="72"/>
      <c r="BQ35" s="72"/>
      <c r="BR35" s="72"/>
      <c r="BS35" s="72" t="s">
        <v>73</v>
      </c>
      <c r="BT35" s="72"/>
      <c r="BU35" s="73"/>
    </row>
    <row r="36" spans="2:73" x14ac:dyDescent="0.3">
      <c r="B36" s="15">
        <v>29</v>
      </c>
      <c r="C36" s="5"/>
      <c r="D36" s="5"/>
      <c r="E36" s="5"/>
      <c r="F36" s="5"/>
      <c r="G36" s="274"/>
      <c r="H36" s="274"/>
      <c r="I36" s="274"/>
      <c r="J36" s="275"/>
      <c r="L36" s="70" t="s">
        <v>73</v>
      </c>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16"/>
    </row>
    <row r="37" spans="2:73" x14ac:dyDescent="0.3">
      <c r="B37" s="14">
        <v>30</v>
      </c>
      <c r="C37" s="6"/>
      <c r="D37" s="6"/>
      <c r="E37" s="6"/>
      <c r="F37" s="6"/>
      <c r="G37" s="268"/>
      <c r="H37" s="268"/>
      <c r="I37" s="268"/>
      <c r="J37" s="269"/>
      <c r="L37" s="71"/>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t="s">
        <v>73</v>
      </c>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3"/>
    </row>
    <row r="38" spans="2:73" x14ac:dyDescent="0.3">
      <c r="B38" s="15">
        <v>31</v>
      </c>
      <c r="C38" s="5"/>
      <c r="D38" s="5"/>
      <c r="E38" s="5"/>
      <c r="F38" s="5"/>
      <c r="G38" s="274" t="s">
        <v>34</v>
      </c>
      <c r="H38" s="274"/>
      <c r="I38" s="274"/>
      <c r="J38" s="275"/>
      <c r="L38" s="70"/>
      <c r="M38" s="5" t="s">
        <v>73</v>
      </c>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16"/>
    </row>
    <row r="39" spans="2:73" x14ac:dyDescent="0.3">
      <c r="B39" s="14">
        <v>32</v>
      </c>
      <c r="C39" s="6"/>
      <c r="D39" s="6"/>
      <c r="E39" s="6"/>
      <c r="F39" s="6"/>
      <c r="G39" s="268"/>
      <c r="H39" s="268"/>
      <c r="I39" s="268"/>
      <c r="J39" s="269"/>
      <c r="L39" s="71"/>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3"/>
    </row>
    <row r="40" spans="2:73" x14ac:dyDescent="0.3">
      <c r="B40" s="15">
        <v>33</v>
      </c>
      <c r="C40" s="5"/>
      <c r="D40" s="5"/>
      <c r="E40" s="5"/>
      <c r="F40" s="5" t="s">
        <v>21</v>
      </c>
      <c r="G40" s="274"/>
      <c r="H40" s="274"/>
      <c r="I40" s="274"/>
      <c r="J40" s="275"/>
      <c r="L40" s="70"/>
      <c r="M40" s="5"/>
      <c r="N40" s="5"/>
      <c r="O40" s="5"/>
      <c r="P40" s="5"/>
      <c r="Q40" s="5"/>
      <c r="R40" s="5"/>
      <c r="S40" s="5"/>
      <c r="T40" s="5"/>
      <c r="U40" s="5"/>
      <c r="V40" s="5" t="s">
        <v>73</v>
      </c>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16"/>
    </row>
    <row r="41" spans="2:73" x14ac:dyDescent="0.3">
      <c r="B41" s="14">
        <v>34</v>
      </c>
      <c r="C41" s="6"/>
      <c r="D41" s="6"/>
      <c r="E41" s="6"/>
      <c r="F41" s="6"/>
      <c r="G41" s="268"/>
      <c r="H41" s="268"/>
      <c r="I41" s="268"/>
      <c r="J41" s="269"/>
      <c r="L41" s="71"/>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3"/>
    </row>
    <row r="42" spans="2:73" x14ac:dyDescent="0.3">
      <c r="B42" s="15">
        <v>35</v>
      </c>
      <c r="C42" s="5"/>
      <c r="D42" s="5" t="s">
        <v>8</v>
      </c>
      <c r="E42" s="5" t="s">
        <v>13</v>
      </c>
      <c r="F42" s="5"/>
      <c r="G42" s="274"/>
      <c r="H42" s="274"/>
      <c r="I42" s="274"/>
      <c r="J42" s="275"/>
      <c r="L42" s="70"/>
      <c r="M42" s="5"/>
      <c r="N42" s="5"/>
      <c r="O42" s="5"/>
      <c r="P42" s="5"/>
      <c r="Q42" s="5" t="s">
        <v>73</v>
      </c>
      <c r="R42" s="5"/>
      <c r="S42" s="5"/>
      <c r="T42" s="5"/>
      <c r="U42" s="5"/>
      <c r="V42" s="5"/>
      <c r="W42" s="5"/>
      <c r="X42" s="5" t="s">
        <v>73</v>
      </c>
      <c r="Y42" s="5"/>
      <c r="Z42" s="5"/>
      <c r="AA42" s="5"/>
      <c r="AB42" s="5"/>
      <c r="AC42" s="5"/>
      <c r="AD42" s="5" t="s">
        <v>73</v>
      </c>
      <c r="AE42" s="5"/>
      <c r="AF42" s="5"/>
      <c r="AG42" s="5"/>
      <c r="AH42" s="5"/>
      <c r="AI42" s="5"/>
      <c r="AJ42" s="5"/>
      <c r="AK42" s="5" t="s">
        <v>73</v>
      </c>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16"/>
    </row>
    <row r="43" spans="2:73" x14ac:dyDescent="0.3">
      <c r="B43" s="14">
        <v>36</v>
      </c>
      <c r="C43" s="6"/>
      <c r="D43" s="6"/>
      <c r="E43" s="6"/>
      <c r="F43" s="6"/>
      <c r="G43" s="268"/>
      <c r="H43" s="268"/>
      <c r="I43" s="268"/>
      <c r="J43" s="269"/>
      <c r="L43" s="71"/>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H43" s="72"/>
      <c r="BI43" s="72"/>
      <c r="BJ43" s="72"/>
      <c r="BK43" s="72"/>
      <c r="BL43" s="72"/>
      <c r="BM43" s="72"/>
      <c r="BN43" s="72"/>
      <c r="BO43" s="72"/>
      <c r="BP43" s="72"/>
      <c r="BQ43" s="72"/>
      <c r="BR43" s="72"/>
      <c r="BS43" s="72"/>
      <c r="BT43" s="72"/>
      <c r="BU43" s="73"/>
    </row>
    <row r="44" spans="2:73" x14ac:dyDescent="0.3">
      <c r="B44" s="15">
        <v>37</v>
      </c>
      <c r="C44" s="5"/>
      <c r="D44" s="5"/>
      <c r="E44" s="5"/>
      <c r="F44" s="5"/>
      <c r="G44" s="274" t="s">
        <v>34</v>
      </c>
      <c r="H44" s="274"/>
      <c r="I44" s="274"/>
      <c r="J44" s="275"/>
      <c r="L44" s="70"/>
      <c r="M44" s="5"/>
      <c r="N44" s="5"/>
      <c r="O44" s="5"/>
      <c r="P44" s="5"/>
      <c r="Q44" s="5"/>
      <c r="R44" s="5"/>
      <c r="S44" s="5"/>
      <c r="T44" s="5"/>
      <c r="U44" s="5"/>
      <c r="V44" s="5"/>
      <c r="W44" s="5" t="s">
        <v>73</v>
      </c>
      <c r="X44" s="5"/>
      <c r="Y44" s="5"/>
      <c r="Z44" s="5"/>
      <c r="AA44" s="5"/>
      <c r="AB44" s="5"/>
      <c r="AC44" s="5"/>
      <c r="AD44" s="5"/>
      <c r="AE44" s="5"/>
      <c r="AF44" s="5"/>
      <c r="AG44" s="5"/>
      <c r="AH44" s="5"/>
      <c r="AI44" s="5" t="s">
        <v>73</v>
      </c>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16"/>
    </row>
    <row r="45" spans="2:73" x14ac:dyDescent="0.3">
      <c r="B45" s="14">
        <v>38</v>
      </c>
      <c r="C45" s="6"/>
      <c r="D45" s="6"/>
      <c r="E45" s="6"/>
      <c r="F45" s="6"/>
      <c r="G45" s="268"/>
      <c r="H45" s="268"/>
      <c r="I45" s="268"/>
      <c r="J45" s="269"/>
      <c r="L45" s="71"/>
      <c r="M45" s="72"/>
      <c r="N45" s="72"/>
      <c r="O45" s="72"/>
      <c r="P45" s="72"/>
      <c r="Q45" s="72"/>
      <c r="R45" s="72"/>
      <c r="S45" s="72"/>
      <c r="T45" s="72"/>
      <c r="U45" s="72"/>
      <c r="V45" s="72"/>
      <c r="W45" s="72" t="s">
        <v>73</v>
      </c>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c r="BU45" s="73"/>
    </row>
    <row r="46" spans="2:73" x14ac:dyDescent="0.3">
      <c r="B46" s="15">
        <v>39</v>
      </c>
      <c r="C46" s="5"/>
      <c r="D46" s="5" t="s">
        <v>8</v>
      </c>
      <c r="E46" s="5"/>
      <c r="F46" s="5"/>
      <c r="G46" s="274"/>
      <c r="H46" s="274"/>
      <c r="I46" s="274"/>
      <c r="J46" s="275"/>
      <c r="L46" s="70"/>
      <c r="M46" s="5"/>
      <c r="N46" s="5"/>
      <c r="O46" s="5"/>
      <c r="P46" s="5"/>
      <c r="Q46" s="5"/>
      <c r="R46" s="5"/>
      <c r="S46" s="5" t="s">
        <v>73</v>
      </c>
      <c r="T46" s="5"/>
      <c r="U46" s="5"/>
      <c r="V46" s="5"/>
      <c r="W46" s="5"/>
      <c r="X46" s="5"/>
      <c r="Y46" s="5"/>
      <c r="Z46" s="5"/>
      <c r="AA46" s="5"/>
      <c r="AB46" s="5"/>
      <c r="AC46" s="5"/>
      <c r="AD46" s="5"/>
      <c r="AE46" s="5"/>
      <c r="AF46" s="5" t="s">
        <v>73</v>
      </c>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16"/>
    </row>
    <row r="47" spans="2:73" x14ac:dyDescent="0.3">
      <c r="B47" s="14">
        <v>40</v>
      </c>
      <c r="C47" s="6"/>
      <c r="D47" s="6"/>
      <c r="E47" s="6"/>
      <c r="F47" s="6"/>
      <c r="G47" s="268"/>
      <c r="H47" s="268"/>
      <c r="I47" s="268"/>
      <c r="J47" s="269"/>
      <c r="L47" s="71"/>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t="s">
        <v>73</v>
      </c>
      <c r="AN47" s="72"/>
      <c r="AO47" s="72"/>
      <c r="AP47" s="72"/>
      <c r="AQ47" s="72" t="s">
        <v>73</v>
      </c>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c r="BS47" s="72"/>
      <c r="BT47" s="72"/>
      <c r="BU47" s="73"/>
    </row>
    <row r="48" spans="2:73" x14ac:dyDescent="0.3">
      <c r="B48" s="15">
        <v>41</v>
      </c>
      <c r="C48" s="5"/>
      <c r="D48" s="5" t="s">
        <v>8</v>
      </c>
      <c r="E48" s="5" t="s">
        <v>13</v>
      </c>
      <c r="F48" s="5"/>
      <c r="G48" s="274"/>
      <c r="H48" s="274"/>
      <c r="I48" s="274"/>
      <c r="J48" s="275"/>
      <c r="L48" s="70"/>
      <c r="M48" s="5"/>
      <c r="N48" s="5"/>
      <c r="O48" s="5"/>
      <c r="P48" s="5"/>
      <c r="Q48" s="5"/>
      <c r="R48" s="5"/>
      <c r="S48" s="5"/>
      <c r="T48" s="5"/>
      <c r="U48" s="5"/>
      <c r="V48" s="5"/>
      <c r="W48" s="5"/>
      <c r="X48" s="5" t="s">
        <v>73</v>
      </c>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16"/>
    </row>
    <row r="49" spans="2:73" x14ac:dyDescent="0.3">
      <c r="B49" s="14">
        <v>42</v>
      </c>
      <c r="C49" s="6"/>
      <c r="D49" s="6"/>
      <c r="E49" s="6"/>
      <c r="F49" s="6"/>
      <c r="G49" s="268" t="s">
        <v>21</v>
      </c>
      <c r="H49" s="268"/>
      <c r="I49" s="268"/>
      <c r="J49" s="269"/>
      <c r="L49" s="71"/>
      <c r="M49" s="72"/>
      <c r="N49" s="72"/>
      <c r="O49" s="72"/>
      <c r="P49" s="72"/>
      <c r="Q49" s="72"/>
      <c r="R49" s="72"/>
      <c r="S49" s="72"/>
      <c r="T49" s="72"/>
      <c r="U49" s="72"/>
      <c r="V49" s="72"/>
      <c r="W49" s="72"/>
      <c r="X49" s="72"/>
      <c r="Y49" s="72"/>
      <c r="Z49" s="72"/>
      <c r="AA49" s="72"/>
      <c r="AB49" s="72"/>
      <c r="AC49" s="72"/>
      <c r="AD49" s="72"/>
      <c r="AE49" s="72"/>
      <c r="AF49" s="72"/>
      <c r="AG49" s="72" t="s">
        <v>73</v>
      </c>
      <c r="AH49" s="72"/>
      <c r="AI49" s="72"/>
      <c r="AJ49" s="72"/>
      <c r="AK49" s="72" t="s">
        <v>73</v>
      </c>
      <c r="AL49" s="72"/>
      <c r="AM49" s="72"/>
      <c r="AN49" s="72"/>
      <c r="AO49" s="72"/>
      <c r="AP49" s="72"/>
      <c r="AQ49" s="72"/>
      <c r="AR49" s="72"/>
      <c r="AS49" s="72"/>
      <c r="AT49" s="72"/>
      <c r="AU49" s="72"/>
      <c r="AV49" s="72"/>
      <c r="AW49" s="72"/>
      <c r="AX49" s="72"/>
      <c r="AY49" s="72"/>
      <c r="AZ49" s="72"/>
      <c r="BA49" s="72"/>
      <c r="BB49" s="72"/>
      <c r="BC49" s="72"/>
      <c r="BD49" s="72"/>
      <c r="BE49" s="72"/>
      <c r="BF49" s="72"/>
      <c r="BG49" s="72"/>
      <c r="BH49" s="72"/>
      <c r="BI49" s="72"/>
      <c r="BJ49" s="72"/>
      <c r="BK49" s="72"/>
      <c r="BL49" s="72"/>
      <c r="BM49" s="72"/>
      <c r="BN49" s="72"/>
      <c r="BO49" s="72"/>
      <c r="BP49" s="72"/>
      <c r="BQ49" s="72"/>
      <c r="BR49" s="72"/>
      <c r="BS49" s="72"/>
      <c r="BT49" s="72"/>
      <c r="BU49" s="73"/>
    </row>
    <row r="50" spans="2:73" x14ac:dyDescent="0.3">
      <c r="B50" s="15">
        <v>43</v>
      </c>
      <c r="C50" s="5"/>
      <c r="D50" s="5" t="s">
        <v>8</v>
      </c>
      <c r="E50" s="5"/>
      <c r="F50" s="5"/>
      <c r="G50" s="274"/>
      <c r="H50" s="274"/>
      <c r="I50" s="274"/>
      <c r="J50" s="275"/>
      <c r="L50" s="70"/>
      <c r="M50" s="5"/>
      <c r="N50" s="5"/>
      <c r="O50" s="5"/>
      <c r="P50" s="5"/>
      <c r="Q50" s="5"/>
      <c r="R50" s="5" t="s">
        <v>73</v>
      </c>
      <c r="S50" s="5"/>
      <c r="T50" s="5"/>
      <c r="U50" s="5" t="s">
        <v>73</v>
      </c>
      <c r="V50" s="5"/>
      <c r="W50" s="5"/>
      <c r="X50" s="5"/>
      <c r="Y50" s="5" t="s">
        <v>73</v>
      </c>
      <c r="Z50" s="5"/>
      <c r="AA50" s="5"/>
      <c r="AB50" s="5"/>
      <c r="AC50" s="5"/>
      <c r="AD50" s="5"/>
      <c r="AE50" s="5"/>
      <c r="AF50" s="5"/>
      <c r="AG50" s="5"/>
      <c r="AH50" s="5"/>
      <c r="AI50" s="5"/>
      <c r="AJ50" s="5"/>
      <c r="AK50" s="5"/>
      <c r="AL50" s="5"/>
      <c r="AM50" s="5"/>
      <c r="AN50" s="5" t="s">
        <v>73</v>
      </c>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16"/>
    </row>
    <row r="51" spans="2:73" x14ac:dyDescent="0.3">
      <c r="B51" s="14">
        <v>44</v>
      </c>
      <c r="C51" s="6"/>
      <c r="D51" s="6"/>
      <c r="E51" s="6"/>
      <c r="F51" s="6"/>
      <c r="G51" s="268"/>
      <c r="H51" s="268"/>
      <c r="I51" s="268"/>
      <c r="J51" s="269"/>
      <c r="L51" s="71"/>
      <c r="M51" s="72"/>
      <c r="N51" s="72"/>
      <c r="O51" s="72"/>
      <c r="P51" s="72"/>
      <c r="Q51" s="72"/>
      <c r="R51" s="72"/>
      <c r="S51" s="72"/>
      <c r="T51" s="72"/>
      <c r="U51" s="72"/>
      <c r="V51" s="72"/>
      <c r="W51" s="72"/>
      <c r="X51" s="72"/>
      <c r="Y51" s="72"/>
      <c r="Z51" s="72"/>
      <c r="AA51" s="72"/>
      <c r="AB51" s="72"/>
      <c r="AC51" s="72"/>
      <c r="AD51" s="72" t="s">
        <v>73</v>
      </c>
      <c r="AE51" s="72"/>
      <c r="AF51" s="72"/>
      <c r="AG51" s="72"/>
      <c r="AH51" s="72"/>
      <c r="AI51" s="72"/>
      <c r="AJ51" s="72" t="s">
        <v>73</v>
      </c>
      <c r="AK51" s="72"/>
      <c r="AL51" s="72"/>
      <c r="AM51" s="72"/>
      <c r="AN51" s="72"/>
      <c r="AO51" s="72" t="s">
        <v>73</v>
      </c>
      <c r="AP51" s="72" t="s">
        <v>73</v>
      </c>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72"/>
      <c r="BU51" s="73"/>
    </row>
    <row r="52" spans="2:73" x14ac:dyDescent="0.3">
      <c r="B52" s="15">
        <v>45</v>
      </c>
      <c r="C52" s="5"/>
      <c r="D52" s="5"/>
      <c r="E52" s="5"/>
      <c r="F52" s="5"/>
      <c r="G52" s="274"/>
      <c r="H52" s="274"/>
      <c r="I52" s="274"/>
      <c r="J52" s="275"/>
      <c r="L52" s="70"/>
      <c r="M52" s="5"/>
      <c r="N52" s="5"/>
      <c r="O52" s="5"/>
      <c r="P52" s="5"/>
      <c r="Q52" s="5"/>
      <c r="R52" s="5"/>
      <c r="S52" s="5"/>
      <c r="T52" s="5"/>
      <c r="U52" s="5"/>
      <c r="V52" s="5"/>
      <c r="W52" s="5"/>
      <c r="X52" s="5"/>
      <c r="Y52" s="5"/>
      <c r="Z52" s="5" t="s">
        <v>73</v>
      </c>
      <c r="AA52" s="5"/>
      <c r="AB52" s="5"/>
      <c r="AC52" s="5" t="s">
        <v>73</v>
      </c>
      <c r="AD52" s="5"/>
      <c r="AE52" s="5" t="s">
        <v>73</v>
      </c>
      <c r="AF52" s="5"/>
      <c r="AG52" s="5"/>
      <c r="AH52" s="5" t="s">
        <v>73</v>
      </c>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16"/>
    </row>
    <row r="53" spans="2:73" x14ac:dyDescent="0.3">
      <c r="B53" s="14">
        <v>46</v>
      </c>
      <c r="C53" s="6"/>
      <c r="D53" s="6" t="s">
        <v>7</v>
      </c>
      <c r="E53" s="6"/>
      <c r="F53" s="6"/>
      <c r="G53" s="268" t="s">
        <v>36</v>
      </c>
      <c r="H53" s="268"/>
      <c r="I53" s="268"/>
      <c r="J53" s="269"/>
      <c r="L53" s="71"/>
      <c r="M53" s="72"/>
      <c r="N53" s="72"/>
      <c r="O53" s="72"/>
      <c r="P53" s="72"/>
      <c r="Q53" s="72"/>
      <c r="R53" s="72"/>
      <c r="S53" s="72"/>
      <c r="T53" s="72"/>
      <c r="U53" s="72"/>
      <c r="V53" s="72"/>
      <c r="W53" s="72"/>
      <c r="X53" s="72" t="s">
        <v>73</v>
      </c>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H53" s="72"/>
      <c r="BI53" s="72"/>
      <c r="BJ53" s="72"/>
      <c r="BK53" s="72"/>
      <c r="BL53" s="72"/>
      <c r="BM53" s="72"/>
      <c r="BN53" s="72"/>
      <c r="BO53" s="72"/>
      <c r="BP53" s="72"/>
      <c r="BQ53" s="72"/>
      <c r="BR53" s="72"/>
      <c r="BS53" s="72"/>
      <c r="BT53" s="72"/>
      <c r="BU53" s="73"/>
    </row>
    <row r="54" spans="2:73" x14ac:dyDescent="0.3">
      <c r="B54" s="15">
        <v>47</v>
      </c>
      <c r="C54" s="5"/>
      <c r="D54" s="5"/>
      <c r="E54" s="5"/>
      <c r="F54" s="5"/>
      <c r="G54" s="274"/>
      <c r="H54" s="274"/>
      <c r="I54" s="274"/>
      <c r="J54" s="275"/>
      <c r="L54" s="70"/>
      <c r="M54" s="5"/>
      <c r="N54" s="5"/>
      <c r="O54" s="5"/>
      <c r="P54" s="5"/>
      <c r="Q54" s="5"/>
      <c r="R54" s="5"/>
      <c r="S54" s="5"/>
      <c r="T54" s="5"/>
      <c r="U54" s="5"/>
      <c r="V54" s="5"/>
      <c r="W54" s="5"/>
      <c r="X54" s="5"/>
      <c r="Y54" s="5"/>
      <c r="Z54" s="5"/>
      <c r="AA54" s="5" t="s">
        <v>73</v>
      </c>
      <c r="AB54" s="5"/>
      <c r="AC54" s="5"/>
      <c r="AD54" s="5"/>
      <c r="AE54" s="5"/>
      <c r="AF54" s="5"/>
      <c r="AG54" s="5"/>
      <c r="AH54" s="5"/>
      <c r="AI54" s="5" t="s">
        <v>73</v>
      </c>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16"/>
    </row>
    <row r="55" spans="2:73" x14ac:dyDescent="0.3">
      <c r="B55" s="14">
        <v>48</v>
      </c>
      <c r="C55" s="6"/>
      <c r="D55" s="6"/>
      <c r="E55" s="6"/>
      <c r="F55" s="6"/>
      <c r="G55" s="268"/>
      <c r="H55" s="268"/>
      <c r="I55" s="268"/>
      <c r="J55" s="269"/>
      <c r="L55" s="71"/>
      <c r="M55" s="72"/>
      <c r="N55" s="72"/>
      <c r="O55" s="72"/>
      <c r="P55" s="72"/>
      <c r="Q55" s="72"/>
      <c r="R55" s="72"/>
      <c r="S55" s="72"/>
      <c r="T55" s="72"/>
      <c r="U55" s="72"/>
      <c r="V55" s="72"/>
      <c r="W55" s="72"/>
      <c r="X55" s="72"/>
      <c r="Y55" s="72"/>
      <c r="Z55" s="72"/>
      <c r="AA55" s="72"/>
      <c r="AB55" s="72" t="s">
        <v>73</v>
      </c>
      <c r="AC55" s="72"/>
      <c r="AD55" s="72"/>
      <c r="AE55" s="72"/>
      <c r="AF55" s="72"/>
      <c r="AG55" s="72"/>
      <c r="AH55" s="72"/>
      <c r="AI55" s="72"/>
      <c r="AJ55" s="72"/>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H55" s="72"/>
      <c r="BI55" s="72"/>
      <c r="BJ55" s="72"/>
      <c r="BK55" s="72"/>
      <c r="BL55" s="72"/>
      <c r="BM55" s="72"/>
      <c r="BN55" s="72"/>
      <c r="BO55" s="72"/>
      <c r="BP55" s="72"/>
      <c r="BQ55" s="72"/>
      <c r="BR55" s="72"/>
      <c r="BS55" s="72"/>
      <c r="BT55" s="72"/>
      <c r="BU55" s="73"/>
    </row>
    <row r="56" spans="2:73" x14ac:dyDescent="0.3">
      <c r="B56" s="15">
        <v>49</v>
      </c>
      <c r="C56" s="5"/>
      <c r="D56" s="5"/>
      <c r="E56" s="5"/>
      <c r="F56" s="5"/>
      <c r="G56" s="274"/>
      <c r="H56" s="274"/>
      <c r="I56" s="274"/>
      <c r="J56" s="275"/>
      <c r="L56" s="70"/>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16"/>
    </row>
    <row r="57" spans="2:73" ht="15" thickBot="1" x14ac:dyDescent="0.35">
      <c r="B57" s="17">
        <v>50</v>
      </c>
      <c r="C57" s="18"/>
      <c r="D57" s="18"/>
      <c r="E57" s="18"/>
      <c r="F57" s="18"/>
      <c r="G57" s="282"/>
      <c r="H57" s="282"/>
      <c r="I57" s="282"/>
      <c r="J57" s="283"/>
      <c r="L57" s="74"/>
      <c r="M57" s="75"/>
      <c r="N57" s="75"/>
      <c r="O57" s="75"/>
      <c r="P57" s="75"/>
      <c r="Q57" s="75"/>
      <c r="R57" s="75" t="s">
        <v>73</v>
      </c>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6"/>
    </row>
    <row r="58" spans="2:73" x14ac:dyDescent="0.3">
      <c r="L58" s="9"/>
      <c r="M58" s="9"/>
      <c r="N58" s="9"/>
      <c r="O58" s="9"/>
      <c r="P58" s="9"/>
      <c r="Q58" s="9"/>
      <c r="R58" s="9"/>
    </row>
    <row r="59" spans="2:73" ht="15" thickBot="1" x14ac:dyDescent="0.35">
      <c r="K59" s="38"/>
      <c r="S59" s="38"/>
      <c r="T59" s="38"/>
      <c r="U59" s="38"/>
      <c r="V59" s="38"/>
    </row>
    <row r="60" spans="2:73" ht="15" thickBot="1" x14ac:dyDescent="0.35">
      <c r="B60" s="284" t="s">
        <v>6</v>
      </c>
      <c r="C60" s="10"/>
      <c r="D60" s="23" t="s">
        <v>0</v>
      </c>
      <c r="E60" s="24" t="s">
        <v>9</v>
      </c>
      <c r="F60" s="22" t="s">
        <v>10</v>
      </c>
      <c r="H60" s="37"/>
      <c r="I60" s="37"/>
      <c r="J60" s="37"/>
      <c r="K60" s="38"/>
      <c r="L60" s="300" t="s">
        <v>75</v>
      </c>
      <c r="M60" s="301"/>
      <c r="N60" s="302"/>
      <c r="O60" s="310" t="s">
        <v>9</v>
      </c>
      <c r="P60" s="311"/>
      <c r="Q60" s="310" t="s">
        <v>10</v>
      </c>
      <c r="R60" s="312"/>
      <c r="S60" s="38"/>
      <c r="T60" s="38"/>
      <c r="U60" s="38"/>
      <c r="V60" s="38"/>
    </row>
    <row r="61" spans="2:73" ht="15" thickBot="1" x14ac:dyDescent="0.35">
      <c r="B61" s="285"/>
      <c r="C61" s="8"/>
      <c r="D61" s="49" t="s">
        <v>7</v>
      </c>
      <c r="E61" s="25">
        <f>COUNTIF(D$8:D$57,"Male")</f>
        <v>2</v>
      </c>
      <c r="F61" s="62">
        <f>E$61/SUM(E61:E62)</f>
        <v>0.33333333333333331</v>
      </c>
      <c r="H61" s="39"/>
      <c r="I61" s="39"/>
      <c r="J61" s="39"/>
      <c r="K61" s="38"/>
      <c r="L61" s="303"/>
      <c r="M61" s="304"/>
      <c r="N61" s="305"/>
      <c r="O61" s="81" t="s">
        <v>38</v>
      </c>
      <c r="P61" s="82" t="s">
        <v>39</v>
      </c>
      <c r="Q61" s="82" t="s">
        <v>38</v>
      </c>
      <c r="R61" s="83" t="s">
        <v>39</v>
      </c>
      <c r="S61" s="38"/>
      <c r="T61" s="38"/>
      <c r="U61" s="38"/>
      <c r="V61" s="38"/>
    </row>
    <row r="62" spans="2:73" ht="15" thickBot="1" x14ac:dyDescent="0.35">
      <c r="B62" s="286"/>
      <c r="C62" s="8"/>
      <c r="D62" s="50" t="s">
        <v>8</v>
      </c>
      <c r="E62" s="31">
        <f>COUNTIF(D$8:D$57,"Female")</f>
        <v>4</v>
      </c>
      <c r="F62" s="63">
        <f>E$62/SUM(E61:E62)</f>
        <v>0.66666666666666663</v>
      </c>
      <c r="H62" s="39"/>
      <c r="I62" s="39"/>
      <c r="J62" s="39"/>
      <c r="L62" s="307" t="s">
        <v>40</v>
      </c>
      <c r="M62" s="308"/>
      <c r="N62" s="308"/>
      <c r="O62" s="308"/>
      <c r="P62" s="308"/>
      <c r="Q62" s="308"/>
      <c r="R62" s="309"/>
    </row>
    <row r="63" spans="2:73" ht="15" thickBot="1" x14ac:dyDescent="0.35">
      <c r="B63" s="34"/>
      <c r="C63" s="8"/>
      <c r="D63" s="32"/>
      <c r="E63" s="33"/>
      <c r="F63" s="2"/>
      <c r="L63" s="313" t="s">
        <v>74</v>
      </c>
      <c r="M63" s="314"/>
      <c r="N63" s="314"/>
      <c r="O63" s="84">
        <f>COUNTIF(L$8:L$57,"✓")</f>
        <v>1</v>
      </c>
      <c r="P63" s="84">
        <f>COUNTIF(S$8:S$57,"✓")</f>
        <v>1</v>
      </c>
      <c r="Q63" s="85">
        <f>O63/SUM(O63:O69)</f>
        <v>0.1</v>
      </c>
      <c r="R63" s="86">
        <f>P63/SUM(P63:P69)</f>
        <v>0.1</v>
      </c>
    </row>
    <row r="64" spans="2:73" ht="15" thickBot="1" x14ac:dyDescent="0.35">
      <c r="C64" s="27"/>
      <c r="D64" s="28" t="s">
        <v>11</v>
      </c>
      <c r="E64" s="64">
        <f>E61+E62</f>
        <v>6</v>
      </c>
      <c r="F64" s="65">
        <f>SUM(F61:F62)</f>
        <v>1</v>
      </c>
      <c r="L64" s="270" t="s">
        <v>76</v>
      </c>
      <c r="M64" s="271"/>
      <c r="N64" s="271"/>
      <c r="O64" s="61">
        <f>COUNTIF(M$8:M$57,"✓")</f>
        <v>2</v>
      </c>
      <c r="P64" s="61">
        <f>COUNTIF(T$8:T$57,"✓")</f>
        <v>0</v>
      </c>
      <c r="Q64" s="87">
        <f>O64/SUM(O63:O69)</f>
        <v>0.2</v>
      </c>
      <c r="R64" s="88">
        <f>P64/SUM(P63:P69)</f>
        <v>0</v>
      </c>
    </row>
    <row r="65" spans="4:27" ht="15" thickBot="1" x14ac:dyDescent="0.35">
      <c r="L65" s="306" t="s">
        <v>77</v>
      </c>
      <c r="M65" s="271"/>
      <c r="N65" s="271"/>
      <c r="O65" s="61">
        <f>COUNTIF(N$8:N$57,"✓")</f>
        <v>1</v>
      </c>
      <c r="P65" s="61">
        <f>COUNTIF(U$8:U$57,"✓")</f>
        <v>1</v>
      </c>
      <c r="Q65" s="87">
        <f>O65/SUM(O63:O69)</f>
        <v>0.1</v>
      </c>
      <c r="R65" s="88">
        <f>P65/SUM(P63:P69)</f>
        <v>0.1</v>
      </c>
    </row>
    <row r="66" spans="4:27" ht="15" thickBot="1" x14ac:dyDescent="0.35">
      <c r="D66" s="23" t="s">
        <v>1</v>
      </c>
      <c r="E66" s="24" t="s">
        <v>9</v>
      </c>
      <c r="F66" s="22" t="s">
        <v>10</v>
      </c>
      <c r="L66" s="270" t="s">
        <v>78</v>
      </c>
      <c r="M66" s="271"/>
      <c r="N66" s="271"/>
      <c r="O66" s="61">
        <f>COUNTIF(O$8:O$57,"✓")</f>
        <v>2</v>
      </c>
      <c r="P66" s="61">
        <f>COUNTIF(V$8:V$57,"✓")</f>
        <v>2</v>
      </c>
      <c r="Q66" s="87">
        <f>O66/SUM(O63:O69)</f>
        <v>0.2</v>
      </c>
      <c r="R66" s="88">
        <f>P66/SUM(P63:P69)</f>
        <v>0.2</v>
      </c>
    </row>
    <row r="67" spans="4:27" ht="15" thickBot="1" x14ac:dyDescent="0.35">
      <c r="D67" s="40" t="s">
        <v>12</v>
      </c>
      <c r="E67" s="25">
        <f>COUNTIF(E$8:E$57,"18 or lower")</f>
        <v>1</v>
      </c>
      <c r="F67" s="66">
        <f>E$67/SUM(E67:E74)</f>
        <v>0.1</v>
      </c>
      <c r="L67" s="270" t="s">
        <v>79</v>
      </c>
      <c r="M67" s="271"/>
      <c r="N67" s="271"/>
      <c r="O67" s="61">
        <f>COUNTIF(P$8:P$57,"✓")</f>
        <v>1</v>
      </c>
      <c r="P67" s="61">
        <f>COUNTIF(W$8:W$57,"✓")</f>
        <v>2</v>
      </c>
      <c r="Q67" s="87">
        <f>O67/SUM(O63:O69)</f>
        <v>0.1</v>
      </c>
      <c r="R67" s="88">
        <f>P67/SUM(P63:P69)</f>
        <v>0.2</v>
      </c>
    </row>
    <row r="68" spans="4:27" ht="15" thickBot="1" x14ac:dyDescent="0.35">
      <c r="D68" s="41" t="s">
        <v>13</v>
      </c>
      <c r="E68" s="54">
        <f>COUNTIF(E$8:E$57,"19 - 24")</f>
        <v>3</v>
      </c>
      <c r="F68" s="66">
        <f>E$68/SUM(E67:E74)</f>
        <v>0.3</v>
      </c>
      <c r="L68" s="270" t="s">
        <v>80</v>
      </c>
      <c r="M68" s="271"/>
      <c r="N68" s="271"/>
      <c r="O68" s="61">
        <f>COUNTIF(Q$8:Q$57,"✓")</f>
        <v>1</v>
      </c>
      <c r="P68" s="61">
        <f>COUNTIF(X$8:X$57,"✓")</f>
        <v>3</v>
      </c>
      <c r="Q68" s="87">
        <f>O68/SUM(O63:O69)</f>
        <v>0.1</v>
      </c>
      <c r="R68" s="88">
        <f>P68/SUM(P63:P69)</f>
        <v>0.3</v>
      </c>
    </row>
    <row r="69" spans="4:27" ht="15" thickBot="1" x14ac:dyDescent="0.35">
      <c r="D69" s="41" t="s">
        <v>14</v>
      </c>
      <c r="E69" s="54">
        <f>COUNTIF(E$8:E$57,"25 - 29")</f>
        <v>2</v>
      </c>
      <c r="F69" s="66">
        <f>E$69/SUM(E67:E74)</f>
        <v>0.2</v>
      </c>
      <c r="L69" s="277" t="s">
        <v>81</v>
      </c>
      <c r="M69" s="278"/>
      <c r="N69" s="278"/>
      <c r="O69" s="60">
        <f>COUNTIF(R$8:R$57,"✓")</f>
        <v>2</v>
      </c>
      <c r="P69" s="60">
        <f>COUNTIF(Y$8:Y$57,"✓")</f>
        <v>1</v>
      </c>
      <c r="Q69" s="89">
        <f>O69/SUM(O63:O69)</f>
        <v>0.2</v>
      </c>
      <c r="R69" s="63">
        <f>P69/SUM(P63:P69)</f>
        <v>0.1</v>
      </c>
    </row>
    <row r="70" spans="4:27" ht="15" thickBot="1" x14ac:dyDescent="0.35">
      <c r="D70" s="42" t="s">
        <v>15</v>
      </c>
      <c r="E70" s="54">
        <f>COUNTIF(E$8:E$57,"30 - 34")</f>
        <v>1</v>
      </c>
      <c r="F70" s="66">
        <f>E$70/SUM(E67:E74)</f>
        <v>0.1</v>
      </c>
      <c r="L70" s="287" t="s">
        <v>11</v>
      </c>
      <c r="M70" s="288"/>
      <c r="N70" s="289"/>
      <c r="O70" s="90">
        <f>SUM(O63:O69)</f>
        <v>10</v>
      </c>
      <c r="P70" s="91">
        <f>SUM(P63:P69)</f>
        <v>10</v>
      </c>
      <c r="Q70" s="92">
        <f>SUM(Q63:Q69)</f>
        <v>1</v>
      </c>
      <c r="R70" s="93">
        <f>SUM(R63:R69)</f>
        <v>1.0000000000000002</v>
      </c>
    </row>
    <row r="71" spans="4:27" ht="15" thickBot="1" x14ac:dyDescent="0.35">
      <c r="D71" s="42" t="s">
        <v>16</v>
      </c>
      <c r="E71" s="54">
        <f>COUNTIF(E$8:E$57,"35 - 39")</f>
        <v>1</v>
      </c>
      <c r="F71" s="66">
        <f>E$71/SUM(E67:E74)</f>
        <v>0.1</v>
      </c>
      <c r="L71" s="292" t="s">
        <v>99</v>
      </c>
      <c r="M71" s="293"/>
      <c r="N71" s="293"/>
      <c r="O71" s="293"/>
      <c r="P71" s="293"/>
      <c r="Q71" s="293"/>
      <c r="R71" s="294"/>
    </row>
    <row r="72" spans="4:27" ht="15" thickBot="1" x14ac:dyDescent="0.35">
      <c r="D72" s="42" t="s">
        <v>17</v>
      </c>
      <c r="E72" s="54">
        <f>COUNTIF(E$8:E$57,"40- 44")</f>
        <v>0</v>
      </c>
      <c r="F72" s="66">
        <f>E$72/SUM(E67:E74)</f>
        <v>0</v>
      </c>
      <c r="L72" s="295" t="s">
        <v>48</v>
      </c>
      <c r="M72" s="291"/>
      <c r="N72" s="291"/>
      <c r="O72" s="25">
        <f>COUNTIF(Z$8:Z$57,"✓")</f>
        <v>1</v>
      </c>
      <c r="P72" s="25">
        <f>COUNTIF(AI$8:AI$57,"✓")</f>
        <v>2</v>
      </c>
      <c r="Q72" s="94">
        <f>O72/SUM(O72:O80)</f>
        <v>0.1</v>
      </c>
      <c r="R72" s="66">
        <f>P72/SUM(P72:P80)</f>
        <v>0.2</v>
      </c>
    </row>
    <row r="73" spans="4:27" ht="15" thickBot="1" x14ac:dyDescent="0.35">
      <c r="D73" s="42" t="s">
        <v>18</v>
      </c>
      <c r="E73" s="54">
        <f>COUNTIF(E$8:E$57,"45 - 49")</f>
        <v>1</v>
      </c>
      <c r="F73" s="66">
        <f>E$73/SUM(E67:E74)</f>
        <v>0.1</v>
      </c>
      <c r="L73" s="306" t="s">
        <v>82</v>
      </c>
      <c r="M73" s="271"/>
      <c r="N73" s="271"/>
      <c r="O73" s="61">
        <f>COUNTIF(AA$8:AA$57,"✓")</f>
        <v>1</v>
      </c>
      <c r="P73" s="61">
        <f>COUNTIF(AJ$8:AJ$57,"✓")</f>
        <v>1</v>
      </c>
      <c r="Q73" s="87">
        <f>O73/SUM(O72:O80)</f>
        <v>0.1</v>
      </c>
      <c r="R73" s="88">
        <f>P73/SUM(P72:P80)</f>
        <v>0.1</v>
      </c>
    </row>
    <row r="74" spans="4:27" ht="15" thickBot="1" x14ac:dyDescent="0.35">
      <c r="D74" s="43" t="s">
        <v>19</v>
      </c>
      <c r="E74" s="56">
        <f>COUNTIF(E$8:E$57,"50 and above")</f>
        <v>1</v>
      </c>
      <c r="F74" s="66">
        <f>E$74/SUM(E67:E74)</f>
        <v>0.1</v>
      </c>
      <c r="L74" s="270" t="s">
        <v>54</v>
      </c>
      <c r="M74" s="271"/>
      <c r="N74" s="271"/>
      <c r="O74" s="61">
        <f>COUNTIF(AB$8:AB$57,"✓")</f>
        <v>1</v>
      </c>
      <c r="P74" s="61">
        <f>COUNTIF(AK$8:AK$57,"✓")</f>
        <v>2</v>
      </c>
      <c r="Q74" s="87">
        <f>O74/SUM(O72:O80)</f>
        <v>0.1</v>
      </c>
      <c r="R74" s="88">
        <f>P74/SUM(P72:P80)</f>
        <v>0.2</v>
      </c>
    </row>
    <row r="75" spans="4:27" ht="15" thickBot="1" x14ac:dyDescent="0.35">
      <c r="D75" s="32"/>
      <c r="E75" s="33"/>
      <c r="F75" s="2"/>
      <c r="L75" s="270" t="s">
        <v>49</v>
      </c>
      <c r="M75" s="271"/>
      <c r="N75" s="271"/>
      <c r="O75" s="61">
        <f>COUNTIF(AC$8:AC$57,"✓")</f>
        <v>1</v>
      </c>
      <c r="P75" s="61">
        <f>COUNTIF(AL$8:AL$57,"✓")</f>
        <v>0</v>
      </c>
      <c r="Q75" s="87">
        <f>O75/SUM(O72:O80)</f>
        <v>0.1</v>
      </c>
      <c r="R75" s="88">
        <f>P75/SUM(P72:P80)</f>
        <v>0</v>
      </c>
    </row>
    <row r="76" spans="4:27" ht="15" thickBot="1" x14ac:dyDescent="0.35">
      <c r="D76" s="28" t="s">
        <v>11</v>
      </c>
      <c r="E76" s="64">
        <f>SUM(E$67:E$74)</f>
        <v>10</v>
      </c>
      <c r="F76" s="65">
        <f>SUM(F$67:F$74)</f>
        <v>1</v>
      </c>
      <c r="L76" s="270" t="s">
        <v>50</v>
      </c>
      <c r="M76" s="271"/>
      <c r="N76" s="271"/>
      <c r="O76" s="61">
        <f>COUNTIF(AD$8:AD$57,"✓")</f>
        <v>2</v>
      </c>
      <c r="P76" s="61">
        <f>COUNTIF(AM$8:AM$57,"✓")</f>
        <v>1</v>
      </c>
      <c r="Q76" s="87">
        <f>O76/SUM(O72:O80)</f>
        <v>0.2</v>
      </c>
      <c r="R76" s="88">
        <f>P76/SUM(P72:P80)</f>
        <v>0.1</v>
      </c>
    </row>
    <row r="77" spans="4:27" ht="15" thickBot="1" x14ac:dyDescent="0.35">
      <c r="L77" s="270" t="s">
        <v>83</v>
      </c>
      <c r="M77" s="271"/>
      <c r="N77" s="271"/>
      <c r="O77" s="61">
        <f>COUNTIF(AE$8:AE$57,"✓")</f>
        <v>1</v>
      </c>
      <c r="P77" s="61">
        <f>COUNTIF(AN$8:AN$57,"✓")</f>
        <v>1</v>
      </c>
      <c r="Q77" s="87">
        <f>O77/SUM(O72:O80)</f>
        <v>0.1</v>
      </c>
      <c r="R77" s="88">
        <f>P77/SUM(P72:P80)</f>
        <v>0.1</v>
      </c>
    </row>
    <row r="78" spans="4:27" ht="27.6" customHeight="1" thickBot="1" x14ac:dyDescent="0.35">
      <c r="D78" s="48" t="s">
        <v>30</v>
      </c>
      <c r="E78" s="24" t="s">
        <v>9</v>
      </c>
      <c r="F78" s="22" t="s">
        <v>10</v>
      </c>
      <c r="L78" s="296" t="s">
        <v>51</v>
      </c>
      <c r="M78" s="297"/>
      <c r="N78" s="297"/>
      <c r="O78" s="61">
        <f>COUNTIF(AF$8:AF$57,"✓")</f>
        <v>1</v>
      </c>
      <c r="P78" s="61">
        <f>COUNTIF(AO$8:AO$57,"✓")</f>
        <v>1</v>
      </c>
      <c r="Q78" s="87">
        <f>O78/SUM(O72:O80)</f>
        <v>0.1</v>
      </c>
      <c r="R78" s="88">
        <f>P78/SUM(P72:P80)</f>
        <v>0.1</v>
      </c>
      <c r="V78" s="78"/>
      <c r="W78" s="78"/>
      <c r="X78" s="78"/>
      <c r="Y78" s="78"/>
      <c r="Z78" s="78"/>
      <c r="AA78" s="78"/>
    </row>
    <row r="79" spans="4:27" ht="15" thickBot="1" x14ac:dyDescent="0.35">
      <c r="D79" s="49" t="s">
        <v>31</v>
      </c>
      <c r="E79" s="25">
        <f>COUNTIF(F$8:F$57,"Place 1")</f>
        <v>3</v>
      </c>
      <c r="F79" s="62">
        <f>E$79/SUM(E79:E81)</f>
        <v>0.33333333333333331</v>
      </c>
      <c r="L79" s="296" t="s">
        <v>52</v>
      </c>
      <c r="M79" s="297"/>
      <c r="N79" s="297"/>
      <c r="O79" s="61">
        <f>COUNTIF(AG$8:AG$57,"✓")</f>
        <v>1</v>
      </c>
      <c r="P79" s="61">
        <f>COUNTIF(AP$8:AP$57,"✓")</f>
        <v>1</v>
      </c>
      <c r="Q79" s="87">
        <f>O79/SUM(O72:O80)</f>
        <v>0.1</v>
      </c>
      <c r="R79" s="88">
        <f>P79/SUM(P72:P80)</f>
        <v>0.1</v>
      </c>
      <c r="V79" s="38"/>
      <c r="W79" s="38"/>
      <c r="X79" s="78"/>
      <c r="Y79" s="38"/>
      <c r="Z79" s="38"/>
      <c r="AA79" s="38"/>
    </row>
    <row r="80" spans="4:27" ht="15" thickBot="1" x14ac:dyDescent="0.35">
      <c r="D80" s="51" t="s">
        <v>32</v>
      </c>
      <c r="E80" s="29">
        <f>COUNTIF(F$8:F$57,"Place 2")</f>
        <v>4</v>
      </c>
      <c r="F80" s="62">
        <f>E$80/SUM(E79:E81)</f>
        <v>0.44444444444444442</v>
      </c>
      <c r="L80" s="298" t="s">
        <v>53</v>
      </c>
      <c r="M80" s="299"/>
      <c r="N80" s="299"/>
      <c r="O80" s="60">
        <f>COUNTIF(AH$8:AH$57,"✓")</f>
        <v>1</v>
      </c>
      <c r="P80" s="60">
        <f>COUNTIF(AQ$8:AQ$57,"✓")</f>
        <v>1</v>
      </c>
      <c r="Q80" s="89">
        <f>O80/SUM(O72:O80)</f>
        <v>0.1</v>
      </c>
      <c r="R80" s="63">
        <f>P80/SUM(P72:P80)</f>
        <v>0.1</v>
      </c>
    </row>
    <row r="81" spans="4:18" ht="15" thickBot="1" x14ac:dyDescent="0.35">
      <c r="D81" s="50" t="s">
        <v>21</v>
      </c>
      <c r="E81" s="31">
        <f>COUNTIF(F$8:F$57,"…")</f>
        <v>2</v>
      </c>
      <c r="F81" s="62">
        <f>E$81/SUM(E79:E81)</f>
        <v>0.22222222222222221</v>
      </c>
      <c r="L81" s="287" t="s">
        <v>11</v>
      </c>
      <c r="M81" s="288"/>
      <c r="N81" s="289"/>
      <c r="O81" s="95">
        <f>SUM(O72:O80)</f>
        <v>10</v>
      </c>
      <c r="P81" s="91">
        <f>SUM(P72:P80)</f>
        <v>10</v>
      </c>
      <c r="Q81" s="92">
        <f>SUM(Q72:Q80)</f>
        <v>1</v>
      </c>
      <c r="R81" s="93">
        <f>SUM(R72:R80)</f>
        <v>0.99999999999999989</v>
      </c>
    </row>
    <row r="82" spans="4:18" ht="15" thickBot="1" x14ac:dyDescent="0.35">
      <c r="D82" s="32"/>
      <c r="E82" s="33"/>
      <c r="F82" s="2"/>
      <c r="L82" s="292" t="s">
        <v>57</v>
      </c>
      <c r="M82" s="293"/>
      <c r="N82" s="293"/>
      <c r="O82" s="293"/>
      <c r="P82" s="293"/>
      <c r="Q82" s="293"/>
      <c r="R82" s="294"/>
    </row>
    <row r="83" spans="4:18" ht="15" thickBot="1" x14ac:dyDescent="0.35">
      <c r="D83" s="28" t="s">
        <v>11</v>
      </c>
      <c r="E83" s="64">
        <f>SUM(E79:E81)</f>
        <v>9</v>
      </c>
      <c r="F83" s="65">
        <f>SUM(F79:F81)</f>
        <v>0.99999999999999989</v>
      </c>
      <c r="L83" s="295" t="s">
        <v>48</v>
      </c>
      <c r="M83" s="291"/>
      <c r="N83" s="291"/>
      <c r="O83" s="25">
        <f>COUNTIF(AR$8:AR$57,"✓")</f>
        <v>2</v>
      </c>
      <c r="P83" s="25">
        <f>COUNTIF(AV$8:AV$57,"✓")</f>
        <v>1</v>
      </c>
      <c r="Q83" s="94">
        <f>O83/SUM(O83:O86)</f>
        <v>0.2</v>
      </c>
      <c r="R83" s="66">
        <f>P83/SUM(P83:P86)</f>
        <v>0.1</v>
      </c>
    </row>
    <row r="84" spans="4:18" ht="15" thickBot="1" x14ac:dyDescent="0.35">
      <c r="L84" s="270" t="s">
        <v>58</v>
      </c>
      <c r="M84" s="271"/>
      <c r="N84" s="271"/>
      <c r="O84" s="61">
        <f>COUNTIF(AS$8:AS$57,"✓")</f>
        <v>2</v>
      </c>
      <c r="P84" s="61">
        <f>COUNTIF(AW$8:AW$57,"✓")</f>
        <v>3</v>
      </c>
      <c r="Q84" s="87">
        <f>O84/SUM(O83:O86)</f>
        <v>0.2</v>
      </c>
      <c r="R84" s="88">
        <f>P84/SUM(P83:P86)</f>
        <v>0.3</v>
      </c>
    </row>
    <row r="85" spans="4:18" ht="15" thickBot="1" x14ac:dyDescent="0.35">
      <c r="D85" s="48" t="s">
        <v>33</v>
      </c>
      <c r="E85" s="24" t="s">
        <v>9</v>
      </c>
      <c r="F85" s="22" t="s">
        <v>10</v>
      </c>
      <c r="L85" s="270" t="s">
        <v>59</v>
      </c>
      <c r="M85" s="271"/>
      <c r="N85" s="271"/>
      <c r="O85" s="61">
        <f>COUNTIF(AT$8:AT$57,"✓")</f>
        <v>3</v>
      </c>
      <c r="P85" s="61">
        <f>COUNTIF(AX$8:AX$57,"✓")</f>
        <v>3</v>
      </c>
      <c r="Q85" s="87">
        <f>O85/SUM(O83:O86)</f>
        <v>0.3</v>
      </c>
      <c r="R85" s="88">
        <f>P85/SUM(P83:P86)</f>
        <v>0.3</v>
      </c>
    </row>
    <row r="86" spans="4:18" ht="15" thickBot="1" x14ac:dyDescent="0.35">
      <c r="D86" s="49" t="s">
        <v>34</v>
      </c>
      <c r="E86" s="25">
        <f>COUNTIF(G$8:J$57,"Full-time")</f>
        <v>2</v>
      </c>
      <c r="F86" s="62">
        <f>E86/SUM(E86:E89)</f>
        <v>0.4</v>
      </c>
      <c r="L86" s="277" t="s">
        <v>84</v>
      </c>
      <c r="M86" s="278"/>
      <c r="N86" s="278"/>
      <c r="O86" s="60">
        <f>COUNTIF(AU$8:AU$57,"✓")</f>
        <v>3</v>
      </c>
      <c r="P86" s="60">
        <f>COUNTIF(AY$8:AY$57,"✓")</f>
        <v>3</v>
      </c>
      <c r="Q86" s="89">
        <f>O86/SUM(O83:O86)</f>
        <v>0.3</v>
      </c>
      <c r="R86" s="63">
        <f>P86/SUM(P83:P86)</f>
        <v>0.3</v>
      </c>
    </row>
    <row r="87" spans="4:18" ht="15" thickBot="1" x14ac:dyDescent="0.35">
      <c r="D87" s="52" t="s">
        <v>35</v>
      </c>
      <c r="E87" s="4">
        <f>COUNTIF(G$8:J$57,"Part-time")</f>
        <v>1</v>
      </c>
      <c r="F87" s="79">
        <f>E87/SUM(E86:E89)</f>
        <v>0.2</v>
      </c>
      <c r="L87" s="287" t="s">
        <v>11</v>
      </c>
      <c r="M87" s="288"/>
      <c r="N87" s="289"/>
      <c r="O87" s="95">
        <f>SUM(O83:O86)</f>
        <v>10</v>
      </c>
      <c r="P87" s="91">
        <f>SUM(P83:P86)</f>
        <v>10</v>
      </c>
      <c r="Q87" s="92">
        <f>SUM(Q83:Q86)</f>
        <v>1</v>
      </c>
      <c r="R87" s="93">
        <f>SUM(R83:R86)</f>
        <v>1</v>
      </c>
    </row>
    <row r="88" spans="4:18" ht="15" thickBot="1" x14ac:dyDescent="0.35">
      <c r="D88" s="51" t="s">
        <v>36</v>
      </c>
      <c r="E88" s="29">
        <f>COUNTIF(G$8:J$57,"Student")</f>
        <v>1</v>
      </c>
      <c r="F88" s="80">
        <f>E88/SUM(E86:E89)</f>
        <v>0.2</v>
      </c>
      <c r="L88" s="292" t="s">
        <v>85</v>
      </c>
      <c r="M88" s="293"/>
      <c r="N88" s="293"/>
      <c r="O88" s="293"/>
      <c r="P88" s="293"/>
      <c r="Q88" s="293"/>
      <c r="R88" s="294"/>
    </row>
    <row r="89" spans="4:18" ht="15" thickBot="1" x14ac:dyDescent="0.35">
      <c r="D89" s="50" t="s">
        <v>21</v>
      </c>
      <c r="E89" s="31">
        <f>COUNTIF(G$8:J$57,"…")</f>
        <v>1</v>
      </c>
      <c r="F89" s="63">
        <f>E89/SUM(E86:E89)</f>
        <v>0.2</v>
      </c>
      <c r="L89" s="290" t="s">
        <v>86</v>
      </c>
      <c r="M89" s="291"/>
      <c r="N89" s="291"/>
      <c r="O89" s="25">
        <f>COUNTIF(AZ$8:AZ$57,"✓")</f>
        <v>2</v>
      </c>
      <c r="P89" s="25">
        <f>COUNTIF(BF$8:BF$57,"✓")</f>
        <v>2</v>
      </c>
      <c r="Q89" s="94">
        <f>O89/SUM(O89:O94)</f>
        <v>0.2</v>
      </c>
      <c r="R89" s="66">
        <f>P89/SUM(P89:P94)</f>
        <v>0.2</v>
      </c>
    </row>
    <row r="90" spans="4:18" ht="15" thickBot="1" x14ac:dyDescent="0.35">
      <c r="D90" s="32"/>
      <c r="E90" s="33"/>
      <c r="F90" s="2"/>
      <c r="L90" s="270" t="s">
        <v>87</v>
      </c>
      <c r="M90" s="271"/>
      <c r="N90" s="271"/>
      <c r="O90" s="61">
        <f>COUNTIF(BA$8:BA$57,"✓")</f>
        <v>3</v>
      </c>
      <c r="P90" s="61">
        <f>COUNTIF(BG$8:BG$57,"✓")</f>
        <v>1</v>
      </c>
      <c r="Q90" s="87">
        <f>O90/SUM(O89:O94)</f>
        <v>0.3</v>
      </c>
      <c r="R90" s="88">
        <f>P90/SUM(P89:P94)</f>
        <v>0.1</v>
      </c>
    </row>
    <row r="91" spans="4:18" ht="15" thickBot="1" x14ac:dyDescent="0.35">
      <c r="D91" s="28" t="s">
        <v>11</v>
      </c>
      <c r="E91" s="64">
        <f>SUM(E86:E89)</f>
        <v>5</v>
      </c>
      <c r="F91" s="65">
        <f>SUM(F86:F89)</f>
        <v>1</v>
      </c>
      <c r="L91" s="270" t="s">
        <v>88</v>
      </c>
      <c r="M91" s="271"/>
      <c r="N91" s="271"/>
      <c r="O91" s="61">
        <f>COUNTIF(BB$8:BB$57,"✓")</f>
        <v>1</v>
      </c>
      <c r="P91" s="61">
        <f>COUNTIF(BH$8:BH$57,"✓")</f>
        <v>1</v>
      </c>
      <c r="Q91" s="87">
        <f>O91/SUM(O89:O94)</f>
        <v>0.1</v>
      </c>
      <c r="R91" s="88">
        <f>P91/SUM(P89:P94)</f>
        <v>0.1</v>
      </c>
    </row>
    <row r="92" spans="4:18" x14ac:dyDescent="0.3">
      <c r="L92" s="270" t="s">
        <v>89</v>
      </c>
      <c r="M92" s="271"/>
      <c r="N92" s="271"/>
      <c r="O92" s="61">
        <f>COUNTIF(BC$8:BC$57,"✓")</f>
        <v>1</v>
      </c>
      <c r="P92" s="61">
        <f>COUNTIF(BI$8:BI$57,"✓")</f>
        <v>4</v>
      </c>
      <c r="Q92" s="87">
        <f>O92/SUM(O89:O94)</f>
        <v>0.1</v>
      </c>
      <c r="R92" s="88">
        <f>P92/SUM(P89:P94)</f>
        <v>0.4</v>
      </c>
    </row>
    <row r="93" spans="4:18" x14ac:dyDescent="0.3">
      <c r="L93" s="270" t="s">
        <v>90</v>
      </c>
      <c r="M93" s="271"/>
      <c r="N93" s="271"/>
      <c r="O93" s="61">
        <f>COUNTIF(BD$8:BD$57,"✓")</f>
        <v>2</v>
      </c>
      <c r="P93" s="61">
        <f>COUNTIF(BJ$8:BJ$57,"✓")</f>
        <v>1</v>
      </c>
      <c r="Q93" s="87">
        <f>O93/SUM(O89:O94)</f>
        <v>0.2</v>
      </c>
      <c r="R93" s="88">
        <f>P93/SUM(P89:P94)</f>
        <v>0.1</v>
      </c>
    </row>
    <row r="94" spans="4:18" ht="15" thickBot="1" x14ac:dyDescent="0.35">
      <c r="L94" s="277" t="s">
        <v>91</v>
      </c>
      <c r="M94" s="278"/>
      <c r="N94" s="278"/>
      <c r="O94" s="60">
        <f>COUNTIF(BE$8:BE$57,"✓")</f>
        <v>1</v>
      </c>
      <c r="P94" s="60">
        <f>COUNTIF(BK$8:BK$57,"✓")</f>
        <v>1</v>
      </c>
      <c r="Q94" s="89">
        <f>O94/SUM(O89:O94)</f>
        <v>0.1</v>
      </c>
      <c r="R94" s="63">
        <f>P94/SUM(P89:P94)</f>
        <v>0.1</v>
      </c>
    </row>
    <row r="95" spans="4:18" ht="15" thickBot="1" x14ac:dyDescent="0.35">
      <c r="L95" s="287" t="s">
        <v>11</v>
      </c>
      <c r="M95" s="288"/>
      <c r="N95" s="289"/>
      <c r="O95" s="95">
        <f>SUM(O89:O94)</f>
        <v>10</v>
      </c>
      <c r="P95" s="91">
        <f>SUM(P89:P94)</f>
        <v>10</v>
      </c>
      <c r="Q95" s="92">
        <f>SUM(Q89:Q94)</f>
        <v>0.99999999999999989</v>
      </c>
      <c r="R95" s="93">
        <f>SUM(R89:R94)</f>
        <v>1</v>
      </c>
    </row>
    <row r="96" spans="4:18" ht="15" thickBot="1" x14ac:dyDescent="0.35">
      <c r="L96" s="292" t="s">
        <v>92</v>
      </c>
      <c r="M96" s="293"/>
      <c r="N96" s="293"/>
      <c r="O96" s="293"/>
      <c r="P96" s="293"/>
      <c r="Q96" s="293"/>
      <c r="R96" s="294"/>
    </row>
    <row r="97" spans="12:18" x14ac:dyDescent="0.3">
      <c r="L97" s="295" t="s">
        <v>93</v>
      </c>
      <c r="M97" s="291"/>
      <c r="N97" s="291"/>
      <c r="O97" s="25">
        <f>COUNTIF(BL$8:BL$57,"✓")</f>
        <v>2</v>
      </c>
      <c r="P97" s="25">
        <f>COUNTIF(BQ$8:BQ$57,"✓")</f>
        <v>2</v>
      </c>
      <c r="Q97" s="94">
        <f>O97/SUM(O97:O101)</f>
        <v>0.2</v>
      </c>
      <c r="R97" s="66">
        <f>P97/SUM(P97:P101)</f>
        <v>0.2</v>
      </c>
    </row>
    <row r="98" spans="12:18" x14ac:dyDescent="0.3">
      <c r="L98" s="270" t="s">
        <v>94</v>
      </c>
      <c r="M98" s="271"/>
      <c r="N98" s="271"/>
      <c r="O98" s="61">
        <f>COUNTIF(BM$8:BM$57,"✓")</f>
        <v>1</v>
      </c>
      <c r="P98" s="61">
        <f>COUNTIF(BR$8:BR$57,"✓")</f>
        <v>2</v>
      </c>
      <c r="Q98" s="87">
        <f>O98/SUM(O97:O101)</f>
        <v>0.1</v>
      </c>
      <c r="R98" s="88">
        <f>P98/SUM(P97:P101)</f>
        <v>0.2</v>
      </c>
    </row>
    <row r="99" spans="12:18" x14ac:dyDescent="0.3">
      <c r="L99" s="270" t="s">
        <v>95</v>
      </c>
      <c r="M99" s="271"/>
      <c r="N99" s="271"/>
      <c r="O99" s="61">
        <f>COUNTIF(BN$8:BN$57,"✓")</f>
        <v>3</v>
      </c>
      <c r="P99" s="61">
        <f>COUNTIF(BS$8:BS$57,"✓")</f>
        <v>2</v>
      </c>
      <c r="Q99" s="87">
        <f>O99/SUM(O97:O101)</f>
        <v>0.3</v>
      </c>
      <c r="R99" s="88">
        <f>P99/SUM(P97:P101)</f>
        <v>0.2</v>
      </c>
    </row>
    <row r="100" spans="12:18" x14ac:dyDescent="0.3">
      <c r="L100" s="270" t="s">
        <v>96</v>
      </c>
      <c r="M100" s="271"/>
      <c r="N100" s="271"/>
      <c r="O100" s="61">
        <f>COUNTIF(BO$8:BO$57,"✓")</f>
        <v>2</v>
      </c>
      <c r="P100" s="61">
        <f>COUNTIF(BT$8:BT$57,"✓")</f>
        <v>2</v>
      </c>
      <c r="Q100" s="87">
        <f>O100/SUM(O97:O101)</f>
        <v>0.2</v>
      </c>
      <c r="R100" s="88">
        <f>P100/SUM(P97:P101)</f>
        <v>0.2</v>
      </c>
    </row>
    <row r="101" spans="12:18" ht="15" thickBot="1" x14ac:dyDescent="0.35">
      <c r="L101" s="277" t="s">
        <v>97</v>
      </c>
      <c r="M101" s="278"/>
      <c r="N101" s="278"/>
      <c r="O101" s="60">
        <f>COUNTIF(BP$8:BP$57,"✓")</f>
        <v>2</v>
      </c>
      <c r="P101" s="60">
        <f>COUNTIF(BU$8:BU$57,"✓")</f>
        <v>2</v>
      </c>
      <c r="Q101" s="89">
        <f>O101/SUM(O97:O101)</f>
        <v>0.2</v>
      </c>
      <c r="R101" s="63">
        <f>P101/SUM(P97:P101)</f>
        <v>0.2</v>
      </c>
    </row>
    <row r="102" spans="12:18" ht="15" thickBot="1" x14ac:dyDescent="0.35">
      <c r="L102" s="287" t="s">
        <v>11</v>
      </c>
      <c r="M102" s="288"/>
      <c r="N102" s="289"/>
      <c r="O102" s="95">
        <f>SUM(O97:O101)</f>
        <v>10</v>
      </c>
      <c r="P102" s="91">
        <f>SUM(P97:P101)</f>
        <v>10</v>
      </c>
      <c r="Q102" s="92">
        <f>SUM(Q97:Q101)</f>
        <v>1</v>
      </c>
      <c r="R102" s="93">
        <f>SUM(R97:R101)</f>
        <v>1</v>
      </c>
    </row>
  </sheetData>
  <mergeCells count="175">
    <mergeCell ref="L2:BU2"/>
    <mergeCell ref="B2:J5"/>
    <mergeCell ref="AZ4:BK4"/>
    <mergeCell ref="BL6:BL7"/>
    <mergeCell ref="BM6:BM7"/>
    <mergeCell ref="BN6:BN7"/>
    <mergeCell ref="BO6:BO7"/>
    <mergeCell ref="BP6:BP7"/>
    <mergeCell ref="BL5:BP5"/>
    <mergeCell ref="BQ5:BU5"/>
    <mergeCell ref="BQ6:BQ7"/>
    <mergeCell ref="BR6:BR7"/>
    <mergeCell ref="BS6:BS7"/>
    <mergeCell ref="BT6:BT7"/>
    <mergeCell ref="BU6:BU7"/>
    <mergeCell ref="BL4:BU4"/>
    <mergeCell ref="BD6:BD7"/>
    <mergeCell ref="BE6:BE7"/>
    <mergeCell ref="AZ5:BE5"/>
    <mergeCell ref="BF5:BK5"/>
    <mergeCell ref="BF6:BF7"/>
    <mergeCell ref="BG6:BG7"/>
    <mergeCell ref="BH6:BH7"/>
    <mergeCell ref="BI6:BI7"/>
    <mergeCell ref="BJ6:BJ7"/>
    <mergeCell ref="BK6:BK7"/>
    <mergeCell ref="AW6:AW7"/>
    <mergeCell ref="AX6:AX7"/>
    <mergeCell ref="AY6:AY7"/>
    <mergeCell ref="AR5:AU5"/>
    <mergeCell ref="AV5:AY5"/>
    <mergeCell ref="AZ6:AZ7"/>
    <mergeCell ref="BA6:BA7"/>
    <mergeCell ref="BB6:BB7"/>
    <mergeCell ref="BC6:BC7"/>
    <mergeCell ref="AP6:AP7"/>
    <mergeCell ref="AQ6:AQ7"/>
    <mergeCell ref="Z4:AQ4"/>
    <mergeCell ref="AR6:AR7"/>
    <mergeCell ref="AS6:AS7"/>
    <mergeCell ref="AT6:AT7"/>
    <mergeCell ref="AU6:AU7"/>
    <mergeCell ref="AV6:AV7"/>
    <mergeCell ref="AR4:AY4"/>
    <mergeCell ref="Q6:Q7"/>
    <mergeCell ref="R6:R7"/>
    <mergeCell ref="L5:R5"/>
    <mergeCell ref="S5:Y5"/>
    <mergeCell ref="S6:S7"/>
    <mergeCell ref="T6:T7"/>
    <mergeCell ref="U6:U7"/>
    <mergeCell ref="V6:V7"/>
    <mergeCell ref="W6:W7"/>
    <mergeCell ref="X6:X7"/>
    <mergeCell ref="Y6:Y7"/>
    <mergeCell ref="L4:Y4"/>
    <mergeCell ref="AF6:AF7"/>
    <mergeCell ref="AG6:AG7"/>
    <mergeCell ref="AH6:AH7"/>
    <mergeCell ref="Z5:AH5"/>
    <mergeCell ref="AI5:AQ5"/>
    <mergeCell ref="AI6:AI7"/>
    <mergeCell ref="AJ6:AJ7"/>
    <mergeCell ref="AK6:AK7"/>
    <mergeCell ref="AL6:AL7"/>
    <mergeCell ref="AM6:AM7"/>
    <mergeCell ref="AN6:AN7"/>
    <mergeCell ref="AO6:AO7"/>
    <mergeCell ref="Z6:Z7"/>
    <mergeCell ref="AA6:AA7"/>
    <mergeCell ref="AB6:AB7"/>
    <mergeCell ref="AC6:AC7"/>
    <mergeCell ref="AD6:AD7"/>
    <mergeCell ref="AE6:AE7"/>
    <mergeCell ref="L6:L7"/>
    <mergeCell ref="M6:M7"/>
    <mergeCell ref="N6:N7"/>
    <mergeCell ref="O6:O7"/>
    <mergeCell ref="P6:P7"/>
    <mergeCell ref="G21:J21"/>
    <mergeCell ref="G20:J20"/>
    <mergeCell ref="G27:J27"/>
    <mergeCell ref="G26:J26"/>
    <mergeCell ref="G25:J25"/>
    <mergeCell ref="G24:J24"/>
    <mergeCell ref="G23:J23"/>
    <mergeCell ref="G22:J22"/>
    <mergeCell ref="G32:J32"/>
    <mergeCell ref="G31:J31"/>
    <mergeCell ref="G30:J30"/>
    <mergeCell ref="G29:J29"/>
    <mergeCell ref="G28:J28"/>
    <mergeCell ref="G39:J39"/>
    <mergeCell ref="G38:J38"/>
    <mergeCell ref="G37:J37"/>
    <mergeCell ref="G36:J36"/>
    <mergeCell ref="G35:J35"/>
    <mergeCell ref="G34:J34"/>
    <mergeCell ref="G41:J41"/>
    <mergeCell ref="G40:J40"/>
    <mergeCell ref="G51:J51"/>
    <mergeCell ref="G50:J50"/>
    <mergeCell ref="G49:J49"/>
    <mergeCell ref="G48:J48"/>
    <mergeCell ref="G47:J47"/>
    <mergeCell ref="G46:J46"/>
    <mergeCell ref="G42:J42"/>
    <mergeCell ref="G33:J33"/>
    <mergeCell ref="B60:B62"/>
    <mergeCell ref="G7:J7"/>
    <mergeCell ref="G8:J8"/>
    <mergeCell ref="G9:J9"/>
    <mergeCell ref="G10:J10"/>
    <mergeCell ref="G11:J11"/>
    <mergeCell ref="G57:J57"/>
    <mergeCell ref="G56:J56"/>
    <mergeCell ref="G55:J55"/>
    <mergeCell ref="G54:J54"/>
    <mergeCell ref="G53:J53"/>
    <mergeCell ref="G52:J52"/>
    <mergeCell ref="G12:J12"/>
    <mergeCell ref="G13:J13"/>
    <mergeCell ref="G14:J14"/>
    <mergeCell ref="G19:J19"/>
    <mergeCell ref="G18:J18"/>
    <mergeCell ref="G17:J17"/>
    <mergeCell ref="G16:J16"/>
    <mergeCell ref="G15:J15"/>
    <mergeCell ref="G45:J45"/>
    <mergeCell ref="G44:J44"/>
    <mergeCell ref="G43:J43"/>
    <mergeCell ref="L77:N77"/>
    <mergeCell ref="L78:N78"/>
    <mergeCell ref="L79:N79"/>
    <mergeCell ref="L80:N80"/>
    <mergeCell ref="L82:R82"/>
    <mergeCell ref="L83:N83"/>
    <mergeCell ref="L66:N66"/>
    <mergeCell ref="L60:N61"/>
    <mergeCell ref="L67:N67"/>
    <mergeCell ref="L68:N68"/>
    <mergeCell ref="L69:N69"/>
    <mergeCell ref="L71:R71"/>
    <mergeCell ref="L72:N72"/>
    <mergeCell ref="L73:N73"/>
    <mergeCell ref="L62:R62"/>
    <mergeCell ref="O60:P60"/>
    <mergeCell ref="Q60:R60"/>
    <mergeCell ref="L63:N63"/>
    <mergeCell ref="L64:N64"/>
    <mergeCell ref="L65:N65"/>
    <mergeCell ref="L98:N98"/>
    <mergeCell ref="L99:N99"/>
    <mergeCell ref="L100:N100"/>
    <mergeCell ref="L101:N101"/>
    <mergeCell ref="L70:N70"/>
    <mergeCell ref="L81:N81"/>
    <mergeCell ref="L87:N87"/>
    <mergeCell ref="L95:N95"/>
    <mergeCell ref="L102:N102"/>
    <mergeCell ref="L89:N89"/>
    <mergeCell ref="L90:N90"/>
    <mergeCell ref="L91:N91"/>
    <mergeCell ref="L92:N92"/>
    <mergeCell ref="L93:N93"/>
    <mergeCell ref="L94:N94"/>
    <mergeCell ref="L96:R96"/>
    <mergeCell ref="L97:N97"/>
    <mergeCell ref="L84:N84"/>
    <mergeCell ref="L85:N85"/>
    <mergeCell ref="L86:N86"/>
    <mergeCell ref="L88:R88"/>
    <mergeCell ref="L74:N74"/>
    <mergeCell ref="L75:N75"/>
    <mergeCell ref="L76:N76"/>
  </mergeCells>
  <conditionalFormatting sqref="E61:E62">
    <cfRule type="colorScale" priority="29">
      <colorScale>
        <cfvo type="min"/>
        <cfvo type="percentile" val="50"/>
        <cfvo type="max"/>
        <color rgb="FFF8696B"/>
        <color rgb="FFFFEB84"/>
        <color rgb="FF63BE7B"/>
      </colorScale>
    </cfRule>
  </conditionalFormatting>
  <conditionalFormatting sqref="F61:F62">
    <cfRule type="dataBar" priority="28">
      <dataBar>
        <cfvo type="min"/>
        <cfvo type="max"/>
        <color rgb="FFFFB628"/>
      </dataBar>
      <extLst>
        <ext xmlns:x14="http://schemas.microsoft.com/office/spreadsheetml/2009/9/main" uri="{B025F937-C7B1-47D3-B67F-A62EFF666E3E}">
          <x14:id>{172B354F-BAD0-4492-AE37-6EF99774A494}</x14:id>
        </ext>
      </extLst>
    </cfRule>
  </conditionalFormatting>
  <conditionalFormatting sqref="E67:E74">
    <cfRule type="colorScale" priority="27">
      <colorScale>
        <cfvo type="min"/>
        <cfvo type="percentile" val="50"/>
        <cfvo type="max"/>
        <color rgb="FFF8696B"/>
        <color rgb="FFFFEB84"/>
        <color rgb="FF63BE7B"/>
      </colorScale>
    </cfRule>
  </conditionalFormatting>
  <conditionalFormatting sqref="F67:F74">
    <cfRule type="dataBar" priority="26">
      <dataBar>
        <cfvo type="min"/>
        <cfvo type="max"/>
        <color rgb="FFFFB628"/>
      </dataBar>
      <extLst>
        <ext xmlns:x14="http://schemas.microsoft.com/office/spreadsheetml/2009/9/main" uri="{B025F937-C7B1-47D3-B67F-A62EFF666E3E}">
          <x14:id>{C3472D38-86C4-4ECA-B32B-FD954C0DC7D1}</x14:id>
        </ext>
      </extLst>
    </cfRule>
  </conditionalFormatting>
  <conditionalFormatting sqref="E79:E81">
    <cfRule type="colorScale" priority="25">
      <colorScale>
        <cfvo type="min"/>
        <cfvo type="percentile" val="50"/>
        <cfvo type="max"/>
        <color rgb="FFF8696B"/>
        <color rgb="FFFFEB84"/>
        <color rgb="FF63BE7B"/>
      </colorScale>
    </cfRule>
  </conditionalFormatting>
  <conditionalFormatting sqref="F79:F81">
    <cfRule type="dataBar" priority="24">
      <dataBar>
        <cfvo type="min"/>
        <cfvo type="max"/>
        <color rgb="FFFFB628"/>
      </dataBar>
      <extLst>
        <ext xmlns:x14="http://schemas.microsoft.com/office/spreadsheetml/2009/9/main" uri="{B025F937-C7B1-47D3-B67F-A62EFF666E3E}">
          <x14:id>{B8D6825B-CD13-4EC9-90AB-A0F7671E76B1}</x14:id>
        </ext>
      </extLst>
    </cfRule>
  </conditionalFormatting>
  <conditionalFormatting sqref="O63:O69">
    <cfRule type="colorScale" priority="23">
      <colorScale>
        <cfvo type="min"/>
        <cfvo type="percentile" val="50"/>
        <cfvo type="max"/>
        <color rgb="FFF8696B"/>
        <color rgb="FFFFEB84"/>
        <color rgb="FF63BE7B"/>
      </colorScale>
    </cfRule>
  </conditionalFormatting>
  <conditionalFormatting sqref="Q63:Q69">
    <cfRule type="dataBar" priority="22">
      <dataBar>
        <cfvo type="min"/>
        <cfvo type="max"/>
        <color rgb="FFFFB628"/>
      </dataBar>
      <extLst>
        <ext xmlns:x14="http://schemas.microsoft.com/office/spreadsheetml/2009/9/main" uri="{B025F937-C7B1-47D3-B67F-A62EFF666E3E}">
          <x14:id>{F1FD5A17-8C0E-41E4-BE5F-18D413C39FC6}</x14:id>
        </ext>
      </extLst>
    </cfRule>
  </conditionalFormatting>
  <conditionalFormatting sqref="P63:P69">
    <cfRule type="colorScale" priority="21">
      <colorScale>
        <cfvo type="min"/>
        <cfvo type="percentile" val="50"/>
        <cfvo type="max"/>
        <color rgb="FFF8696B"/>
        <color rgb="FFFFEB84"/>
        <color rgb="FF63BE7B"/>
      </colorScale>
    </cfRule>
  </conditionalFormatting>
  <conditionalFormatting sqref="R63:R69">
    <cfRule type="dataBar" priority="20">
      <dataBar>
        <cfvo type="min"/>
        <cfvo type="max"/>
        <color rgb="FF638EC6"/>
      </dataBar>
      <extLst>
        <ext xmlns:x14="http://schemas.microsoft.com/office/spreadsheetml/2009/9/main" uri="{B025F937-C7B1-47D3-B67F-A62EFF666E3E}">
          <x14:id>{F0CD8C56-B121-4D43-B0B3-D7F3A8356B82}</x14:id>
        </ext>
      </extLst>
    </cfRule>
  </conditionalFormatting>
  <conditionalFormatting sqref="E86:E89">
    <cfRule type="colorScale" priority="19">
      <colorScale>
        <cfvo type="min"/>
        <cfvo type="percentile" val="50"/>
        <cfvo type="max"/>
        <color rgb="FFF8696B"/>
        <color rgb="FFFFEB84"/>
        <color rgb="FF63BE7B"/>
      </colorScale>
    </cfRule>
  </conditionalFormatting>
  <conditionalFormatting sqref="F86:F89">
    <cfRule type="dataBar" priority="18">
      <dataBar>
        <cfvo type="min"/>
        <cfvo type="max"/>
        <color rgb="FFFFB628"/>
      </dataBar>
      <extLst>
        <ext xmlns:x14="http://schemas.microsoft.com/office/spreadsheetml/2009/9/main" uri="{B025F937-C7B1-47D3-B67F-A62EFF666E3E}">
          <x14:id>{A978F4B0-B499-4E92-A891-15A0A171E5B5}</x14:id>
        </ext>
      </extLst>
    </cfRule>
  </conditionalFormatting>
  <conditionalFormatting sqref="O72:O80">
    <cfRule type="colorScale" priority="17">
      <colorScale>
        <cfvo type="min"/>
        <cfvo type="percentile" val="50"/>
        <cfvo type="max"/>
        <color rgb="FFF8696B"/>
        <color rgb="FFFFEB84"/>
        <color rgb="FF63BE7B"/>
      </colorScale>
    </cfRule>
  </conditionalFormatting>
  <conditionalFormatting sqref="P72:P80">
    <cfRule type="colorScale" priority="16">
      <colorScale>
        <cfvo type="min"/>
        <cfvo type="percentile" val="50"/>
        <cfvo type="max"/>
        <color rgb="FFF8696B"/>
        <color rgb="FFFFEB84"/>
        <color rgb="FF63BE7B"/>
      </colorScale>
    </cfRule>
  </conditionalFormatting>
  <conditionalFormatting sqref="Q72:Q80">
    <cfRule type="dataBar" priority="15">
      <dataBar>
        <cfvo type="min"/>
        <cfvo type="max"/>
        <color rgb="FFFFB628"/>
      </dataBar>
      <extLst>
        <ext xmlns:x14="http://schemas.microsoft.com/office/spreadsheetml/2009/9/main" uri="{B025F937-C7B1-47D3-B67F-A62EFF666E3E}">
          <x14:id>{EBE42C80-4418-48AD-9975-0516C519DAC2}</x14:id>
        </ext>
      </extLst>
    </cfRule>
  </conditionalFormatting>
  <conditionalFormatting sqref="R72:R80">
    <cfRule type="dataBar" priority="13">
      <dataBar>
        <cfvo type="min"/>
        <cfvo type="max"/>
        <color rgb="FF638EC6"/>
      </dataBar>
      <extLst>
        <ext xmlns:x14="http://schemas.microsoft.com/office/spreadsheetml/2009/9/main" uri="{B025F937-C7B1-47D3-B67F-A62EFF666E3E}">
          <x14:id>{B6EA75CD-8B46-46EE-BA3A-6D7D05E94054}</x14:id>
        </ext>
      </extLst>
    </cfRule>
  </conditionalFormatting>
  <conditionalFormatting sqref="O83:O86">
    <cfRule type="colorScale" priority="12">
      <colorScale>
        <cfvo type="min"/>
        <cfvo type="percentile" val="50"/>
        <cfvo type="max"/>
        <color rgb="FFF8696B"/>
        <color rgb="FFFFEB84"/>
        <color rgb="FF63BE7B"/>
      </colorScale>
    </cfRule>
  </conditionalFormatting>
  <conditionalFormatting sqref="P83:P86">
    <cfRule type="colorScale" priority="11">
      <colorScale>
        <cfvo type="min"/>
        <cfvo type="percentile" val="50"/>
        <cfvo type="max"/>
        <color rgb="FFF8696B"/>
        <color rgb="FFFFEB84"/>
        <color rgb="FF63BE7B"/>
      </colorScale>
    </cfRule>
  </conditionalFormatting>
  <conditionalFormatting sqref="Q83:Q86">
    <cfRule type="dataBar" priority="10">
      <dataBar>
        <cfvo type="min"/>
        <cfvo type="max"/>
        <color rgb="FFFFB628"/>
      </dataBar>
      <extLst>
        <ext xmlns:x14="http://schemas.microsoft.com/office/spreadsheetml/2009/9/main" uri="{B025F937-C7B1-47D3-B67F-A62EFF666E3E}">
          <x14:id>{A160ECCB-2F76-4AE1-B4AC-49A9562B87C1}</x14:id>
        </ext>
      </extLst>
    </cfRule>
  </conditionalFormatting>
  <conditionalFormatting sqref="R83:R86">
    <cfRule type="dataBar" priority="9">
      <dataBar>
        <cfvo type="min"/>
        <cfvo type="max"/>
        <color rgb="FF638EC6"/>
      </dataBar>
      <extLst>
        <ext xmlns:x14="http://schemas.microsoft.com/office/spreadsheetml/2009/9/main" uri="{B025F937-C7B1-47D3-B67F-A62EFF666E3E}">
          <x14:id>{FF2D710B-5888-48DE-B4D9-26FEBEE4BE94}</x14:id>
        </ext>
      </extLst>
    </cfRule>
  </conditionalFormatting>
  <conditionalFormatting sqref="O89:O94">
    <cfRule type="colorScale" priority="8">
      <colorScale>
        <cfvo type="min"/>
        <cfvo type="percentile" val="50"/>
        <cfvo type="max"/>
        <color rgb="FFF8696B"/>
        <color rgb="FFFFEB84"/>
        <color rgb="FF63BE7B"/>
      </colorScale>
    </cfRule>
  </conditionalFormatting>
  <conditionalFormatting sqref="P89:P94">
    <cfRule type="colorScale" priority="7">
      <colorScale>
        <cfvo type="min"/>
        <cfvo type="percentile" val="50"/>
        <cfvo type="max"/>
        <color rgb="FFF8696B"/>
        <color rgb="FFFFEB84"/>
        <color rgb="FF63BE7B"/>
      </colorScale>
    </cfRule>
  </conditionalFormatting>
  <conditionalFormatting sqref="Q89:Q94">
    <cfRule type="dataBar" priority="6">
      <dataBar>
        <cfvo type="min"/>
        <cfvo type="max"/>
        <color rgb="FFFFB628"/>
      </dataBar>
      <extLst>
        <ext xmlns:x14="http://schemas.microsoft.com/office/spreadsheetml/2009/9/main" uri="{B025F937-C7B1-47D3-B67F-A62EFF666E3E}">
          <x14:id>{1DFA95C6-510E-40C7-AA5B-9DE2B5E5C1F9}</x14:id>
        </ext>
      </extLst>
    </cfRule>
  </conditionalFormatting>
  <conditionalFormatting sqref="R89:R94">
    <cfRule type="dataBar" priority="5">
      <dataBar>
        <cfvo type="min"/>
        <cfvo type="max"/>
        <color rgb="FF638EC6"/>
      </dataBar>
      <extLst>
        <ext xmlns:x14="http://schemas.microsoft.com/office/spreadsheetml/2009/9/main" uri="{B025F937-C7B1-47D3-B67F-A62EFF666E3E}">
          <x14:id>{30F3EB9C-5427-48DD-8C4C-12B1BA16A55D}</x14:id>
        </ext>
      </extLst>
    </cfRule>
  </conditionalFormatting>
  <conditionalFormatting sqref="O97:O101">
    <cfRule type="colorScale" priority="4">
      <colorScale>
        <cfvo type="min"/>
        <cfvo type="percentile" val="50"/>
        <cfvo type="max"/>
        <color rgb="FFF8696B"/>
        <color rgb="FFFFEB84"/>
        <color rgb="FF63BE7B"/>
      </colorScale>
    </cfRule>
  </conditionalFormatting>
  <conditionalFormatting sqref="P97:P101">
    <cfRule type="colorScale" priority="3">
      <colorScale>
        <cfvo type="min"/>
        <cfvo type="percentile" val="50"/>
        <cfvo type="max"/>
        <color rgb="FFF8696B"/>
        <color rgb="FFFFEB84"/>
        <color rgb="FF63BE7B"/>
      </colorScale>
    </cfRule>
  </conditionalFormatting>
  <conditionalFormatting sqref="Q97:Q101">
    <cfRule type="dataBar" priority="2">
      <dataBar>
        <cfvo type="min"/>
        <cfvo type="max"/>
        <color rgb="FFFFB628"/>
      </dataBar>
      <extLst>
        <ext xmlns:x14="http://schemas.microsoft.com/office/spreadsheetml/2009/9/main" uri="{B025F937-C7B1-47D3-B67F-A62EFF666E3E}">
          <x14:id>{D4F213CD-3D29-4862-ADC8-68779DC6CF83}</x14:id>
        </ext>
      </extLst>
    </cfRule>
  </conditionalFormatting>
  <conditionalFormatting sqref="R97:R101">
    <cfRule type="dataBar" priority="1">
      <dataBar>
        <cfvo type="min"/>
        <cfvo type="max"/>
        <color rgb="FF638EC6"/>
      </dataBar>
      <extLst>
        <ext xmlns:x14="http://schemas.microsoft.com/office/spreadsheetml/2009/9/main" uri="{B025F937-C7B1-47D3-B67F-A62EFF666E3E}">
          <x14:id>{883305DC-6B32-469F-B0FE-A881133228ED}</x14:id>
        </ext>
      </extLst>
    </cfRule>
  </conditionalFormatting>
  <dataValidations count="6">
    <dataValidation type="list" allowBlank="1" showInputMessage="1" showErrorMessage="1" sqref="D8:D57" xr:uid="{DD200CB3-C99F-4D20-8EE4-3566E2CEE863}">
      <formula1>$D$61:$D$62</formula1>
    </dataValidation>
    <dataValidation type="list" allowBlank="1" showInputMessage="1" showErrorMessage="1" sqref="E8:E57" xr:uid="{62839CB7-9440-4811-90CE-A5804CFF25B5}">
      <formula1>$D$67:$D$74</formula1>
    </dataValidation>
    <dataValidation type="list" allowBlank="1" showInputMessage="1" showErrorMessage="1" sqref="F8:F57" xr:uid="{D3882E57-F2FC-4BF3-9F9D-2F4571844B6F}">
      <formula1>D$79:D$81</formula1>
    </dataValidation>
    <dataValidation type="list" allowBlank="1" showInputMessage="1" showErrorMessage="1" sqref="G8:J57" xr:uid="{620BBF43-D734-4579-A05E-5155B5DF8065}">
      <formula1>$D$86:$D$89</formula1>
    </dataValidation>
    <dataValidation type="list" allowBlank="1" showInputMessage="1" showErrorMessage="1" sqref="L58:R58" xr:uid="{2236FE08-8EA4-4FC3-A5CB-11AE096FFAA0}">
      <formula1>$BW$8:$BW$9</formula1>
    </dataValidation>
    <dataValidation type="list" allowBlank="1" showInputMessage="1" showErrorMessage="1" errorTitle="Wrong Input" error="[ Only ✓ mark or blank cells are allowed in this table ]" promptTitle="Respondent Answers" prompt="[ ✓ mark for chosen answers, empty cell otherwise ]" sqref="L8:BU57" xr:uid="{4644D291-E584-44E6-A186-5DA718FBA225}">
      <formula1>$BW$8:$BW$9</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172B354F-BAD0-4492-AE37-6EF99774A494}">
            <x14:dataBar minLength="0" maxLength="100" border="1" negativeBarBorderColorSameAsPositive="0">
              <x14:cfvo type="autoMin"/>
              <x14:cfvo type="autoMax"/>
              <x14:borderColor rgb="FFFFB628"/>
              <x14:negativeFillColor rgb="FFFF0000"/>
              <x14:negativeBorderColor rgb="FFFF0000"/>
              <x14:axisColor rgb="FF000000"/>
            </x14:dataBar>
          </x14:cfRule>
          <xm:sqref>F61:F62</xm:sqref>
        </x14:conditionalFormatting>
        <x14:conditionalFormatting xmlns:xm="http://schemas.microsoft.com/office/excel/2006/main">
          <x14:cfRule type="dataBar" id="{C3472D38-86C4-4ECA-B32B-FD954C0DC7D1}">
            <x14:dataBar minLength="0" maxLength="100" border="1" negativeBarBorderColorSameAsPositive="0">
              <x14:cfvo type="autoMin"/>
              <x14:cfvo type="autoMax"/>
              <x14:borderColor rgb="FFFFB628"/>
              <x14:negativeFillColor rgb="FFFF0000"/>
              <x14:negativeBorderColor rgb="FFFF0000"/>
              <x14:axisColor rgb="FF000000"/>
            </x14:dataBar>
          </x14:cfRule>
          <xm:sqref>F67:F74</xm:sqref>
        </x14:conditionalFormatting>
        <x14:conditionalFormatting xmlns:xm="http://schemas.microsoft.com/office/excel/2006/main">
          <x14:cfRule type="dataBar" id="{B8D6825B-CD13-4EC9-90AB-A0F7671E76B1}">
            <x14:dataBar minLength="0" maxLength="100" border="1" negativeBarBorderColorSameAsPositive="0">
              <x14:cfvo type="autoMin"/>
              <x14:cfvo type="autoMax"/>
              <x14:borderColor rgb="FFFFB628"/>
              <x14:negativeFillColor rgb="FFFF0000"/>
              <x14:negativeBorderColor rgb="FFFF0000"/>
              <x14:axisColor rgb="FF000000"/>
            </x14:dataBar>
          </x14:cfRule>
          <xm:sqref>F79:F81</xm:sqref>
        </x14:conditionalFormatting>
        <x14:conditionalFormatting xmlns:xm="http://schemas.microsoft.com/office/excel/2006/main">
          <x14:cfRule type="dataBar" id="{F1FD5A17-8C0E-41E4-BE5F-18D413C39FC6}">
            <x14:dataBar minLength="0" maxLength="100" border="1" negativeBarBorderColorSameAsPositive="0">
              <x14:cfvo type="autoMin"/>
              <x14:cfvo type="autoMax"/>
              <x14:borderColor rgb="FFFFB628"/>
              <x14:negativeFillColor rgb="FFFF0000"/>
              <x14:negativeBorderColor rgb="FFFF0000"/>
              <x14:axisColor rgb="FF000000"/>
            </x14:dataBar>
          </x14:cfRule>
          <xm:sqref>Q63:Q69</xm:sqref>
        </x14:conditionalFormatting>
        <x14:conditionalFormatting xmlns:xm="http://schemas.microsoft.com/office/excel/2006/main">
          <x14:cfRule type="dataBar" id="{F0CD8C56-B121-4D43-B0B3-D7F3A8356B82}">
            <x14:dataBar minLength="0" maxLength="100" border="1" negativeBarBorderColorSameAsPositive="0">
              <x14:cfvo type="autoMin"/>
              <x14:cfvo type="autoMax"/>
              <x14:borderColor rgb="FF638EC6"/>
              <x14:negativeFillColor rgb="FFFF0000"/>
              <x14:negativeBorderColor rgb="FFFF0000"/>
              <x14:axisColor rgb="FF000000"/>
            </x14:dataBar>
          </x14:cfRule>
          <xm:sqref>R63:R69</xm:sqref>
        </x14:conditionalFormatting>
        <x14:conditionalFormatting xmlns:xm="http://schemas.microsoft.com/office/excel/2006/main">
          <x14:cfRule type="dataBar" id="{A978F4B0-B499-4E92-A891-15A0A171E5B5}">
            <x14:dataBar minLength="0" maxLength="100" border="1" negativeBarBorderColorSameAsPositive="0">
              <x14:cfvo type="autoMin"/>
              <x14:cfvo type="autoMax"/>
              <x14:borderColor rgb="FFFFB628"/>
              <x14:negativeFillColor rgb="FFFF0000"/>
              <x14:negativeBorderColor rgb="FFFF0000"/>
              <x14:axisColor rgb="FF000000"/>
            </x14:dataBar>
          </x14:cfRule>
          <xm:sqref>F86:F89</xm:sqref>
        </x14:conditionalFormatting>
        <x14:conditionalFormatting xmlns:xm="http://schemas.microsoft.com/office/excel/2006/main">
          <x14:cfRule type="dataBar" id="{EBE42C80-4418-48AD-9975-0516C519DAC2}">
            <x14:dataBar minLength="0" maxLength="100" border="1" negativeBarBorderColorSameAsPositive="0">
              <x14:cfvo type="autoMin"/>
              <x14:cfvo type="autoMax"/>
              <x14:borderColor rgb="FFFFB628"/>
              <x14:negativeFillColor rgb="FFFF0000"/>
              <x14:negativeBorderColor rgb="FFFF0000"/>
              <x14:axisColor rgb="FF000000"/>
            </x14:dataBar>
          </x14:cfRule>
          <xm:sqref>Q72:Q80</xm:sqref>
        </x14:conditionalFormatting>
        <x14:conditionalFormatting xmlns:xm="http://schemas.microsoft.com/office/excel/2006/main">
          <x14:cfRule type="dataBar" id="{B6EA75CD-8B46-46EE-BA3A-6D7D05E94054}">
            <x14:dataBar minLength="0" maxLength="100" border="1" negativeBarBorderColorSameAsPositive="0">
              <x14:cfvo type="autoMin"/>
              <x14:cfvo type="autoMax"/>
              <x14:borderColor rgb="FF638EC6"/>
              <x14:negativeFillColor rgb="FFFF0000"/>
              <x14:negativeBorderColor rgb="FFFF0000"/>
              <x14:axisColor rgb="FF000000"/>
            </x14:dataBar>
          </x14:cfRule>
          <xm:sqref>R72:R80</xm:sqref>
        </x14:conditionalFormatting>
        <x14:conditionalFormatting xmlns:xm="http://schemas.microsoft.com/office/excel/2006/main">
          <x14:cfRule type="dataBar" id="{A160ECCB-2F76-4AE1-B4AC-49A9562B87C1}">
            <x14:dataBar minLength="0" maxLength="100" border="1" negativeBarBorderColorSameAsPositive="0">
              <x14:cfvo type="autoMin"/>
              <x14:cfvo type="autoMax"/>
              <x14:borderColor rgb="FFFFB628"/>
              <x14:negativeFillColor rgb="FFFF0000"/>
              <x14:negativeBorderColor rgb="FFFF0000"/>
              <x14:axisColor rgb="FF000000"/>
            </x14:dataBar>
          </x14:cfRule>
          <xm:sqref>Q83:Q86</xm:sqref>
        </x14:conditionalFormatting>
        <x14:conditionalFormatting xmlns:xm="http://schemas.microsoft.com/office/excel/2006/main">
          <x14:cfRule type="dataBar" id="{FF2D710B-5888-48DE-B4D9-26FEBEE4BE94}">
            <x14:dataBar minLength="0" maxLength="100" border="1" negativeBarBorderColorSameAsPositive="0">
              <x14:cfvo type="autoMin"/>
              <x14:cfvo type="autoMax"/>
              <x14:borderColor rgb="FF638EC6"/>
              <x14:negativeFillColor rgb="FFFF0000"/>
              <x14:negativeBorderColor rgb="FFFF0000"/>
              <x14:axisColor rgb="FF000000"/>
            </x14:dataBar>
          </x14:cfRule>
          <xm:sqref>R83:R86</xm:sqref>
        </x14:conditionalFormatting>
        <x14:conditionalFormatting xmlns:xm="http://schemas.microsoft.com/office/excel/2006/main">
          <x14:cfRule type="dataBar" id="{1DFA95C6-510E-40C7-AA5B-9DE2B5E5C1F9}">
            <x14:dataBar minLength="0" maxLength="100" border="1" negativeBarBorderColorSameAsPositive="0">
              <x14:cfvo type="autoMin"/>
              <x14:cfvo type="autoMax"/>
              <x14:borderColor rgb="FFFFB628"/>
              <x14:negativeFillColor rgb="FFFF0000"/>
              <x14:negativeBorderColor rgb="FFFF0000"/>
              <x14:axisColor rgb="FF000000"/>
            </x14:dataBar>
          </x14:cfRule>
          <xm:sqref>Q89:Q94</xm:sqref>
        </x14:conditionalFormatting>
        <x14:conditionalFormatting xmlns:xm="http://schemas.microsoft.com/office/excel/2006/main">
          <x14:cfRule type="dataBar" id="{30F3EB9C-5427-48DD-8C4C-12B1BA16A55D}">
            <x14:dataBar minLength="0" maxLength="100" border="1" negativeBarBorderColorSameAsPositive="0">
              <x14:cfvo type="autoMin"/>
              <x14:cfvo type="autoMax"/>
              <x14:borderColor rgb="FF638EC6"/>
              <x14:negativeFillColor rgb="FFFF0000"/>
              <x14:negativeBorderColor rgb="FFFF0000"/>
              <x14:axisColor rgb="FF000000"/>
            </x14:dataBar>
          </x14:cfRule>
          <xm:sqref>R89:R94</xm:sqref>
        </x14:conditionalFormatting>
        <x14:conditionalFormatting xmlns:xm="http://schemas.microsoft.com/office/excel/2006/main">
          <x14:cfRule type="dataBar" id="{D4F213CD-3D29-4862-ADC8-68779DC6CF83}">
            <x14:dataBar minLength="0" maxLength="100" border="1" negativeBarBorderColorSameAsPositive="0">
              <x14:cfvo type="autoMin"/>
              <x14:cfvo type="autoMax"/>
              <x14:borderColor rgb="FFFFB628"/>
              <x14:negativeFillColor rgb="FFFF0000"/>
              <x14:negativeBorderColor rgb="FFFF0000"/>
              <x14:axisColor rgb="FF000000"/>
            </x14:dataBar>
          </x14:cfRule>
          <xm:sqref>Q97:Q101</xm:sqref>
        </x14:conditionalFormatting>
        <x14:conditionalFormatting xmlns:xm="http://schemas.microsoft.com/office/excel/2006/main">
          <x14:cfRule type="dataBar" id="{883305DC-6B32-469F-B0FE-A881133228ED}">
            <x14:dataBar minLength="0" maxLength="100" border="1" negativeBarBorderColorSameAsPositive="0">
              <x14:cfvo type="autoMin"/>
              <x14:cfvo type="autoMax"/>
              <x14:borderColor rgb="FF638EC6"/>
              <x14:negativeFillColor rgb="FFFF0000"/>
              <x14:negativeBorderColor rgb="FFFF0000"/>
              <x14:axisColor rgb="FF000000"/>
            </x14:dataBar>
          </x14:cfRule>
          <xm:sqref>R97:R101</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A0B01-BE51-4D2E-9795-B452E29B5498}">
  <dimension ref="B1:BW119"/>
  <sheetViews>
    <sheetView workbookViewId="0"/>
  </sheetViews>
  <sheetFormatPr defaultRowHeight="14.4" x14ac:dyDescent="0.3"/>
  <cols>
    <col min="2" max="2" width="8.88671875" customWidth="1"/>
    <col min="3" max="3" width="18.109375" customWidth="1"/>
    <col min="4" max="4" width="14.33203125" customWidth="1"/>
    <col min="5" max="5" width="13" bestFit="1" customWidth="1"/>
    <col min="6" max="6" width="18.109375" customWidth="1"/>
    <col min="7" max="7" width="9.6640625" customWidth="1"/>
    <col min="8" max="8" width="22.6640625" customWidth="1"/>
    <col min="9" max="9" width="15.109375" customWidth="1"/>
    <col min="10" max="10" width="17.88671875" customWidth="1"/>
    <col min="12" max="12" width="12.88671875" customWidth="1"/>
    <col min="13" max="13" width="9.6640625" customWidth="1"/>
    <col min="14" max="14" width="7.77734375" customWidth="1"/>
    <col min="15" max="15" width="9.6640625" customWidth="1"/>
    <col min="16" max="16" width="10.6640625" customWidth="1"/>
    <col min="17" max="17" width="9.88671875" customWidth="1"/>
    <col min="18" max="18" width="11.21875" customWidth="1"/>
    <col min="19" max="19" width="12.6640625" customWidth="1"/>
    <col min="25" max="25" width="10.33203125" customWidth="1"/>
    <col min="30" max="30" width="10.44140625" customWidth="1"/>
    <col min="39" max="39" width="10.109375" customWidth="1"/>
    <col min="47" max="47" width="9.77734375" customWidth="1"/>
    <col min="51" max="51" width="11.44140625" customWidth="1"/>
    <col min="55" max="55" width="9.88671875" customWidth="1"/>
    <col min="57" max="57" width="9.77734375" customWidth="1"/>
    <col min="61" max="61" width="9.77734375" customWidth="1"/>
    <col min="63" max="63" width="9.88671875" customWidth="1"/>
    <col min="64" max="64" width="11.33203125" customWidth="1"/>
    <col min="65" max="65" width="11.5546875" customWidth="1"/>
    <col min="66" max="66" width="12.6640625" customWidth="1"/>
    <col min="67" max="67" width="15.33203125" customWidth="1"/>
    <col min="68" max="68" width="12" customWidth="1"/>
    <col min="69" max="69" width="11.6640625" customWidth="1"/>
    <col min="70" max="70" width="10.6640625" customWidth="1"/>
    <col min="71" max="71" width="11.5546875" customWidth="1"/>
    <col min="72" max="72" width="14" customWidth="1"/>
    <col min="73" max="73" width="11.5546875" customWidth="1"/>
  </cols>
  <sheetData>
    <row r="1" spans="2:75" ht="15" thickBot="1" x14ac:dyDescent="0.35"/>
    <row r="2" spans="2:75" ht="15" thickBot="1" x14ac:dyDescent="0.35">
      <c r="B2" s="337" t="s">
        <v>5</v>
      </c>
      <c r="C2" s="338"/>
      <c r="D2" s="338"/>
      <c r="E2" s="338"/>
      <c r="F2" s="338"/>
      <c r="G2" s="338"/>
      <c r="H2" s="338"/>
      <c r="I2" s="338"/>
      <c r="J2" s="339"/>
      <c r="L2" s="252" t="s">
        <v>98</v>
      </c>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6"/>
    </row>
    <row r="3" spans="2:75" ht="15" thickBot="1" x14ac:dyDescent="0.35">
      <c r="B3" s="340"/>
      <c r="C3" s="341"/>
      <c r="D3" s="341"/>
      <c r="E3" s="341"/>
      <c r="F3" s="341"/>
      <c r="G3" s="341"/>
      <c r="H3" s="341"/>
      <c r="I3" s="341"/>
      <c r="J3" s="342"/>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row>
    <row r="4" spans="2:75" ht="15" thickBot="1" x14ac:dyDescent="0.35">
      <c r="B4" s="340"/>
      <c r="C4" s="341"/>
      <c r="D4" s="341"/>
      <c r="E4" s="341"/>
      <c r="F4" s="341"/>
      <c r="G4" s="341"/>
      <c r="H4" s="341"/>
      <c r="I4" s="341"/>
      <c r="J4" s="342"/>
      <c r="L4" s="315" t="s">
        <v>101</v>
      </c>
      <c r="M4" s="316"/>
      <c r="N4" s="316"/>
      <c r="O4" s="316"/>
      <c r="P4" s="316"/>
      <c r="Q4" s="316"/>
      <c r="R4" s="316"/>
      <c r="S4" s="316"/>
      <c r="T4" s="316"/>
      <c r="U4" s="316"/>
      <c r="V4" s="316"/>
      <c r="W4" s="316"/>
      <c r="X4" s="316"/>
      <c r="Y4" s="317"/>
      <c r="Z4" s="315" t="s">
        <v>99</v>
      </c>
      <c r="AA4" s="316"/>
      <c r="AB4" s="316"/>
      <c r="AC4" s="316"/>
      <c r="AD4" s="316"/>
      <c r="AE4" s="316"/>
      <c r="AF4" s="316"/>
      <c r="AG4" s="316"/>
      <c r="AH4" s="316"/>
      <c r="AI4" s="316"/>
      <c r="AJ4" s="316"/>
      <c r="AK4" s="316"/>
      <c r="AL4" s="316"/>
      <c r="AM4" s="316"/>
      <c r="AN4" s="316"/>
      <c r="AO4" s="316"/>
      <c r="AP4" s="316"/>
      <c r="AQ4" s="317"/>
      <c r="AR4" s="315" t="s">
        <v>57</v>
      </c>
      <c r="AS4" s="316"/>
      <c r="AT4" s="316"/>
      <c r="AU4" s="316"/>
      <c r="AV4" s="316"/>
      <c r="AW4" s="316"/>
      <c r="AX4" s="316"/>
      <c r="AY4" s="317"/>
      <c r="AZ4" s="346" t="s">
        <v>102</v>
      </c>
      <c r="BA4" s="347"/>
      <c r="BB4" s="347"/>
      <c r="BC4" s="347"/>
      <c r="BD4" s="347"/>
      <c r="BE4" s="347"/>
      <c r="BF4" s="347"/>
      <c r="BG4" s="347"/>
      <c r="BH4" s="347"/>
      <c r="BI4" s="347"/>
      <c r="BJ4" s="347"/>
      <c r="BK4" s="348"/>
      <c r="BL4" s="346" t="s">
        <v>67</v>
      </c>
      <c r="BM4" s="347"/>
      <c r="BN4" s="347"/>
      <c r="BO4" s="347"/>
      <c r="BP4" s="347"/>
      <c r="BQ4" s="347"/>
      <c r="BR4" s="347"/>
      <c r="BS4" s="347"/>
      <c r="BT4" s="347"/>
      <c r="BU4" s="348"/>
    </row>
    <row r="5" spans="2:75" ht="15" thickBot="1" x14ac:dyDescent="0.35">
      <c r="B5" s="343"/>
      <c r="C5" s="344"/>
      <c r="D5" s="344"/>
      <c r="E5" s="344"/>
      <c r="F5" s="344"/>
      <c r="G5" s="344"/>
      <c r="H5" s="344"/>
      <c r="I5" s="344"/>
      <c r="J5" s="345"/>
      <c r="K5" s="1"/>
      <c r="L5" s="331" t="s">
        <v>38</v>
      </c>
      <c r="M5" s="332"/>
      <c r="N5" s="332"/>
      <c r="O5" s="332"/>
      <c r="P5" s="332"/>
      <c r="Q5" s="332"/>
      <c r="R5" s="333"/>
      <c r="S5" s="315" t="s">
        <v>39</v>
      </c>
      <c r="T5" s="316"/>
      <c r="U5" s="316"/>
      <c r="V5" s="316"/>
      <c r="W5" s="316"/>
      <c r="X5" s="316"/>
      <c r="Y5" s="317"/>
      <c r="Z5" s="315" t="s">
        <v>38</v>
      </c>
      <c r="AA5" s="316"/>
      <c r="AB5" s="316"/>
      <c r="AC5" s="316"/>
      <c r="AD5" s="316"/>
      <c r="AE5" s="316"/>
      <c r="AF5" s="316"/>
      <c r="AG5" s="316"/>
      <c r="AH5" s="317"/>
      <c r="AI5" s="315" t="s">
        <v>39</v>
      </c>
      <c r="AJ5" s="316"/>
      <c r="AK5" s="316"/>
      <c r="AL5" s="316"/>
      <c r="AM5" s="316"/>
      <c r="AN5" s="316"/>
      <c r="AO5" s="316"/>
      <c r="AP5" s="316"/>
      <c r="AQ5" s="317"/>
      <c r="AR5" s="315" t="s">
        <v>38</v>
      </c>
      <c r="AS5" s="316"/>
      <c r="AT5" s="316"/>
      <c r="AU5" s="316"/>
      <c r="AV5" s="315" t="s">
        <v>39</v>
      </c>
      <c r="AW5" s="316"/>
      <c r="AX5" s="316"/>
      <c r="AY5" s="317"/>
      <c r="AZ5" s="315" t="s">
        <v>38</v>
      </c>
      <c r="BA5" s="316"/>
      <c r="BB5" s="316"/>
      <c r="BC5" s="316"/>
      <c r="BD5" s="316"/>
      <c r="BE5" s="316"/>
      <c r="BF5" s="315" t="s">
        <v>39</v>
      </c>
      <c r="BG5" s="316"/>
      <c r="BH5" s="316"/>
      <c r="BI5" s="316"/>
      <c r="BJ5" s="316"/>
      <c r="BK5" s="317"/>
      <c r="BL5" s="315" t="s">
        <v>38</v>
      </c>
      <c r="BM5" s="316"/>
      <c r="BN5" s="316"/>
      <c r="BO5" s="316"/>
      <c r="BP5" s="316"/>
      <c r="BQ5" s="315" t="s">
        <v>39</v>
      </c>
      <c r="BR5" s="316"/>
      <c r="BS5" s="316"/>
      <c r="BT5" s="316"/>
      <c r="BU5" s="317"/>
    </row>
    <row r="6" spans="2:75" ht="15" customHeight="1" thickBot="1" x14ac:dyDescent="0.35">
      <c r="K6" s="96" t="s">
        <v>100</v>
      </c>
      <c r="L6" s="325" t="s">
        <v>41</v>
      </c>
      <c r="M6" s="327" t="s">
        <v>42</v>
      </c>
      <c r="N6" s="327" t="s">
        <v>43</v>
      </c>
      <c r="O6" s="327" t="s">
        <v>44</v>
      </c>
      <c r="P6" s="327" t="s">
        <v>45</v>
      </c>
      <c r="Q6" s="327" t="s">
        <v>46</v>
      </c>
      <c r="R6" s="329" t="s">
        <v>47</v>
      </c>
      <c r="S6" s="334" t="s">
        <v>41</v>
      </c>
      <c r="T6" s="324" t="s">
        <v>42</v>
      </c>
      <c r="U6" s="324" t="s">
        <v>43</v>
      </c>
      <c r="V6" s="324" t="s">
        <v>44</v>
      </c>
      <c r="W6" s="324" t="s">
        <v>45</v>
      </c>
      <c r="X6" s="324" t="s">
        <v>46</v>
      </c>
      <c r="Y6" s="335" t="s">
        <v>47</v>
      </c>
      <c r="Z6" s="322" t="s">
        <v>48</v>
      </c>
      <c r="AA6" s="324" t="s">
        <v>55</v>
      </c>
      <c r="AB6" s="318" t="s">
        <v>54</v>
      </c>
      <c r="AC6" s="318" t="s">
        <v>49</v>
      </c>
      <c r="AD6" s="318" t="s">
        <v>50</v>
      </c>
      <c r="AE6" s="324" t="s">
        <v>56</v>
      </c>
      <c r="AF6" s="318" t="s">
        <v>51</v>
      </c>
      <c r="AG6" s="318" t="s">
        <v>52</v>
      </c>
      <c r="AH6" s="320" t="s">
        <v>53</v>
      </c>
      <c r="AI6" s="322" t="s">
        <v>48</v>
      </c>
      <c r="AJ6" s="324" t="s">
        <v>55</v>
      </c>
      <c r="AK6" s="318" t="s">
        <v>54</v>
      </c>
      <c r="AL6" s="318" t="s">
        <v>49</v>
      </c>
      <c r="AM6" s="318" t="s">
        <v>50</v>
      </c>
      <c r="AN6" s="324" t="s">
        <v>56</v>
      </c>
      <c r="AO6" s="318" t="s">
        <v>51</v>
      </c>
      <c r="AP6" s="318" t="s">
        <v>52</v>
      </c>
      <c r="AQ6" s="320" t="s">
        <v>53</v>
      </c>
      <c r="AR6" s="322" t="s">
        <v>48</v>
      </c>
      <c r="AS6" s="318" t="s">
        <v>58</v>
      </c>
      <c r="AT6" s="318" t="s">
        <v>59</v>
      </c>
      <c r="AU6" s="335" t="s">
        <v>60</v>
      </c>
      <c r="AV6" s="322" t="s">
        <v>48</v>
      </c>
      <c r="AW6" s="318" t="s">
        <v>58</v>
      </c>
      <c r="AX6" s="318" t="s">
        <v>59</v>
      </c>
      <c r="AY6" s="335" t="s">
        <v>60</v>
      </c>
      <c r="AZ6" s="334" t="s">
        <v>61</v>
      </c>
      <c r="BA6" s="324" t="s">
        <v>62</v>
      </c>
      <c r="BB6" s="324" t="s">
        <v>63</v>
      </c>
      <c r="BC6" s="324" t="s">
        <v>64</v>
      </c>
      <c r="BD6" s="324" t="s">
        <v>65</v>
      </c>
      <c r="BE6" s="335" t="s">
        <v>66</v>
      </c>
      <c r="BF6" s="334" t="s">
        <v>61</v>
      </c>
      <c r="BG6" s="324" t="s">
        <v>62</v>
      </c>
      <c r="BH6" s="324" t="s">
        <v>63</v>
      </c>
      <c r="BI6" s="324" t="s">
        <v>64</v>
      </c>
      <c r="BJ6" s="324" t="s">
        <v>65</v>
      </c>
      <c r="BK6" s="335" t="s">
        <v>66</v>
      </c>
      <c r="BL6" s="334" t="s">
        <v>68</v>
      </c>
      <c r="BM6" s="324" t="s">
        <v>69</v>
      </c>
      <c r="BN6" s="324" t="s">
        <v>70</v>
      </c>
      <c r="BO6" s="324" t="s">
        <v>71</v>
      </c>
      <c r="BP6" s="335" t="s">
        <v>72</v>
      </c>
      <c r="BQ6" s="334" t="s">
        <v>68</v>
      </c>
      <c r="BR6" s="324" t="s">
        <v>69</v>
      </c>
      <c r="BS6" s="324" t="s">
        <v>70</v>
      </c>
      <c r="BT6" s="324" t="s">
        <v>71</v>
      </c>
      <c r="BU6" s="335" t="s">
        <v>72</v>
      </c>
    </row>
    <row r="7" spans="2:75" ht="15" thickBot="1" x14ac:dyDescent="0.35">
      <c r="C7" s="19" t="s">
        <v>2</v>
      </c>
      <c r="D7" s="20" t="s">
        <v>0</v>
      </c>
      <c r="E7" s="21" t="s">
        <v>1</v>
      </c>
      <c r="F7" s="21" t="s">
        <v>4</v>
      </c>
      <c r="G7" s="353" t="s">
        <v>104</v>
      </c>
      <c r="H7" s="354"/>
      <c r="I7" s="311" t="s">
        <v>105</v>
      </c>
      <c r="J7" s="312"/>
      <c r="L7" s="326"/>
      <c r="M7" s="328"/>
      <c r="N7" s="328"/>
      <c r="O7" s="328"/>
      <c r="P7" s="328"/>
      <c r="Q7" s="328"/>
      <c r="R7" s="330"/>
      <c r="S7" s="323"/>
      <c r="T7" s="319"/>
      <c r="U7" s="319"/>
      <c r="V7" s="319"/>
      <c r="W7" s="319"/>
      <c r="X7" s="319"/>
      <c r="Y7" s="321"/>
      <c r="Z7" s="323"/>
      <c r="AA7" s="319"/>
      <c r="AB7" s="319"/>
      <c r="AC7" s="319"/>
      <c r="AD7" s="319"/>
      <c r="AE7" s="319"/>
      <c r="AF7" s="319"/>
      <c r="AG7" s="319"/>
      <c r="AH7" s="321"/>
      <c r="AI7" s="323"/>
      <c r="AJ7" s="319"/>
      <c r="AK7" s="319"/>
      <c r="AL7" s="319"/>
      <c r="AM7" s="319"/>
      <c r="AN7" s="319"/>
      <c r="AO7" s="319"/>
      <c r="AP7" s="319"/>
      <c r="AQ7" s="321"/>
      <c r="AR7" s="323"/>
      <c r="AS7" s="319"/>
      <c r="AT7" s="319"/>
      <c r="AU7" s="321"/>
      <c r="AV7" s="323"/>
      <c r="AW7" s="319"/>
      <c r="AX7" s="319"/>
      <c r="AY7" s="321"/>
      <c r="AZ7" s="323"/>
      <c r="BA7" s="319"/>
      <c r="BB7" s="336"/>
      <c r="BC7" s="319"/>
      <c r="BD7" s="319"/>
      <c r="BE7" s="321"/>
      <c r="BF7" s="323"/>
      <c r="BG7" s="319"/>
      <c r="BH7" s="336"/>
      <c r="BI7" s="319"/>
      <c r="BJ7" s="319"/>
      <c r="BK7" s="321"/>
      <c r="BL7" s="323"/>
      <c r="BM7" s="319"/>
      <c r="BN7" s="319"/>
      <c r="BO7" s="319"/>
      <c r="BP7" s="321"/>
      <c r="BQ7" s="323"/>
      <c r="BR7" s="319"/>
      <c r="BS7" s="319"/>
      <c r="BT7" s="319"/>
      <c r="BU7" s="321"/>
    </row>
    <row r="8" spans="2:75" x14ac:dyDescent="0.3">
      <c r="B8" s="100">
        <v>1</v>
      </c>
      <c r="C8" s="13"/>
      <c r="D8" s="13" t="s">
        <v>7</v>
      </c>
      <c r="E8" s="13" t="s">
        <v>13</v>
      </c>
      <c r="F8" s="13" t="s">
        <v>103</v>
      </c>
      <c r="G8" s="291" t="s">
        <v>36</v>
      </c>
      <c r="H8" s="291"/>
      <c r="I8" s="291" t="s">
        <v>36</v>
      </c>
      <c r="J8" s="360"/>
      <c r="L8" s="68"/>
      <c r="M8" s="13"/>
      <c r="N8" s="13" t="s">
        <v>73</v>
      </c>
      <c r="O8" s="13"/>
      <c r="P8" s="13"/>
      <c r="Q8" s="13"/>
      <c r="R8" s="69"/>
      <c r="S8" s="110" t="s">
        <v>73</v>
      </c>
      <c r="T8" s="13"/>
      <c r="U8" s="13"/>
      <c r="V8" s="13"/>
      <c r="W8" s="13"/>
      <c r="X8" s="13"/>
      <c r="Y8" s="69"/>
      <c r="Z8" s="110"/>
      <c r="AA8" s="13"/>
      <c r="AB8" s="13"/>
      <c r="AC8" s="13" t="s">
        <v>73</v>
      </c>
      <c r="AD8" s="13"/>
      <c r="AE8" s="13"/>
      <c r="AF8" s="13"/>
      <c r="AG8" s="13"/>
      <c r="AH8" s="69"/>
      <c r="AI8" s="110" t="s">
        <v>73</v>
      </c>
      <c r="AJ8" s="13"/>
      <c r="AK8" s="13"/>
      <c r="AL8" s="13"/>
      <c r="AM8" s="13"/>
      <c r="AN8" s="13"/>
      <c r="AO8" s="13"/>
      <c r="AP8" s="13"/>
      <c r="AQ8" s="69"/>
      <c r="AR8" s="110"/>
      <c r="AS8" s="13" t="s">
        <v>73</v>
      </c>
      <c r="AT8" s="13"/>
      <c r="AU8" s="69"/>
      <c r="AV8" s="110" t="s">
        <v>73</v>
      </c>
      <c r="AW8" s="13"/>
      <c r="AX8" s="13"/>
      <c r="AY8" s="69"/>
      <c r="AZ8" s="110"/>
      <c r="BA8" s="13" t="s">
        <v>73</v>
      </c>
      <c r="BB8" s="13"/>
      <c r="BC8" s="13"/>
      <c r="BD8" s="13"/>
      <c r="BE8" s="69"/>
      <c r="BF8" s="110" t="s">
        <v>73</v>
      </c>
      <c r="BG8" s="13"/>
      <c r="BH8" s="13"/>
      <c r="BI8" s="13"/>
      <c r="BJ8" s="13"/>
      <c r="BK8" s="69"/>
      <c r="BL8" s="110"/>
      <c r="BM8" s="13"/>
      <c r="BN8" s="13"/>
      <c r="BO8" s="13" t="s">
        <v>73</v>
      </c>
      <c r="BP8" s="69"/>
      <c r="BQ8" s="110"/>
      <c r="BR8" s="13"/>
      <c r="BS8" s="13" t="s">
        <v>73</v>
      </c>
      <c r="BT8" s="13"/>
      <c r="BU8" s="69"/>
      <c r="BW8" s="77" t="s">
        <v>73</v>
      </c>
    </row>
    <row r="9" spans="2:75" x14ac:dyDescent="0.3">
      <c r="B9" s="14">
        <v>2</v>
      </c>
      <c r="C9" s="6"/>
      <c r="D9" s="6" t="s">
        <v>7</v>
      </c>
      <c r="E9" s="6" t="s">
        <v>13</v>
      </c>
      <c r="F9" s="6" t="s">
        <v>103</v>
      </c>
      <c r="G9" s="349" t="s">
        <v>36</v>
      </c>
      <c r="H9" s="349"/>
      <c r="I9" s="349" t="s">
        <v>35</v>
      </c>
      <c r="J9" s="350"/>
      <c r="L9" s="71"/>
      <c r="M9" s="72"/>
      <c r="N9" s="72"/>
      <c r="O9" s="72"/>
      <c r="P9" s="72"/>
      <c r="Q9" s="72"/>
      <c r="R9" s="73" t="s">
        <v>73</v>
      </c>
      <c r="S9" s="111"/>
      <c r="T9" s="72"/>
      <c r="U9" s="72" t="s">
        <v>73</v>
      </c>
      <c r="V9" s="72"/>
      <c r="W9" s="72"/>
      <c r="X9" s="72"/>
      <c r="Y9" s="73"/>
      <c r="Z9" s="111"/>
      <c r="AA9" s="72"/>
      <c r="AB9" s="72"/>
      <c r="AC9" s="72" t="s">
        <v>73</v>
      </c>
      <c r="AD9" s="72"/>
      <c r="AE9" s="72"/>
      <c r="AF9" s="72"/>
      <c r="AG9" s="72"/>
      <c r="AH9" s="73"/>
      <c r="AI9" s="111"/>
      <c r="AJ9" s="72"/>
      <c r="AK9" s="72" t="s">
        <v>73</v>
      </c>
      <c r="AL9" s="72"/>
      <c r="AM9" s="72"/>
      <c r="AN9" s="72"/>
      <c r="AO9" s="72"/>
      <c r="AP9" s="72"/>
      <c r="AQ9" s="73"/>
      <c r="AR9" s="111"/>
      <c r="AS9" s="72"/>
      <c r="AT9" s="72" t="s">
        <v>73</v>
      </c>
      <c r="AU9" s="73"/>
      <c r="AV9" s="111"/>
      <c r="AW9" s="72" t="s">
        <v>73</v>
      </c>
      <c r="AX9" s="72"/>
      <c r="AY9" s="73"/>
      <c r="AZ9" s="111"/>
      <c r="BA9" s="72"/>
      <c r="BB9" s="72" t="s">
        <v>73</v>
      </c>
      <c r="BC9" s="72"/>
      <c r="BD9" s="72"/>
      <c r="BE9" s="73"/>
      <c r="BF9" s="111"/>
      <c r="BG9" s="72" t="s">
        <v>73</v>
      </c>
      <c r="BH9" s="72"/>
      <c r="BI9" s="72"/>
      <c r="BJ9" s="72"/>
      <c r="BK9" s="73"/>
      <c r="BL9" s="111"/>
      <c r="BM9" s="72"/>
      <c r="BN9" s="72"/>
      <c r="BO9" s="72" t="s">
        <v>73</v>
      </c>
      <c r="BP9" s="73"/>
      <c r="BQ9" s="111"/>
      <c r="BR9" s="72"/>
      <c r="BS9" s="72"/>
      <c r="BT9" s="72"/>
      <c r="BU9" s="73" t="s">
        <v>73</v>
      </c>
    </row>
    <row r="10" spans="2:75" x14ac:dyDescent="0.3">
      <c r="B10" s="15">
        <v>3</v>
      </c>
      <c r="C10" s="5"/>
      <c r="D10" s="5" t="s">
        <v>8</v>
      </c>
      <c r="E10" s="5" t="s">
        <v>14</v>
      </c>
      <c r="F10" s="5" t="s">
        <v>103</v>
      </c>
      <c r="G10" s="271" t="s">
        <v>34</v>
      </c>
      <c r="H10" s="271"/>
      <c r="I10" s="271" t="s">
        <v>34</v>
      </c>
      <c r="J10" s="273"/>
      <c r="L10" s="70"/>
      <c r="M10" s="5"/>
      <c r="N10" s="5"/>
      <c r="O10" s="5" t="s">
        <v>73</v>
      </c>
      <c r="P10" s="5"/>
      <c r="Q10" s="5"/>
      <c r="R10" s="16"/>
      <c r="S10" s="112" t="s">
        <v>73</v>
      </c>
      <c r="T10" s="5"/>
      <c r="U10" s="5"/>
      <c r="V10" s="5"/>
      <c r="W10" s="5"/>
      <c r="X10" s="5"/>
      <c r="Y10" s="16"/>
      <c r="Z10" s="112"/>
      <c r="AA10" s="5"/>
      <c r="AB10" s="5"/>
      <c r="AC10" s="5" t="s">
        <v>73</v>
      </c>
      <c r="AD10" s="5"/>
      <c r="AE10" s="5"/>
      <c r="AF10" s="5"/>
      <c r="AG10" s="5"/>
      <c r="AH10" s="16"/>
      <c r="AI10" s="112" t="s">
        <v>73</v>
      </c>
      <c r="AJ10" s="5"/>
      <c r="AK10" s="5"/>
      <c r="AL10" s="5"/>
      <c r="AM10" s="5"/>
      <c r="AN10" s="5"/>
      <c r="AO10" s="5"/>
      <c r="AP10" s="5"/>
      <c r="AQ10" s="16"/>
      <c r="AR10" s="112"/>
      <c r="AS10" s="5" t="s">
        <v>73</v>
      </c>
      <c r="AT10" s="5"/>
      <c r="AU10" s="16"/>
      <c r="AV10" s="112" t="s">
        <v>73</v>
      </c>
      <c r="AW10" s="5"/>
      <c r="AX10" s="5"/>
      <c r="AY10" s="16"/>
      <c r="AZ10" s="112"/>
      <c r="BA10" s="5" t="s">
        <v>73</v>
      </c>
      <c r="BB10" s="5"/>
      <c r="BC10" s="5"/>
      <c r="BD10" s="5"/>
      <c r="BE10" s="16"/>
      <c r="BF10" s="112" t="s">
        <v>73</v>
      </c>
      <c r="BG10" s="5"/>
      <c r="BH10" s="5"/>
      <c r="BI10" s="5"/>
      <c r="BJ10" s="5"/>
      <c r="BK10" s="16"/>
      <c r="BL10" s="112"/>
      <c r="BM10" s="5"/>
      <c r="BN10" s="5"/>
      <c r="BO10" s="5" t="s">
        <v>73</v>
      </c>
      <c r="BP10" s="16"/>
      <c r="BQ10" s="112"/>
      <c r="BR10" s="5"/>
      <c r="BS10" s="5"/>
      <c r="BT10" s="5" t="s">
        <v>73</v>
      </c>
      <c r="BU10" s="16"/>
    </row>
    <row r="11" spans="2:75" x14ac:dyDescent="0.3">
      <c r="B11" s="14">
        <v>4</v>
      </c>
      <c r="C11" s="6"/>
      <c r="D11" s="6" t="s">
        <v>7</v>
      </c>
      <c r="E11" s="6" t="s">
        <v>13</v>
      </c>
      <c r="F11" s="6" t="s">
        <v>103</v>
      </c>
      <c r="G11" s="349" t="s">
        <v>36</v>
      </c>
      <c r="H11" s="349"/>
      <c r="I11" s="349" t="s">
        <v>36</v>
      </c>
      <c r="J11" s="350"/>
      <c r="L11" s="71"/>
      <c r="M11" s="72"/>
      <c r="N11" s="72" t="s">
        <v>73</v>
      </c>
      <c r="O11" s="72"/>
      <c r="P11" s="72"/>
      <c r="Q11" s="72"/>
      <c r="R11" s="73"/>
      <c r="S11" s="111" t="s">
        <v>73</v>
      </c>
      <c r="T11" s="72"/>
      <c r="U11" s="72"/>
      <c r="V11" s="72"/>
      <c r="W11" s="72"/>
      <c r="X11" s="72"/>
      <c r="Y11" s="73"/>
      <c r="Z11" s="111"/>
      <c r="AA11" s="72"/>
      <c r="AB11" s="72"/>
      <c r="AC11" s="72" t="s">
        <v>73</v>
      </c>
      <c r="AD11" s="72"/>
      <c r="AE11" s="72"/>
      <c r="AF11" s="72"/>
      <c r="AG11" s="72"/>
      <c r="AH11" s="73"/>
      <c r="AI11" s="111" t="s">
        <v>73</v>
      </c>
      <c r="AJ11" s="72"/>
      <c r="AK11" s="72"/>
      <c r="AL11" s="72"/>
      <c r="AM11" s="72"/>
      <c r="AN11" s="72"/>
      <c r="AO11" s="72"/>
      <c r="AP11" s="72"/>
      <c r="AQ11" s="73"/>
      <c r="AR11" s="111"/>
      <c r="AS11" s="72" t="s">
        <v>73</v>
      </c>
      <c r="AT11" s="72"/>
      <c r="AU11" s="73"/>
      <c r="AV11" s="111" t="s">
        <v>73</v>
      </c>
      <c r="AW11" s="72"/>
      <c r="AX11" s="72"/>
      <c r="AY11" s="73"/>
      <c r="AZ11" s="111"/>
      <c r="BA11" s="72" t="s">
        <v>73</v>
      </c>
      <c r="BB11" s="72"/>
      <c r="BC11" s="72"/>
      <c r="BD11" s="72"/>
      <c r="BE11" s="73"/>
      <c r="BF11" s="111" t="s">
        <v>73</v>
      </c>
      <c r="BG11" s="72"/>
      <c r="BH11" s="72"/>
      <c r="BI11" s="72"/>
      <c r="BJ11" s="72"/>
      <c r="BK11" s="73"/>
      <c r="BL11" s="111"/>
      <c r="BM11" s="72"/>
      <c r="BN11" s="72" t="s">
        <v>73</v>
      </c>
      <c r="BO11" s="72"/>
      <c r="BP11" s="73"/>
      <c r="BQ11" s="111"/>
      <c r="BR11" s="72"/>
      <c r="BS11" s="72"/>
      <c r="BT11" s="72" t="s">
        <v>73</v>
      </c>
      <c r="BU11" s="73"/>
    </row>
    <row r="12" spans="2:75" x14ac:dyDescent="0.3">
      <c r="B12" s="15">
        <v>5</v>
      </c>
      <c r="C12" s="5"/>
      <c r="D12" s="5" t="s">
        <v>7</v>
      </c>
      <c r="E12" s="5" t="s">
        <v>13</v>
      </c>
      <c r="F12" s="5" t="s">
        <v>106</v>
      </c>
      <c r="G12" s="271" t="s">
        <v>36</v>
      </c>
      <c r="H12" s="271"/>
      <c r="I12" s="271" t="s">
        <v>36</v>
      </c>
      <c r="J12" s="273"/>
      <c r="L12" s="70"/>
      <c r="M12" s="5" t="s">
        <v>73</v>
      </c>
      <c r="N12" s="5"/>
      <c r="O12" s="5"/>
      <c r="P12" s="5"/>
      <c r="Q12" s="5"/>
      <c r="R12" s="16"/>
      <c r="S12" s="112" t="s">
        <v>73</v>
      </c>
      <c r="T12" s="5"/>
      <c r="U12" s="5"/>
      <c r="V12" s="5"/>
      <c r="W12" s="5"/>
      <c r="X12" s="5"/>
      <c r="Y12" s="16"/>
      <c r="Z12" s="112"/>
      <c r="AA12" s="5"/>
      <c r="AB12" s="5"/>
      <c r="AC12" s="5"/>
      <c r="AD12" s="5"/>
      <c r="AE12" s="5" t="s">
        <v>73</v>
      </c>
      <c r="AF12" s="5"/>
      <c r="AG12" s="5"/>
      <c r="AH12" s="16"/>
      <c r="AI12" s="112" t="s">
        <v>73</v>
      </c>
      <c r="AJ12" s="5"/>
      <c r="AK12" s="5"/>
      <c r="AL12" s="5"/>
      <c r="AM12" s="5"/>
      <c r="AN12" s="5"/>
      <c r="AO12" s="5"/>
      <c r="AP12" s="5"/>
      <c r="AQ12" s="16"/>
      <c r="AR12" s="112"/>
      <c r="AS12" s="5" t="s">
        <v>73</v>
      </c>
      <c r="AT12" s="5"/>
      <c r="AU12" s="16"/>
      <c r="AV12" s="112" t="s">
        <v>73</v>
      </c>
      <c r="AW12" s="5"/>
      <c r="AX12" s="5"/>
      <c r="AY12" s="16"/>
      <c r="AZ12" s="112"/>
      <c r="BA12" s="5" t="s">
        <v>73</v>
      </c>
      <c r="BB12" s="5"/>
      <c r="BC12" s="5"/>
      <c r="BD12" s="5"/>
      <c r="BE12" s="16"/>
      <c r="BF12" s="112" t="s">
        <v>73</v>
      </c>
      <c r="BG12" s="5"/>
      <c r="BH12" s="5"/>
      <c r="BI12" s="5"/>
      <c r="BJ12" s="5"/>
      <c r="BK12" s="16"/>
      <c r="BL12" s="112"/>
      <c r="BM12" s="5"/>
      <c r="BN12" s="5"/>
      <c r="BO12" s="5"/>
      <c r="BP12" s="16" t="s">
        <v>73</v>
      </c>
      <c r="BQ12" s="112"/>
      <c r="BR12" s="5"/>
      <c r="BS12" s="5"/>
      <c r="BT12" s="5"/>
      <c r="BU12" s="16" t="s">
        <v>73</v>
      </c>
    </row>
    <row r="13" spans="2:75" x14ac:dyDescent="0.3">
      <c r="B13" s="14">
        <v>6</v>
      </c>
      <c r="C13" s="6"/>
      <c r="D13" s="6" t="s">
        <v>8</v>
      </c>
      <c r="E13" s="6" t="s">
        <v>13</v>
      </c>
      <c r="F13" s="6" t="s">
        <v>103</v>
      </c>
      <c r="G13" s="349" t="s">
        <v>36</v>
      </c>
      <c r="H13" s="349"/>
      <c r="I13" s="349" t="s">
        <v>36</v>
      </c>
      <c r="J13" s="350"/>
      <c r="L13" s="71"/>
      <c r="M13" s="72"/>
      <c r="N13" s="72"/>
      <c r="O13" s="72"/>
      <c r="P13" s="72"/>
      <c r="Q13" s="72"/>
      <c r="R13" s="73" t="s">
        <v>73</v>
      </c>
      <c r="S13" s="111"/>
      <c r="T13" s="72"/>
      <c r="U13" s="72"/>
      <c r="V13" s="72"/>
      <c r="W13" s="72"/>
      <c r="X13" s="72"/>
      <c r="Y13" s="73" t="s">
        <v>73</v>
      </c>
      <c r="Z13" s="111"/>
      <c r="AA13" s="72"/>
      <c r="AB13" s="72"/>
      <c r="AC13" s="72"/>
      <c r="AD13" s="72"/>
      <c r="AE13" s="72"/>
      <c r="AF13" s="72"/>
      <c r="AG13" s="72" t="s">
        <v>73</v>
      </c>
      <c r="AH13" s="73"/>
      <c r="AI13" s="111"/>
      <c r="AJ13" s="72"/>
      <c r="AK13" s="72"/>
      <c r="AL13" s="72"/>
      <c r="AM13" s="72"/>
      <c r="AN13" s="72" t="s">
        <v>73</v>
      </c>
      <c r="AO13" s="72"/>
      <c r="AP13" s="72"/>
      <c r="AQ13" s="73"/>
      <c r="AR13" s="111"/>
      <c r="AS13" s="72"/>
      <c r="AT13" s="72" t="s">
        <v>73</v>
      </c>
      <c r="AU13" s="73"/>
      <c r="AV13" s="111"/>
      <c r="AW13" s="72"/>
      <c r="AX13" s="72" t="s">
        <v>73</v>
      </c>
      <c r="AY13" s="73"/>
      <c r="AZ13" s="111"/>
      <c r="BA13" s="72"/>
      <c r="BB13" s="72"/>
      <c r="BC13" s="72"/>
      <c r="BD13" s="72" t="s">
        <v>73</v>
      </c>
      <c r="BE13" s="73"/>
      <c r="BF13" s="111"/>
      <c r="BG13" s="72"/>
      <c r="BH13" s="72"/>
      <c r="BI13" s="72" t="s">
        <v>73</v>
      </c>
      <c r="BJ13" s="72"/>
      <c r="BK13" s="73"/>
      <c r="BL13" s="111"/>
      <c r="BM13" s="72"/>
      <c r="BN13" s="72"/>
      <c r="BO13" s="72" t="s">
        <v>73</v>
      </c>
      <c r="BP13" s="73"/>
      <c r="BQ13" s="111"/>
      <c r="BR13" s="72"/>
      <c r="BS13" s="72" t="s">
        <v>73</v>
      </c>
      <c r="BT13" s="72"/>
      <c r="BU13" s="73"/>
    </row>
    <row r="14" spans="2:75" x14ac:dyDescent="0.3">
      <c r="B14" s="15">
        <v>7</v>
      </c>
      <c r="C14" s="5"/>
      <c r="D14" s="5" t="s">
        <v>7</v>
      </c>
      <c r="E14" s="5" t="s">
        <v>13</v>
      </c>
      <c r="F14" s="5" t="s">
        <v>107</v>
      </c>
      <c r="G14" s="271" t="s">
        <v>36</v>
      </c>
      <c r="H14" s="271"/>
      <c r="I14" s="271" t="s">
        <v>36</v>
      </c>
      <c r="J14" s="273"/>
      <c r="L14" s="70"/>
      <c r="M14" s="5"/>
      <c r="N14" s="5" t="s">
        <v>73</v>
      </c>
      <c r="O14" s="5"/>
      <c r="P14" s="5"/>
      <c r="Q14" s="5"/>
      <c r="R14" s="16"/>
      <c r="S14" s="112" t="s">
        <v>73</v>
      </c>
      <c r="T14" s="5"/>
      <c r="U14" s="5"/>
      <c r="V14" s="5"/>
      <c r="W14" s="5"/>
      <c r="X14" s="5"/>
      <c r="Y14" s="16"/>
      <c r="Z14" s="112"/>
      <c r="AA14" s="5" t="s">
        <v>73</v>
      </c>
      <c r="AB14" s="5"/>
      <c r="AC14" s="5"/>
      <c r="AD14" s="5"/>
      <c r="AE14" s="5"/>
      <c r="AF14" s="5"/>
      <c r="AG14" s="5"/>
      <c r="AH14" s="16"/>
      <c r="AI14" s="112" t="s">
        <v>73</v>
      </c>
      <c r="AJ14" s="5"/>
      <c r="AK14" s="5"/>
      <c r="AL14" s="5"/>
      <c r="AM14" s="5"/>
      <c r="AN14" s="5"/>
      <c r="AO14" s="5"/>
      <c r="AP14" s="5"/>
      <c r="AQ14" s="16"/>
      <c r="AR14" s="112"/>
      <c r="AS14" s="5" t="s">
        <v>73</v>
      </c>
      <c r="AT14" s="5"/>
      <c r="AU14" s="16"/>
      <c r="AV14" s="112" t="s">
        <v>73</v>
      </c>
      <c r="AW14" s="5"/>
      <c r="AX14" s="5"/>
      <c r="AY14" s="16"/>
      <c r="AZ14" s="112"/>
      <c r="BA14" s="5" t="s">
        <v>73</v>
      </c>
      <c r="BB14" s="5"/>
      <c r="BC14" s="5"/>
      <c r="BD14" s="5"/>
      <c r="BE14" s="16"/>
      <c r="BF14" s="112" t="s">
        <v>73</v>
      </c>
      <c r="BG14" s="5"/>
      <c r="BH14" s="5"/>
      <c r="BI14" s="5"/>
      <c r="BJ14" s="5"/>
      <c r="BK14" s="16"/>
      <c r="BL14" s="112"/>
      <c r="BM14" s="5"/>
      <c r="BN14" s="5"/>
      <c r="BO14" s="5"/>
      <c r="BP14" s="16" t="s">
        <v>73</v>
      </c>
      <c r="BQ14" s="112" t="s">
        <v>73</v>
      </c>
      <c r="BR14" s="5"/>
      <c r="BS14" s="5"/>
      <c r="BT14" s="5"/>
      <c r="BU14" s="16"/>
    </row>
    <row r="15" spans="2:75" x14ac:dyDescent="0.3">
      <c r="B15" s="14">
        <v>8</v>
      </c>
      <c r="C15" s="107" t="s">
        <v>109</v>
      </c>
      <c r="D15" s="6" t="s">
        <v>7</v>
      </c>
      <c r="E15" s="6" t="s">
        <v>14</v>
      </c>
      <c r="F15" s="6" t="s">
        <v>108</v>
      </c>
      <c r="G15" s="349" t="s">
        <v>34</v>
      </c>
      <c r="H15" s="349"/>
      <c r="I15" s="349" t="s">
        <v>34</v>
      </c>
      <c r="J15" s="350"/>
      <c r="L15" s="71"/>
      <c r="M15" s="72"/>
      <c r="N15" s="72"/>
      <c r="O15" s="72"/>
      <c r="P15" s="72"/>
      <c r="Q15" s="72"/>
      <c r="R15" s="73" t="s">
        <v>73</v>
      </c>
      <c r="S15" s="111"/>
      <c r="T15" s="72"/>
      <c r="U15" s="72"/>
      <c r="V15" s="72"/>
      <c r="W15" s="72"/>
      <c r="X15" s="72"/>
      <c r="Y15" s="73" t="s">
        <v>73</v>
      </c>
      <c r="Z15" s="111"/>
      <c r="AA15" s="72"/>
      <c r="AB15" s="72"/>
      <c r="AC15" s="72"/>
      <c r="AD15" s="72"/>
      <c r="AE15" s="72"/>
      <c r="AF15" s="72" t="s">
        <v>73</v>
      </c>
      <c r="AG15" s="72"/>
      <c r="AH15" s="73"/>
      <c r="AI15" s="111"/>
      <c r="AJ15" s="72"/>
      <c r="AK15" s="72"/>
      <c r="AL15" s="72"/>
      <c r="AM15" s="72"/>
      <c r="AN15" s="72"/>
      <c r="AO15" s="72" t="s">
        <v>73</v>
      </c>
      <c r="AP15" s="72"/>
      <c r="AQ15" s="73"/>
      <c r="AR15" s="111"/>
      <c r="AS15" s="72"/>
      <c r="AT15" s="72" t="s">
        <v>73</v>
      </c>
      <c r="AU15" s="73"/>
      <c r="AV15" s="111"/>
      <c r="AW15" s="72"/>
      <c r="AX15" s="72" t="s">
        <v>73</v>
      </c>
      <c r="AY15" s="73"/>
      <c r="AZ15" s="111"/>
      <c r="BA15" s="72"/>
      <c r="BB15" s="72"/>
      <c r="BC15" s="72"/>
      <c r="BD15" s="72" t="s">
        <v>73</v>
      </c>
      <c r="BE15" s="73"/>
      <c r="BF15" s="111"/>
      <c r="BG15" s="72"/>
      <c r="BH15" s="72"/>
      <c r="BI15" s="72"/>
      <c r="BJ15" s="72" t="s">
        <v>73</v>
      </c>
      <c r="BK15" s="73"/>
      <c r="BL15" s="111"/>
      <c r="BM15" s="72"/>
      <c r="BN15" s="72"/>
      <c r="BO15" s="72" t="s">
        <v>73</v>
      </c>
      <c r="BP15" s="73"/>
      <c r="BQ15" s="111"/>
      <c r="BR15" s="72"/>
      <c r="BS15" s="72"/>
      <c r="BT15" s="72" t="s">
        <v>73</v>
      </c>
      <c r="BU15" s="73"/>
    </row>
    <row r="16" spans="2:75" x14ac:dyDescent="0.3">
      <c r="B16" s="15">
        <v>9</v>
      </c>
      <c r="C16" s="5" t="s">
        <v>110</v>
      </c>
      <c r="D16" s="5" t="s">
        <v>8</v>
      </c>
      <c r="E16" s="5" t="s">
        <v>17</v>
      </c>
      <c r="F16" s="5" t="s">
        <v>103</v>
      </c>
      <c r="G16" s="271" t="s">
        <v>34</v>
      </c>
      <c r="H16" s="271"/>
      <c r="I16" s="271" t="s">
        <v>34</v>
      </c>
      <c r="J16" s="273"/>
      <c r="L16" s="70"/>
      <c r="M16" s="5"/>
      <c r="N16" s="5" t="s">
        <v>73</v>
      </c>
      <c r="O16" s="5"/>
      <c r="P16" s="5"/>
      <c r="Q16" s="5"/>
      <c r="R16" s="16"/>
      <c r="S16" s="112"/>
      <c r="T16" s="5"/>
      <c r="U16" s="5" t="s">
        <v>73</v>
      </c>
      <c r="V16" s="5"/>
      <c r="W16" s="5"/>
      <c r="X16" s="5"/>
      <c r="Y16" s="16"/>
      <c r="Z16" s="112"/>
      <c r="AA16" s="5"/>
      <c r="AB16" s="5"/>
      <c r="AC16" s="5" t="s">
        <v>73</v>
      </c>
      <c r="AD16" s="5"/>
      <c r="AE16" s="5"/>
      <c r="AF16" s="5"/>
      <c r="AG16" s="5"/>
      <c r="AH16" s="16"/>
      <c r="AI16" s="112"/>
      <c r="AJ16" s="5"/>
      <c r="AK16" s="5"/>
      <c r="AL16" s="5"/>
      <c r="AM16" s="5"/>
      <c r="AN16" s="5" t="s">
        <v>73</v>
      </c>
      <c r="AO16" s="5"/>
      <c r="AP16" s="5"/>
      <c r="AQ16" s="16"/>
      <c r="AR16" s="112"/>
      <c r="AS16" s="5" t="s">
        <v>73</v>
      </c>
      <c r="AT16" s="5"/>
      <c r="AU16" s="16"/>
      <c r="AV16" s="112" t="s">
        <v>73</v>
      </c>
      <c r="AW16" s="5"/>
      <c r="AX16" s="5"/>
      <c r="AY16" s="16"/>
      <c r="AZ16" s="112"/>
      <c r="BA16" s="5" t="s">
        <v>73</v>
      </c>
      <c r="BB16" s="5"/>
      <c r="BC16" s="5"/>
      <c r="BD16" s="5"/>
      <c r="BE16" s="16"/>
      <c r="BF16" s="112" t="s">
        <v>73</v>
      </c>
      <c r="BG16" s="5"/>
      <c r="BH16" s="5"/>
      <c r="BI16" s="5"/>
      <c r="BJ16" s="5"/>
      <c r="BK16" s="16"/>
      <c r="BL16" s="112"/>
      <c r="BM16" s="5"/>
      <c r="BN16" s="5"/>
      <c r="BO16" s="5" t="s">
        <v>73</v>
      </c>
      <c r="BP16" s="16"/>
      <c r="BQ16" s="112"/>
      <c r="BR16" s="5" t="s">
        <v>73</v>
      </c>
      <c r="BS16" s="5"/>
      <c r="BT16" s="5"/>
      <c r="BU16" s="16"/>
    </row>
    <row r="17" spans="2:73" x14ac:dyDescent="0.3">
      <c r="B17" s="14">
        <v>10</v>
      </c>
      <c r="C17" s="6" t="s">
        <v>111</v>
      </c>
      <c r="D17" s="6" t="s">
        <v>8</v>
      </c>
      <c r="E17" s="6" t="s">
        <v>18</v>
      </c>
      <c r="F17" s="6" t="s">
        <v>103</v>
      </c>
      <c r="G17" s="355" t="s">
        <v>112</v>
      </c>
      <c r="H17" s="349"/>
      <c r="I17" s="349" t="s">
        <v>112</v>
      </c>
      <c r="J17" s="350"/>
      <c r="L17" s="71" t="s">
        <v>73</v>
      </c>
      <c r="M17" s="72"/>
      <c r="N17" s="72"/>
      <c r="O17" s="72"/>
      <c r="P17" s="72"/>
      <c r="Q17" s="72"/>
      <c r="R17" s="73"/>
      <c r="S17" s="111" t="s">
        <v>73</v>
      </c>
      <c r="T17" s="72"/>
      <c r="U17" s="72"/>
      <c r="V17" s="72"/>
      <c r="W17" s="72"/>
      <c r="X17" s="72"/>
      <c r="Y17" s="73"/>
      <c r="Z17" s="111" t="s">
        <v>73</v>
      </c>
      <c r="AA17" s="72"/>
      <c r="AB17" s="72"/>
      <c r="AC17" s="72"/>
      <c r="AD17" s="72"/>
      <c r="AE17" s="72"/>
      <c r="AF17" s="72"/>
      <c r="AG17" s="72"/>
      <c r="AH17" s="73"/>
      <c r="AI17" s="111" t="s">
        <v>73</v>
      </c>
      <c r="AJ17" s="72"/>
      <c r="AK17" s="72"/>
      <c r="AL17" s="72"/>
      <c r="AM17" s="72"/>
      <c r="AN17" s="72"/>
      <c r="AO17" s="72"/>
      <c r="AP17" s="72"/>
      <c r="AQ17" s="73"/>
      <c r="AR17" s="111" t="s">
        <v>73</v>
      </c>
      <c r="AS17" s="72"/>
      <c r="AT17" s="72"/>
      <c r="AU17" s="73"/>
      <c r="AV17" s="111" t="s">
        <v>73</v>
      </c>
      <c r="AW17" s="72"/>
      <c r="AX17" s="72"/>
      <c r="AY17" s="73"/>
      <c r="AZ17" s="111" t="s">
        <v>73</v>
      </c>
      <c r="BA17" s="72"/>
      <c r="BB17" s="72"/>
      <c r="BC17" s="72"/>
      <c r="BD17" s="72"/>
      <c r="BE17" s="73"/>
      <c r="BF17" s="111" t="s">
        <v>73</v>
      </c>
      <c r="BG17" s="72"/>
      <c r="BH17" s="72"/>
      <c r="BI17" s="72"/>
      <c r="BJ17" s="72"/>
      <c r="BK17" s="73"/>
      <c r="BL17" s="111"/>
      <c r="BM17" s="72"/>
      <c r="BN17" s="72" t="s">
        <v>73</v>
      </c>
      <c r="BO17" s="72"/>
      <c r="BP17" s="73"/>
      <c r="BQ17" s="111"/>
      <c r="BR17" s="72"/>
      <c r="BS17" s="72" t="s">
        <v>73</v>
      </c>
      <c r="BT17" s="72"/>
      <c r="BU17" s="73"/>
    </row>
    <row r="18" spans="2:73" x14ac:dyDescent="0.3">
      <c r="B18" s="15">
        <v>11</v>
      </c>
      <c r="C18" s="5" t="s">
        <v>113</v>
      </c>
      <c r="D18" s="5" t="s">
        <v>7</v>
      </c>
      <c r="E18" s="5" t="s">
        <v>17</v>
      </c>
      <c r="F18" s="5" t="s">
        <v>103</v>
      </c>
      <c r="G18" s="271" t="s">
        <v>34</v>
      </c>
      <c r="H18" s="271"/>
      <c r="I18" s="271" t="s">
        <v>34</v>
      </c>
      <c r="J18" s="273"/>
      <c r="L18" s="70"/>
      <c r="M18" s="5"/>
      <c r="N18" s="5" t="s">
        <v>73</v>
      </c>
      <c r="O18" s="5"/>
      <c r="P18" s="5"/>
      <c r="Q18" s="5"/>
      <c r="R18" s="16"/>
      <c r="S18" s="112"/>
      <c r="T18" s="5"/>
      <c r="U18" s="5" t="s">
        <v>73</v>
      </c>
      <c r="V18" s="5"/>
      <c r="W18" s="5"/>
      <c r="X18" s="5"/>
      <c r="Y18" s="16"/>
      <c r="Z18" s="112"/>
      <c r="AA18" s="5"/>
      <c r="AB18" s="5" t="s">
        <v>73</v>
      </c>
      <c r="AC18" s="5"/>
      <c r="AD18" s="5"/>
      <c r="AE18" s="5"/>
      <c r="AF18" s="5"/>
      <c r="AG18" s="5"/>
      <c r="AH18" s="16"/>
      <c r="AI18" s="112"/>
      <c r="AJ18" s="5"/>
      <c r="AK18" s="5" t="s">
        <v>73</v>
      </c>
      <c r="AL18" s="5"/>
      <c r="AM18" s="5"/>
      <c r="AN18" s="5"/>
      <c r="AO18" s="5"/>
      <c r="AP18" s="5"/>
      <c r="AQ18" s="16"/>
      <c r="AR18" s="112"/>
      <c r="AS18" s="5" t="s">
        <v>73</v>
      </c>
      <c r="AT18" s="5"/>
      <c r="AU18" s="16"/>
      <c r="AV18" s="112"/>
      <c r="AW18" s="5" t="s">
        <v>73</v>
      </c>
      <c r="AX18" s="5"/>
      <c r="AY18" s="16"/>
      <c r="AZ18" s="112"/>
      <c r="BA18" s="5"/>
      <c r="BB18" s="5" t="s">
        <v>73</v>
      </c>
      <c r="BC18" s="5"/>
      <c r="BD18" s="5"/>
      <c r="BE18" s="16"/>
      <c r="BF18" s="112"/>
      <c r="BG18" s="5"/>
      <c r="BH18" s="5" t="s">
        <v>73</v>
      </c>
      <c r="BI18" s="5"/>
      <c r="BJ18" s="5"/>
      <c r="BK18" s="16"/>
      <c r="BL18" s="112"/>
      <c r="BM18" s="5"/>
      <c r="BN18" s="5"/>
      <c r="BO18" s="5"/>
      <c r="BP18" s="16" t="s">
        <v>73</v>
      </c>
      <c r="BQ18" s="112"/>
      <c r="BR18" s="5"/>
      <c r="BS18" s="5"/>
      <c r="BT18" s="5"/>
      <c r="BU18" s="16" t="s">
        <v>73</v>
      </c>
    </row>
    <row r="19" spans="2:73" x14ac:dyDescent="0.3">
      <c r="B19" s="14">
        <v>12</v>
      </c>
      <c r="C19" s="6"/>
      <c r="D19" s="6" t="s">
        <v>7</v>
      </c>
      <c r="E19" s="6" t="s">
        <v>14</v>
      </c>
      <c r="F19" s="6" t="s">
        <v>103</v>
      </c>
      <c r="G19" s="349" t="s">
        <v>34</v>
      </c>
      <c r="H19" s="349"/>
      <c r="I19" s="349" t="s">
        <v>34</v>
      </c>
      <c r="J19" s="350"/>
      <c r="L19" s="71"/>
      <c r="M19" s="72" t="s">
        <v>73</v>
      </c>
      <c r="N19" s="72"/>
      <c r="O19" s="72"/>
      <c r="P19" s="72"/>
      <c r="Q19" s="72"/>
      <c r="R19" s="73"/>
      <c r="S19" s="111"/>
      <c r="T19" s="72"/>
      <c r="U19" s="72" t="s">
        <v>73</v>
      </c>
      <c r="V19" s="72"/>
      <c r="W19" s="72"/>
      <c r="X19" s="72"/>
      <c r="Y19" s="73"/>
      <c r="Z19" s="111"/>
      <c r="AA19" s="72" t="s">
        <v>73</v>
      </c>
      <c r="AB19" s="72"/>
      <c r="AC19" s="72"/>
      <c r="AD19" s="72"/>
      <c r="AE19" s="72"/>
      <c r="AF19" s="72"/>
      <c r="AG19" s="72"/>
      <c r="AH19" s="73"/>
      <c r="AI19" s="111"/>
      <c r="AJ19" s="72"/>
      <c r="AK19" s="72"/>
      <c r="AL19" s="72" t="s">
        <v>73</v>
      </c>
      <c r="AM19" s="72"/>
      <c r="AN19" s="72"/>
      <c r="AO19" s="72"/>
      <c r="AP19" s="72"/>
      <c r="AQ19" s="73"/>
      <c r="AR19" s="111" t="s">
        <v>73</v>
      </c>
      <c r="AS19" s="72"/>
      <c r="AT19" s="72"/>
      <c r="AU19" s="73"/>
      <c r="AV19" s="111"/>
      <c r="AW19" s="72" t="s">
        <v>73</v>
      </c>
      <c r="AX19" s="72"/>
      <c r="AY19" s="73"/>
      <c r="AZ19" s="111"/>
      <c r="BA19" s="72" t="s">
        <v>73</v>
      </c>
      <c r="BB19" s="72"/>
      <c r="BC19" s="72"/>
      <c r="BD19" s="72"/>
      <c r="BE19" s="73"/>
      <c r="BF19" s="111"/>
      <c r="BG19" s="72"/>
      <c r="BH19" s="72" t="s">
        <v>73</v>
      </c>
      <c r="BI19" s="72"/>
      <c r="BJ19" s="72"/>
      <c r="BK19" s="73"/>
      <c r="BL19" s="111"/>
      <c r="BM19" s="72"/>
      <c r="BN19" s="72"/>
      <c r="BO19" s="72"/>
      <c r="BP19" s="73" t="s">
        <v>73</v>
      </c>
      <c r="BQ19" s="111"/>
      <c r="BR19" s="72"/>
      <c r="BS19" s="72"/>
      <c r="BT19" s="72" t="s">
        <v>73</v>
      </c>
      <c r="BU19" s="73"/>
    </row>
    <row r="20" spans="2:73" x14ac:dyDescent="0.3">
      <c r="B20" s="15">
        <v>13</v>
      </c>
      <c r="C20" s="5"/>
      <c r="D20" s="5" t="s">
        <v>8</v>
      </c>
      <c r="E20" s="5" t="s">
        <v>14</v>
      </c>
      <c r="F20" s="5" t="s">
        <v>114</v>
      </c>
      <c r="G20" s="271" t="s">
        <v>34</v>
      </c>
      <c r="H20" s="271"/>
      <c r="I20" s="271" t="s">
        <v>34</v>
      </c>
      <c r="J20" s="273"/>
      <c r="L20" s="70"/>
      <c r="M20" s="5" t="s">
        <v>73</v>
      </c>
      <c r="N20" s="5"/>
      <c r="O20" s="5"/>
      <c r="P20" s="5"/>
      <c r="Q20" s="5"/>
      <c r="R20" s="16"/>
      <c r="S20" s="112"/>
      <c r="T20" s="5"/>
      <c r="U20" s="5"/>
      <c r="V20" s="5" t="s">
        <v>73</v>
      </c>
      <c r="W20" s="5"/>
      <c r="X20" s="5"/>
      <c r="Y20" s="16"/>
      <c r="Z20" s="112"/>
      <c r="AA20" s="5" t="s">
        <v>73</v>
      </c>
      <c r="AB20" s="5"/>
      <c r="AC20" s="5"/>
      <c r="AD20" s="5"/>
      <c r="AE20" s="5"/>
      <c r="AF20" s="5"/>
      <c r="AG20" s="5"/>
      <c r="AH20" s="16"/>
      <c r="AI20" s="112"/>
      <c r="AJ20" s="5"/>
      <c r="AK20" s="5"/>
      <c r="AL20" s="5"/>
      <c r="AM20" s="5" t="s">
        <v>73</v>
      </c>
      <c r="AN20" s="5"/>
      <c r="AO20" s="5"/>
      <c r="AP20" s="5"/>
      <c r="AQ20" s="16"/>
      <c r="AR20" s="112"/>
      <c r="AS20" s="5" t="s">
        <v>73</v>
      </c>
      <c r="AT20" s="5"/>
      <c r="AU20" s="16"/>
      <c r="AV20" s="112"/>
      <c r="AW20" s="5" t="s">
        <v>73</v>
      </c>
      <c r="AX20" s="5"/>
      <c r="AY20" s="16"/>
      <c r="AZ20" s="112"/>
      <c r="BA20" s="5" t="s">
        <v>73</v>
      </c>
      <c r="BB20" s="5"/>
      <c r="BC20" s="5"/>
      <c r="BD20" s="5"/>
      <c r="BE20" s="16"/>
      <c r="BF20" s="112"/>
      <c r="BG20" s="5" t="s">
        <v>73</v>
      </c>
      <c r="BH20" s="5"/>
      <c r="BI20" s="5"/>
      <c r="BJ20" s="5"/>
      <c r="BK20" s="16"/>
      <c r="BL20" s="112"/>
      <c r="BM20" s="5"/>
      <c r="BN20" s="5"/>
      <c r="BO20" s="5" t="s">
        <v>73</v>
      </c>
      <c r="BP20" s="16"/>
      <c r="BQ20" s="112"/>
      <c r="BR20" s="5"/>
      <c r="BS20" s="5"/>
      <c r="BT20" s="5" t="s">
        <v>73</v>
      </c>
      <c r="BU20" s="16"/>
    </row>
    <row r="21" spans="2:73" x14ac:dyDescent="0.3">
      <c r="B21" s="14">
        <v>14</v>
      </c>
      <c r="C21" s="6" t="s">
        <v>115</v>
      </c>
      <c r="D21" s="6" t="s">
        <v>7</v>
      </c>
      <c r="E21" s="6" t="s">
        <v>13</v>
      </c>
      <c r="F21" s="6" t="s">
        <v>103</v>
      </c>
      <c r="G21" s="349" t="s">
        <v>35</v>
      </c>
      <c r="H21" s="349"/>
      <c r="I21" s="349" t="s">
        <v>35</v>
      </c>
      <c r="J21" s="350"/>
      <c r="L21" s="71" t="s">
        <v>73</v>
      </c>
      <c r="M21" s="72"/>
      <c r="N21" s="72"/>
      <c r="O21" s="72"/>
      <c r="P21" s="72"/>
      <c r="Q21" s="72"/>
      <c r="R21" s="73"/>
      <c r="S21" s="111" t="s">
        <v>73</v>
      </c>
      <c r="T21" s="72"/>
      <c r="U21" s="72"/>
      <c r="V21" s="72"/>
      <c r="W21" s="72"/>
      <c r="X21" s="72"/>
      <c r="Y21" s="73"/>
      <c r="Z21" s="111" t="s">
        <v>73</v>
      </c>
      <c r="AA21" s="72"/>
      <c r="AB21" s="72"/>
      <c r="AC21" s="72"/>
      <c r="AD21" s="72"/>
      <c r="AE21" s="72"/>
      <c r="AF21" s="72"/>
      <c r="AG21" s="72"/>
      <c r="AH21" s="73"/>
      <c r="AI21" s="111" t="s">
        <v>73</v>
      </c>
      <c r="AJ21" s="72"/>
      <c r="AK21" s="72"/>
      <c r="AL21" s="72"/>
      <c r="AM21" s="72"/>
      <c r="AN21" s="72"/>
      <c r="AO21" s="72"/>
      <c r="AP21" s="72"/>
      <c r="AQ21" s="73"/>
      <c r="AR21" s="111" t="s">
        <v>73</v>
      </c>
      <c r="AS21" s="72"/>
      <c r="AT21" s="72"/>
      <c r="AU21" s="73"/>
      <c r="AV21" s="111" t="s">
        <v>73</v>
      </c>
      <c r="AW21" s="72"/>
      <c r="AX21" s="72"/>
      <c r="AY21" s="73"/>
      <c r="AZ21" s="111" t="s">
        <v>73</v>
      </c>
      <c r="BA21" s="72"/>
      <c r="BB21" s="72"/>
      <c r="BC21" s="72"/>
      <c r="BD21" s="72"/>
      <c r="BE21" s="73"/>
      <c r="BF21" s="111" t="s">
        <v>73</v>
      </c>
      <c r="BG21" s="72"/>
      <c r="BH21" s="72"/>
      <c r="BI21" s="72"/>
      <c r="BJ21" s="72"/>
      <c r="BK21" s="73"/>
      <c r="BL21" s="111"/>
      <c r="BM21" s="72"/>
      <c r="BN21" s="72"/>
      <c r="BO21" s="72" t="s">
        <v>73</v>
      </c>
      <c r="BP21" s="73"/>
      <c r="BQ21" s="111"/>
      <c r="BR21" s="72" t="s">
        <v>73</v>
      </c>
      <c r="BS21" s="72"/>
      <c r="BT21" s="72"/>
      <c r="BU21" s="73"/>
    </row>
    <row r="22" spans="2:73" x14ac:dyDescent="0.3">
      <c r="B22" s="15">
        <v>15</v>
      </c>
      <c r="C22" s="5" t="s">
        <v>116</v>
      </c>
      <c r="D22" s="5" t="s">
        <v>7</v>
      </c>
      <c r="E22" s="5" t="s">
        <v>18</v>
      </c>
      <c r="F22" s="5" t="s">
        <v>117</v>
      </c>
      <c r="G22" s="271" t="s">
        <v>34</v>
      </c>
      <c r="H22" s="271"/>
      <c r="I22" s="271" t="s">
        <v>34</v>
      </c>
      <c r="J22" s="273"/>
      <c r="L22" s="70"/>
      <c r="M22" s="5"/>
      <c r="N22" s="5"/>
      <c r="O22" s="5"/>
      <c r="P22" s="5"/>
      <c r="Q22" s="5" t="s">
        <v>73</v>
      </c>
      <c r="R22" s="16"/>
      <c r="S22" s="112"/>
      <c r="T22" s="5"/>
      <c r="U22" s="5"/>
      <c r="V22" s="5"/>
      <c r="W22" s="5"/>
      <c r="X22" s="5" t="s">
        <v>73</v>
      </c>
      <c r="Y22" s="16"/>
      <c r="Z22" s="112"/>
      <c r="AA22" s="5"/>
      <c r="AB22" s="5"/>
      <c r="AC22" s="5"/>
      <c r="AD22" s="5"/>
      <c r="AE22" s="5"/>
      <c r="AF22" s="5" t="s">
        <v>73</v>
      </c>
      <c r="AG22" s="5"/>
      <c r="AH22" s="16"/>
      <c r="AI22" s="112"/>
      <c r="AJ22" s="5"/>
      <c r="AK22" s="5"/>
      <c r="AL22" s="5"/>
      <c r="AM22" s="5"/>
      <c r="AN22" s="5"/>
      <c r="AO22" s="5" t="s">
        <v>73</v>
      </c>
      <c r="AP22" s="5"/>
      <c r="AQ22" s="16"/>
      <c r="AR22" s="112"/>
      <c r="AS22" s="5"/>
      <c r="AT22" s="5" t="s">
        <v>73</v>
      </c>
      <c r="AU22" s="16"/>
      <c r="AV22" s="112"/>
      <c r="AW22" s="5"/>
      <c r="AX22" s="5" t="s">
        <v>73</v>
      </c>
      <c r="AY22" s="16"/>
      <c r="AZ22" s="112"/>
      <c r="BA22" s="5"/>
      <c r="BB22" s="5"/>
      <c r="BC22" s="5"/>
      <c r="BD22" s="5" t="s">
        <v>73</v>
      </c>
      <c r="BE22" s="16"/>
      <c r="BF22" s="112"/>
      <c r="BG22" s="5"/>
      <c r="BH22" s="5"/>
      <c r="BI22" s="5"/>
      <c r="BJ22" s="5" t="s">
        <v>73</v>
      </c>
      <c r="BK22" s="16"/>
      <c r="BL22" s="112"/>
      <c r="BM22" s="5"/>
      <c r="BN22" s="5"/>
      <c r="BO22" s="5" t="s">
        <v>73</v>
      </c>
      <c r="BP22" s="16"/>
      <c r="BQ22" s="112" t="s">
        <v>73</v>
      </c>
      <c r="BR22" s="5"/>
      <c r="BS22" s="5"/>
      <c r="BT22" s="5"/>
      <c r="BU22" s="16"/>
    </row>
    <row r="23" spans="2:73" x14ac:dyDescent="0.3">
      <c r="B23" s="14">
        <v>16</v>
      </c>
      <c r="C23" s="6"/>
      <c r="D23" s="6" t="s">
        <v>8</v>
      </c>
      <c r="E23" s="6" t="s">
        <v>14</v>
      </c>
      <c r="F23" s="6" t="s">
        <v>103</v>
      </c>
      <c r="G23" s="349" t="s">
        <v>118</v>
      </c>
      <c r="H23" s="349"/>
      <c r="I23" s="349" t="s">
        <v>118</v>
      </c>
      <c r="J23" s="350"/>
      <c r="L23" s="71" t="s">
        <v>73</v>
      </c>
      <c r="M23" s="72"/>
      <c r="N23" s="72"/>
      <c r="O23" s="72"/>
      <c r="P23" s="72"/>
      <c r="Q23" s="72"/>
      <c r="R23" s="73"/>
      <c r="S23" s="111" t="s">
        <v>73</v>
      </c>
      <c r="T23" s="72"/>
      <c r="U23" s="72"/>
      <c r="V23" s="72"/>
      <c r="W23" s="72"/>
      <c r="X23" s="72"/>
      <c r="Y23" s="73"/>
      <c r="Z23" s="111" t="s">
        <v>73</v>
      </c>
      <c r="AA23" s="72"/>
      <c r="AB23" s="72"/>
      <c r="AC23" s="72"/>
      <c r="AD23" s="72"/>
      <c r="AE23" s="72"/>
      <c r="AF23" s="72"/>
      <c r="AG23" s="72"/>
      <c r="AH23" s="73"/>
      <c r="AI23" s="111" t="s">
        <v>73</v>
      </c>
      <c r="AJ23" s="72"/>
      <c r="AK23" s="72"/>
      <c r="AL23" s="72"/>
      <c r="AM23" s="72"/>
      <c r="AN23" s="72"/>
      <c r="AO23" s="72"/>
      <c r="AP23" s="72"/>
      <c r="AQ23" s="73"/>
      <c r="AR23" s="111" t="s">
        <v>73</v>
      </c>
      <c r="AS23" s="72"/>
      <c r="AT23" s="72"/>
      <c r="AU23" s="73"/>
      <c r="AV23" s="111" t="s">
        <v>73</v>
      </c>
      <c r="AW23" s="72"/>
      <c r="AX23" s="72"/>
      <c r="AY23" s="73"/>
      <c r="AZ23" s="111" t="s">
        <v>73</v>
      </c>
      <c r="BA23" s="72"/>
      <c r="BB23" s="72"/>
      <c r="BC23" s="72"/>
      <c r="BD23" s="72"/>
      <c r="BE23" s="73"/>
      <c r="BF23" s="111" t="s">
        <v>73</v>
      </c>
      <c r="BG23" s="72"/>
      <c r="BH23" s="72"/>
      <c r="BI23" s="72"/>
      <c r="BJ23" s="72"/>
      <c r="BK23" s="73"/>
      <c r="BL23" s="111" t="s">
        <v>73</v>
      </c>
      <c r="BM23" s="72"/>
      <c r="BN23" s="72"/>
      <c r="BO23" s="72"/>
      <c r="BP23" s="73"/>
      <c r="BQ23" s="111" t="s">
        <v>73</v>
      </c>
      <c r="BR23" s="72"/>
      <c r="BS23" s="72"/>
      <c r="BT23" s="72"/>
      <c r="BU23" s="73"/>
    </row>
    <row r="24" spans="2:73" x14ac:dyDescent="0.3">
      <c r="B24" s="15">
        <v>17</v>
      </c>
      <c r="C24" s="5"/>
      <c r="D24" s="5" t="s">
        <v>8</v>
      </c>
      <c r="E24" s="5" t="s">
        <v>16</v>
      </c>
      <c r="F24" s="5" t="s">
        <v>103</v>
      </c>
      <c r="G24" s="271" t="s">
        <v>34</v>
      </c>
      <c r="H24" s="271"/>
      <c r="I24" s="271" t="s">
        <v>34</v>
      </c>
      <c r="J24" s="273"/>
      <c r="L24" s="70" t="s">
        <v>73</v>
      </c>
      <c r="M24" s="5"/>
      <c r="N24" s="5"/>
      <c r="O24" s="5"/>
      <c r="P24" s="5"/>
      <c r="Q24" s="5"/>
      <c r="R24" s="16"/>
      <c r="S24" s="112" t="s">
        <v>73</v>
      </c>
      <c r="T24" s="5"/>
      <c r="U24" s="5"/>
      <c r="V24" s="5"/>
      <c r="W24" s="5"/>
      <c r="X24" s="5"/>
      <c r="Y24" s="16"/>
      <c r="Z24" s="112" t="s">
        <v>73</v>
      </c>
      <c r="AA24" s="5"/>
      <c r="AB24" s="5"/>
      <c r="AC24" s="5"/>
      <c r="AD24" s="5"/>
      <c r="AE24" s="5"/>
      <c r="AF24" s="5"/>
      <c r="AG24" s="5"/>
      <c r="AH24" s="16"/>
      <c r="AI24" s="112" t="s">
        <v>73</v>
      </c>
      <c r="AJ24" s="5"/>
      <c r="AK24" s="5"/>
      <c r="AL24" s="5"/>
      <c r="AM24" s="5"/>
      <c r="AN24" s="5"/>
      <c r="AO24" s="5"/>
      <c r="AP24" s="5"/>
      <c r="AQ24" s="16"/>
      <c r="AR24" s="112" t="s">
        <v>73</v>
      </c>
      <c r="AS24" s="5"/>
      <c r="AT24" s="5"/>
      <c r="AU24" s="16"/>
      <c r="AV24" s="112" t="s">
        <v>73</v>
      </c>
      <c r="AW24" s="5"/>
      <c r="AX24" s="5"/>
      <c r="AY24" s="16"/>
      <c r="AZ24" s="112" t="s">
        <v>73</v>
      </c>
      <c r="BA24" s="5"/>
      <c r="BB24" s="5"/>
      <c r="BC24" s="5"/>
      <c r="BD24" s="5"/>
      <c r="BE24" s="16"/>
      <c r="BF24" s="112" t="s">
        <v>73</v>
      </c>
      <c r="BG24" s="5"/>
      <c r="BH24" s="5"/>
      <c r="BI24" s="5"/>
      <c r="BJ24" s="5"/>
      <c r="BK24" s="16"/>
      <c r="BL24" s="112"/>
      <c r="BM24" s="5"/>
      <c r="BN24" s="5"/>
      <c r="BO24" s="5"/>
      <c r="BP24" s="16" t="s">
        <v>73</v>
      </c>
      <c r="BQ24" s="112"/>
      <c r="BR24" s="5"/>
      <c r="BS24" s="5"/>
      <c r="BT24" s="5"/>
      <c r="BU24" s="16" t="s">
        <v>73</v>
      </c>
    </row>
    <row r="25" spans="2:73" x14ac:dyDescent="0.3">
      <c r="B25" s="14">
        <v>18</v>
      </c>
      <c r="C25" s="6"/>
      <c r="D25" s="6" t="s">
        <v>7</v>
      </c>
      <c r="E25" s="6" t="s">
        <v>16</v>
      </c>
      <c r="F25" s="6" t="s">
        <v>114</v>
      </c>
      <c r="G25" s="349" t="s">
        <v>34</v>
      </c>
      <c r="H25" s="349"/>
      <c r="I25" s="349" t="s">
        <v>34</v>
      </c>
      <c r="J25" s="350"/>
      <c r="L25" s="71" t="s">
        <v>73</v>
      </c>
      <c r="M25" s="72"/>
      <c r="N25" s="72"/>
      <c r="O25" s="72"/>
      <c r="P25" s="72"/>
      <c r="Q25" s="72"/>
      <c r="R25" s="73"/>
      <c r="S25" s="111" t="s">
        <v>73</v>
      </c>
      <c r="T25" s="72"/>
      <c r="U25" s="72"/>
      <c r="V25" s="72"/>
      <c r="W25" s="72"/>
      <c r="X25" s="72"/>
      <c r="Y25" s="73"/>
      <c r="Z25" s="111" t="s">
        <v>73</v>
      </c>
      <c r="AA25" s="72"/>
      <c r="AB25" s="72"/>
      <c r="AC25" s="72"/>
      <c r="AD25" s="72"/>
      <c r="AE25" s="72"/>
      <c r="AF25" s="72"/>
      <c r="AG25" s="72"/>
      <c r="AH25" s="73"/>
      <c r="AI25" s="111" t="s">
        <v>73</v>
      </c>
      <c r="AJ25" s="72"/>
      <c r="AK25" s="72"/>
      <c r="AL25" s="72"/>
      <c r="AM25" s="72"/>
      <c r="AN25" s="72"/>
      <c r="AO25" s="72"/>
      <c r="AP25" s="72"/>
      <c r="AQ25" s="73"/>
      <c r="AR25" s="111" t="s">
        <v>73</v>
      </c>
      <c r="AS25" s="72"/>
      <c r="AT25" s="72"/>
      <c r="AU25" s="73"/>
      <c r="AV25" s="111" t="s">
        <v>73</v>
      </c>
      <c r="AW25" s="72"/>
      <c r="AX25" s="72"/>
      <c r="AY25" s="73"/>
      <c r="AZ25" s="111" t="s">
        <v>73</v>
      </c>
      <c r="BA25" s="72"/>
      <c r="BB25" s="72"/>
      <c r="BC25" s="72"/>
      <c r="BD25" s="72"/>
      <c r="BE25" s="73"/>
      <c r="BF25" s="111" t="s">
        <v>73</v>
      </c>
      <c r="BG25" s="72"/>
      <c r="BH25" s="72"/>
      <c r="BI25" s="72"/>
      <c r="BJ25" s="72"/>
      <c r="BK25" s="73"/>
      <c r="BL25" s="111"/>
      <c r="BM25" s="72"/>
      <c r="BN25" s="72" t="s">
        <v>73</v>
      </c>
      <c r="BO25" s="72"/>
      <c r="BP25" s="73"/>
      <c r="BQ25" s="111"/>
      <c r="BR25" s="72"/>
      <c r="BS25" s="72" t="s">
        <v>73</v>
      </c>
      <c r="BT25" s="72"/>
      <c r="BU25" s="73"/>
    </row>
    <row r="26" spans="2:73" x14ac:dyDescent="0.3">
      <c r="B26" s="15">
        <v>19</v>
      </c>
      <c r="C26" s="5"/>
      <c r="D26" s="5" t="s">
        <v>7</v>
      </c>
      <c r="E26" s="5" t="s">
        <v>13</v>
      </c>
      <c r="F26" s="5" t="s">
        <v>103</v>
      </c>
      <c r="G26" s="271" t="s">
        <v>36</v>
      </c>
      <c r="H26" s="271"/>
      <c r="I26" s="271" t="s">
        <v>36</v>
      </c>
      <c r="J26" s="273"/>
      <c r="L26" s="70"/>
      <c r="M26" s="5"/>
      <c r="N26" s="5"/>
      <c r="O26" s="5" t="s">
        <v>73</v>
      </c>
      <c r="P26" s="5"/>
      <c r="Q26" s="5"/>
      <c r="R26" s="16"/>
      <c r="S26" s="112" t="s">
        <v>73</v>
      </c>
      <c r="T26" s="5"/>
      <c r="U26" s="5"/>
      <c r="V26" s="5"/>
      <c r="W26" s="5"/>
      <c r="X26" s="5"/>
      <c r="Y26" s="16"/>
      <c r="Z26" s="112"/>
      <c r="AA26" s="5"/>
      <c r="AB26" s="5"/>
      <c r="AC26" s="5"/>
      <c r="AD26" s="5"/>
      <c r="AE26" s="5"/>
      <c r="AF26" s="5" t="s">
        <v>73</v>
      </c>
      <c r="AG26" s="5"/>
      <c r="AH26" s="16"/>
      <c r="AI26" s="112" t="s">
        <v>73</v>
      </c>
      <c r="AJ26" s="5"/>
      <c r="AK26" s="5"/>
      <c r="AL26" s="5"/>
      <c r="AM26" s="5"/>
      <c r="AN26" s="5"/>
      <c r="AO26" s="5"/>
      <c r="AP26" s="5"/>
      <c r="AQ26" s="16"/>
      <c r="AR26" s="112"/>
      <c r="AS26" s="5" t="s">
        <v>73</v>
      </c>
      <c r="AT26" s="5"/>
      <c r="AU26" s="16"/>
      <c r="AV26" s="112" t="s">
        <v>73</v>
      </c>
      <c r="AW26" s="5"/>
      <c r="AX26" s="5"/>
      <c r="AY26" s="16"/>
      <c r="AZ26" s="112"/>
      <c r="BA26" s="5"/>
      <c r="BB26" s="5" t="s">
        <v>73</v>
      </c>
      <c r="BC26" s="5"/>
      <c r="BD26" s="5"/>
      <c r="BE26" s="16"/>
      <c r="BF26" s="112" t="s">
        <v>73</v>
      </c>
      <c r="BG26" s="5"/>
      <c r="BH26" s="5"/>
      <c r="BI26" s="5"/>
      <c r="BJ26" s="5"/>
      <c r="BK26" s="16"/>
      <c r="BL26" s="112"/>
      <c r="BM26" s="5"/>
      <c r="BN26" s="5" t="s">
        <v>73</v>
      </c>
      <c r="BO26" s="5"/>
      <c r="BP26" s="16"/>
      <c r="BQ26" s="112"/>
      <c r="BR26" s="5" t="s">
        <v>73</v>
      </c>
      <c r="BS26" s="5"/>
      <c r="BT26" s="5"/>
      <c r="BU26" s="16"/>
    </row>
    <row r="27" spans="2:73" x14ac:dyDescent="0.3">
      <c r="B27" s="14">
        <v>20</v>
      </c>
      <c r="C27" s="6"/>
      <c r="D27" s="6" t="s">
        <v>8</v>
      </c>
      <c r="E27" s="6" t="s">
        <v>13</v>
      </c>
      <c r="F27" s="6" t="s">
        <v>107</v>
      </c>
      <c r="G27" s="349" t="s">
        <v>36</v>
      </c>
      <c r="H27" s="349"/>
      <c r="I27" s="349" t="s">
        <v>36</v>
      </c>
      <c r="J27" s="350"/>
      <c r="L27" s="71"/>
      <c r="M27" s="72"/>
      <c r="N27" s="72"/>
      <c r="O27" s="72"/>
      <c r="P27" s="72" t="s">
        <v>73</v>
      </c>
      <c r="Q27" s="72"/>
      <c r="R27" s="73"/>
      <c r="S27" s="111"/>
      <c r="T27" s="72"/>
      <c r="U27" s="72"/>
      <c r="V27" s="72"/>
      <c r="W27" s="72" t="s">
        <v>73</v>
      </c>
      <c r="X27" s="72"/>
      <c r="Y27" s="73"/>
      <c r="Z27" s="111"/>
      <c r="AA27" s="72"/>
      <c r="AB27" s="72"/>
      <c r="AC27" s="72"/>
      <c r="AD27" s="72"/>
      <c r="AE27" s="72"/>
      <c r="AF27" s="72" t="s">
        <v>73</v>
      </c>
      <c r="AG27" s="72"/>
      <c r="AH27" s="73"/>
      <c r="AI27" s="111"/>
      <c r="AJ27" s="72"/>
      <c r="AK27" s="72"/>
      <c r="AL27" s="72"/>
      <c r="AM27" s="72"/>
      <c r="AN27" s="72" t="s">
        <v>73</v>
      </c>
      <c r="AO27" s="72"/>
      <c r="AP27" s="72"/>
      <c r="AQ27" s="73"/>
      <c r="AR27" s="111"/>
      <c r="AS27" s="72"/>
      <c r="AT27" s="72" t="s">
        <v>73</v>
      </c>
      <c r="AU27" s="73"/>
      <c r="AV27" s="111"/>
      <c r="AW27" s="72" t="s">
        <v>73</v>
      </c>
      <c r="AX27" s="72"/>
      <c r="AY27" s="73"/>
      <c r="AZ27" s="111"/>
      <c r="BA27" s="72"/>
      <c r="BB27" s="72"/>
      <c r="BC27" s="72" t="s">
        <v>73</v>
      </c>
      <c r="BD27" s="72"/>
      <c r="BE27" s="73"/>
      <c r="BF27" s="111"/>
      <c r="BG27" s="72"/>
      <c r="BH27" s="72"/>
      <c r="BI27" s="72" t="s">
        <v>73</v>
      </c>
      <c r="BJ27" s="72"/>
      <c r="BK27" s="73"/>
      <c r="BL27" s="111"/>
      <c r="BM27" s="72"/>
      <c r="BN27" s="72"/>
      <c r="BO27" s="72" t="s">
        <v>73</v>
      </c>
      <c r="BP27" s="73"/>
      <c r="BQ27" s="111"/>
      <c r="BR27" s="72"/>
      <c r="BS27" s="72" t="s">
        <v>73</v>
      </c>
      <c r="BT27" s="72"/>
      <c r="BU27" s="73"/>
    </row>
    <row r="28" spans="2:73" x14ac:dyDescent="0.3">
      <c r="B28" s="15">
        <v>21</v>
      </c>
      <c r="C28" s="5" t="s">
        <v>120</v>
      </c>
      <c r="D28" s="5" t="s">
        <v>7</v>
      </c>
      <c r="E28" s="5" t="s">
        <v>13</v>
      </c>
      <c r="F28" s="5" t="s">
        <v>119</v>
      </c>
      <c r="G28" s="271" t="s">
        <v>36</v>
      </c>
      <c r="H28" s="271"/>
      <c r="I28" s="271" t="s">
        <v>36</v>
      </c>
      <c r="J28" s="273"/>
      <c r="L28" s="70"/>
      <c r="M28" s="5"/>
      <c r="N28" s="5"/>
      <c r="O28" s="5"/>
      <c r="P28" s="5" t="s">
        <v>73</v>
      </c>
      <c r="Q28" s="5"/>
      <c r="R28" s="16"/>
      <c r="S28" s="112" t="s">
        <v>73</v>
      </c>
      <c r="T28" s="5"/>
      <c r="U28" s="5"/>
      <c r="V28" s="5"/>
      <c r="W28" s="5"/>
      <c r="X28" s="5"/>
      <c r="Y28" s="16"/>
      <c r="Z28" s="112"/>
      <c r="AA28" s="5"/>
      <c r="AB28" s="5"/>
      <c r="AC28" s="5"/>
      <c r="AD28" s="5"/>
      <c r="AE28" s="5"/>
      <c r="AF28" s="5" t="s">
        <v>73</v>
      </c>
      <c r="AG28" s="5"/>
      <c r="AH28" s="16"/>
      <c r="AI28" s="112"/>
      <c r="AJ28" s="5"/>
      <c r="AK28" s="5"/>
      <c r="AL28" s="5"/>
      <c r="AM28" s="5"/>
      <c r="AN28" s="5" t="s">
        <v>73</v>
      </c>
      <c r="AO28" s="5"/>
      <c r="AP28" s="5"/>
      <c r="AQ28" s="16"/>
      <c r="AR28" s="112"/>
      <c r="AS28" s="5" t="s">
        <v>73</v>
      </c>
      <c r="AT28" s="5"/>
      <c r="AU28" s="16"/>
      <c r="AV28" s="112" t="s">
        <v>73</v>
      </c>
      <c r="AW28" s="5"/>
      <c r="AX28" s="5"/>
      <c r="AY28" s="16"/>
      <c r="AZ28" s="112"/>
      <c r="BA28" s="5"/>
      <c r="BB28" s="5"/>
      <c r="BC28" s="5" t="s">
        <v>73</v>
      </c>
      <c r="BD28" s="5"/>
      <c r="BE28" s="16"/>
      <c r="BF28" s="112"/>
      <c r="BG28" s="5"/>
      <c r="BH28" s="5" t="s">
        <v>73</v>
      </c>
      <c r="BI28" s="5"/>
      <c r="BJ28" s="5"/>
      <c r="BK28" s="16"/>
      <c r="BL28" s="112"/>
      <c r="BM28" s="5"/>
      <c r="BN28" s="5" t="s">
        <v>73</v>
      </c>
      <c r="BO28" s="5"/>
      <c r="BP28" s="16"/>
      <c r="BQ28" s="112" t="s">
        <v>73</v>
      </c>
      <c r="BR28" s="5"/>
      <c r="BS28" s="5"/>
      <c r="BT28" s="5"/>
      <c r="BU28" s="16"/>
    </row>
    <row r="29" spans="2:73" x14ac:dyDescent="0.3">
      <c r="B29" s="14">
        <v>22</v>
      </c>
      <c r="C29" s="6"/>
      <c r="D29" s="6" t="s">
        <v>8</v>
      </c>
      <c r="E29" s="6" t="s">
        <v>13</v>
      </c>
      <c r="F29" s="6" t="s">
        <v>107</v>
      </c>
      <c r="G29" s="349" t="s">
        <v>36</v>
      </c>
      <c r="H29" s="349"/>
      <c r="I29" s="349" t="s">
        <v>36</v>
      </c>
      <c r="J29" s="350"/>
      <c r="L29" s="71"/>
      <c r="M29" s="72"/>
      <c r="N29" s="72" t="s">
        <v>73</v>
      </c>
      <c r="O29" s="72"/>
      <c r="P29" s="72"/>
      <c r="Q29" s="72"/>
      <c r="R29" s="73"/>
      <c r="S29" s="111" t="s">
        <v>73</v>
      </c>
      <c r="T29" s="72"/>
      <c r="U29" s="72"/>
      <c r="V29" s="72"/>
      <c r="W29" s="72"/>
      <c r="X29" s="72"/>
      <c r="Y29" s="73"/>
      <c r="Z29" s="111"/>
      <c r="AA29" s="72"/>
      <c r="AB29" s="72"/>
      <c r="AC29" s="72"/>
      <c r="AD29" s="72"/>
      <c r="AE29" s="72"/>
      <c r="AF29" s="72" t="s">
        <v>73</v>
      </c>
      <c r="AG29" s="72"/>
      <c r="AH29" s="73"/>
      <c r="AI29" s="111" t="s">
        <v>73</v>
      </c>
      <c r="AJ29" s="72"/>
      <c r="AK29" s="72"/>
      <c r="AL29" s="72"/>
      <c r="AM29" s="72"/>
      <c r="AN29" s="72"/>
      <c r="AO29" s="72"/>
      <c r="AP29" s="72"/>
      <c r="AQ29" s="73"/>
      <c r="AR29" s="111"/>
      <c r="AS29" s="72"/>
      <c r="AT29" s="72" t="s">
        <v>73</v>
      </c>
      <c r="AU29" s="73"/>
      <c r="AV29" s="111" t="s">
        <v>73</v>
      </c>
      <c r="AW29" s="72"/>
      <c r="AX29" s="72"/>
      <c r="AY29" s="73"/>
      <c r="AZ29" s="111"/>
      <c r="BA29" s="72"/>
      <c r="BB29" s="72"/>
      <c r="BC29" s="72" t="s">
        <v>73</v>
      </c>
      <c r="BD29" s="72"/>
      <c r="BE29" s="73"/>
      <c r="BF29" s="111" t="s">
        <v>73</v>
      </c>
      <c r="BG29" s="72"/>
      <c r="BH29" s="72"/>
      <c r="BI29" s="72"/>
      <c r="BJ29" s="72"/>
      <c r="BK29" s="73"/>
      <c r="BL29" s="111"/>
      <c r="BM29" s="72"/>
      <c r="BN29" s="72"/>
      <c r="BO29" s="72" t="s">
        <v>73</v>
      </c>
      <c r="BP29" s="73"/>
      <c r="BQ29" s="111"/>
      <c r="BR29" s="72" t="s">
        <v>73</v>
      </c>
      <c r="BS29" s="72"/>
      <c r="BT29" s="72"/>
      <c r="BU29" s="73"/>
    </row>
    <row r="30" spans="2:73" x14ac:dyDescent="0.3">
      <c r="B30" s="15">
        <v>23</v>
      </c>
      <c r="C30" s="5" t="s">
        <v>121</v>
      </c>
      <c r="D30" s="5" t="s">
        <v>8</v>
      </c>
      <c r="E30" s="5" t="s">
        <v>13</v>
      </c>
      <c r="F30" s="5" t="s">
        <v>119</v>
      </c>
      <c r="G30" s="358" t="s">
        <v>36</v>
      </c>
      <c r="H30" s="359"/>
      <c r="I30" s="271" t="s">
        <v>36</v>
      </c>
      <c r="J30" s="273"/>
      <c r="L30" s="70"/>
      <c r="M30" s="5"/>
      <c r="N30" s="5"/>
      <c r="O30" s="5"/>
      <c r="P30" s="5"/>
      <c r="Q30" s="5"/>
      <c r="R30" s="16" t="s">
        <v>73</v>
      </c>
      <c r="S30" s="112" t="s">
        <v>73</v>
      </c>
      <c r="T30" s="5"/>
      <c r="U30" s="5"/>
      <c r="V30" s="5"/>
      <c r="W30" s="5"/>
      <c r="X30" s="5"/>
      <c r="Y30" s="16"/>
      <c r="Z30" s="112"/>
      <c r="AA30" s="5" t="s">
        <v>73</v>
      </c>
      <c r="AB30" s="5"/>
      <c r="AC30" s="5"/>
      <c r="AD30" s="5"/>
      <c r="AE30" s="5"/>
      <c r="AF30" s="5"/>
      <c r="AG30" s="5"/>
      <c r="AH30" s="16"/>
      <c r="AI30" s="112" t="s">
        <v>73</v>
      </c>
      <c r="AJ30" s="5"/>
      <c r="AK30" s="5"/>
      <c r="AL30" s="5"/>
      <c r="AM30" s="5"/>
      <c r="AN30" s="5"/>
      <c r="AO30" s="5"/>
      <c r="AP30" s="5"/>
      <c r="AQ30" s="16"/>
      <c r="AR30" s="112"/>
      <c r="AS30" s="5" t="s">
        <v>73</v>
      </c>
      <c r="AT30" s="5"/>
      <c r="AU30" s="16"/>
      <c r="AV30" s="112" t="s">
        <v>73</v>
      </c>
      <c r="AW30" s="5"/>
      <c r="AX30" s="5"/>
      <c r="AY30" s="16"/>
      <c r="AZ30" s="112"/>
      <c r="BA30" s="5" t="s">
        <v>73</v>
      </c>
      <c r="BB30" s="5"/>
      <c r="BC30" s="5"/>
      <c r="BD30" s="5"/>
      <c r="BE30" s="16"/>
      <c r="BF30" s="112" t="s">
        <v>73</v>
      </c>
      <c r="BG30" s="5"/>
      <c r="BH30" s="5"/>
      <c r="BI30" s="5"/>
      <c r="BJ30" s="5"/>
      <c r="BK30" s="16"/>
      <c r="BL30" s="112"/>
      <c r="BM30" s="5"/>
      <c r="BN30" s="5"/>
      <c r="BO30" s="5" t="s">
        <v>73</v>
      </c>
      <c r="BP30" s="16"/>
      <c r="BQ30" s="112" t="s">
        <v>73</v>
      </c>
      <c r="BR30" s="5"/>
      <c r="BS30" s="5"/>
      <c r="BT30" s="5"/>
      <c r="BU30" s="16"/>
    </row>
    <row r="31" spans="2:73" x14ac:dyDescent="0.3">
      <c r="B31" s="14">
        <v>24</v>
      </c>
      <c r="C31" s="6" t="s">
        <v>122</v>
      </c>
      <c r="D31" s="6" t="s">
        <v>7</v>
      </c>
      <c r="E31" s="6" t="s">
        <v>13</v>
      </c>
      <c r="F31" s="6" t="s">
        <v>123</v>
      </c>
      <c r="G31" s="356" t="s">
        <v>36</v>
      </c>
      <c r="H31" s="357"/>
      <c r="I31" s="349" t="s">
        <v>36</v>
      </c>
      <c r="J31" s="350"/>
      <c r="L31" s="71"/>
      <c r="M31" s="72"/>
      <c r="N31" s="72"/>
      <c r="O31" s="72"/>
      <c r="P31" s="72" t="s">
        <v>73</v>
      </c>
      <c r="Q31" s="72"/>
      <c r="R31" s="73"/>
      <c r="S31" s="111"/>
      <c r="T31" s="72"/>
      <c r="U31" s="72"/>
      <c r="V31" s="72"/>
      <c r="W31" s="72" t="s">
        <v>73</v>
      </c>
      <c r="X31" s="72"/>
      <c r="Y31" s="73"/>
      <c r="Z31" s="111"/>
      <c r="AA31" s="72"/>
      <c r="AB31" s="72"/>
      <c r="AC31" s="72"/>
      <c r="AD31" s="72"/>
      <c r="AE31" s="72"/>
      <c r="AF31" s="72" t="s">
        <v>73</v>
      </c>
      <c r="AG31" s="72"/>
      <c r="AH31" s="73"/>
      <c r="AI31" s="111"/>
      <c r="AJ31" s="72"/>
      <c r="AK31" s="72"/>
      <c r="AL31" s="72"/>
      <c r="AM31" s="72"/>
      <c r="AN31" s="72"/>
      <c r="AO31" s="72" t="s">
        <v>73</v>
      </c>
      <c r="AP31" s="72"/>
      <c r="AQ31" s="73"/>
      <c r="AR31" s="111"/>
      <c r="AS31" s="72"/>
      <c r="AT31" s="72" t="s">
        <v>73</v>
      </c>
      <c r="AU31" s="73"/>
      <c r="AV31" s="111"/>
      <c r="AW31" s="72"/>
      <c r="AX31" s="72" t="s">
        <v>73</v>
      </c>
      <c r="AY31" s="73"/>
      <c r="AZ31" s="111"/>
      <c r="BA31" s="72"/>
      <c r="BB31" s="72"/>
      <c r="BC31" s="72" t="s">
        <v>73</v>
      </c>
      <c r="BD31" s="72"/>
      <c r="BE31" s="73"/>
      <c r="BF31" s="111"/>
      <c r="BG31" s="72"/>
      <c r="BH31" s="72"/>
      <c r="BI31" s="72" t="s">
        <v>73</v>
      </c>
      <c r="BJ31" s="72"/>
      <c r="BK31" s="73"/>
      <c r="BL31" s="111"/>
      <c r="BM31" s="72"/>
      <c r="BN31" s="72"/>
      <c r="BO31" s="72" t="s">
        <v>73</v>
      </c>
      <c r="BP31" s="73"/>
      <c r="BQ31" s="111"/>
      <c r="BR31" s="72"/>
      <c r="BS31" s="72" t="s">
        <v>73</v>
      </c>
      <c r="BT31" s="72"/>
      <c r="BU31" s="73"/>
    </row>
    <row r="32" spans="2:73" x14ac:dyDescent="0.3">
      <c r="B32" s="15">
        <v>25</v>
      </c>
      <c r="C32" s="5"/>
      <c r="D32" s="5" t="s">
        <v>7</v>
      </c>
      <c r="E32" s="5" t="s">
        <v>13</v>
      </c>
      <c r="F32" s="5" t="s">
        <v>124</v>
      </c>
      <c r="G32" s="271" t="s">
        <v>36</v>
      </c>
      <c r="H32" s="271"/>
      <c r="I32" s="271" t="s">
        <v>36</v>
      </c>
      <c r="J32" s="273"/>
      <c r="L32" s="70" t="s">
        <v>73</v>
      </c>
      <c r="M32" s="5"/>
      <c r="N32" s="5"/>
      <c r="O32" s="5"/>
      <c r="P32" s="5"/>
      <c r="Q32" s="5"/>
      <c r="R32" s="16"/>
      <c r="S32" s="112" t="s">
        <v>73</v>
      </c>
      <c r="T32" s="5"/>
      <c r="U32" s="5"/>
      <c r="V32" s="5"/>
      <c r="W32" s="5"/>
      <c r="X32" s="5"/>
      <c r="Y32" s="16"/>
      <c r="Z32" s="112" t="s">
        <v>73</v>
      </c>
      <c r="AA32" s="5"/>
      <c r="AB32" s="5"/>
      <c r="AC32" s="5"/>
      <c r="AD32" s="5"/>
      <c r="AE32" s="5"/>
      <c r="AF32" s="5"/>
      <c r="AG32" s="5"/>
      <c r="AH32" s="16"/>
      <c r="AI32" s="112" t="s">
        <v>73</v>
      </c>
      <c r="AJ32" s="5"/>
      <c r="AK32" s="5"/>
      <c r="AL32" s="5"/>
      <c r="AM32" s="5"/>
      <c r="AN32" s="5"/>
      <c r="AO32" s="5"/>
      <c r="AP32" s="5"/>
      <c r="AQ32" s="16"/>
      <c r="AR32" s="112" t="s">
        <v>73</v>
      </c>
      <c r="AS32" s="5"/>
      <c r="AT32" s="5"/>
      <c r="AU32" s="16"/>
      <c r="AV32" s="112" t="s">
        <v>73</v>
      </c>
      <c r="AW32" s="5"/>
      <c r="AX32" s="5"/>
      <c r="AY32" s="16"/>
      <c r="AZ32" s="112" t="s">
        <v>73</v>
      </c>
      <c r="BA32" s="5"/>
      <c r="BB32" s="5"/>
      <c r="BC32" s="5"/>
      <c r="BD32" s="5"/>
      <c r="BE32" s="16"/>
      <c r="BF32" s="112" t="s">
        <v>73</v>
      </c>
      <c r="BG32" s="5"/>
      <c r="BH32" s="5"/>
      <c r="BI32" s="5"/>
      <c r="BJ32" s="5"/>
      <c r="BK32" s="16"/>
      <c r="BL32" s="112"/>
      <c r="BM32" s="5"/>
      <c r="BN32" s="5" t="s">
        <v>73</v>
      </c>
      <c r="BO32" s="5"/>
      <c r="BP32" s="16"/>
      <c r="BQ32" s="112"/>
      <c r="BR32" s="5"/>
      <c r="BS32" s="5" t="s">
        <v>73</v>
      </c>
      <c r="BT32" s="5"/>
      <c r="BU32" s="16"/>
    </row>
    <row r="33" spans="2:73" x14ac:dyDescent="0.3">
      <c r="B33" s="14">
        <v>26</v>
      </c>
      <c r="C33" s="6"/>
      <c r="D33" s="6" t="s">
        <v>7</v>
      </c>
      <c r="E33" s="6" t="s">
        <v>13</v>
      </c>
      <c r="F33" s="6" t="s">
        <v>126</v>
      </c>
      <c r="G33" s="349" t="s">
        <v>36</v>
      </c>
      <c r="H33" s="349"/>
      <c r="I33" s="349" t="s">
        <v>36</v>
      </c>
      <c r="J33" s="350"/>
      <c r="L33" s="71"/>
      <c r="M33" s="72"/>
      <c r="N33" s="72"/>
      <c r="O33" s="72"/>
      <c r="P33" s="72"/>
      <c r="Q33" s="72"/>
      <c r="R33" s="73" t="s">
        <v>73</v>
      </c>
      <c r="S33" s="111"/>
      <c r="T33" s="72"/>
      <c r="U33" s="72"/>
      <c r="V33" s="72"/>
      <c r="W33" s="72"/>
      <c r="X33" s="72"/>
      <c r="Y33" s="73" t="s">
        <v>73</v>
      </c>
      <c r="Z33" s="111"/>
      <c r="AA33" s="72"/>
      <c r="AB33" s="72"/>
      <c r="AC33" s="72"/>
      <c r="AD33" s="72"/>
      <c r="AE33" s="72"/>
      <c r="AF33" s="72" t="s">
        <v>73</v>
      </c>
      <c r="AG33" s="72"/>
      <c r="AH33" s="73"/>
      <c r="AI33" s="111"/>
      <c r="AJ33" s="72"/>
      <c r="AK33" s="72"/>
      <c r="AL33" s="72"/>
      <c r="AM33" s="72" t="s">
        <v>73</v>
      </c>
      <c r="AN33" s="72"/>
      <c r="AO33" s="72"/>
      <c r="AP33" s="72"/>
      <c r="AQ33" s="73"/>
      <c r="AR33" s="111"/>
      <c r="AS33" s="72"/>
      <c r="AT33" s="72" t="s">
        <v>73</v>
      </c>
      <c r="AU33" s="73"/>
      <c r="AV33" s="111"/>
      <c r="AW33" s="72" t="s">
        <v>73</v>
      </c>
      <c r="AX33" s="72"/>
      <c r="AY33" s="73"/>
      <c r="AZ33" s="111"/>
      <c r="BA33" s="72"/>
      <c r="BB33" s="72" t="s">
        <v>73</v>
      </c>
      <c r="BC33" s="72"/>
      <c r="BD33" s="72"/>
      <c r="BE33" s="73"/>
      <c r="BF33" s="111"/>
      <c r="BG33" s="72"/>
      <c r="BH33" s="72" t="s">
        <v>73</v>
      </c>
      <c r="BI33" s="72"/>
      <c r="BJ33" s="72"/>
      <c r="BK33" s="73"/>
      <c r="BL33" s="111"/>
      <c r="BM33" s="72"/>
      <c r="BN33" s="72" t="s">
        <v>73</v>
      </c>
      <c r="BO33" s="72"/>
      <c r="BP33" s="73"/>
      <c r="BQ33" s="111"/>
      <c r="BR33" s="72"/>
      <c r="BS33" s="72"/>
      <c r="BT33" s="72"/>
      <c r="BU33" s="73" t="s">
        <v>73</v>
      </c>
    </row>
    <row r="34" spans="2:73" x14ac:dyDescent="0.3">
      <c r="B34" s="15">
        <v>27</v>
      </c>
      <c r="C34" s="5"/>
      <c r="D34" s="5" t="s">
        <v>7</v>
      </c>
      <c r="E34" s="5" t="s">
        <v>13</v>
      </c>
      <c r="F34" s="5" t="s">
        <v>119</v>
      </c>
      <c r="G34" s="271" t="s">
        <v>36</v>
      </c>
      <c r="H34" s="271"/>
      <c r="I34" s="271" t="s">
        <v>36</v>
      </c>
      <c r="J34" s="273"/>
      <c r="L34" s="70"/>
      <c r="M34" s="5"/>
      <c r="N34" s="5"/>
      <c r="O34" s="5"/>
      <c r="P34" s="5"/>
      <c r="Q34" s="5"/>
      <c r="R34" s="16" t="s">
        <v>73</v>
      </c>
      <c r="S34" s="112"/>
      <c r="T34" s="5"/>
      <c r="U34" s="5"/>
      <c r="V34" s="5"/>
      <c r="W34" s="5"/>
      <c r="X34" s="5"/>
      <c r="Y34" s="16" t="s">
        <v>73</v>
      </c>
      <c r="Z34" s="112"/>
      <c r="AA34" s="5"/>
      <c r="AB34" s="5"/>
      <c r="AC34" s="5"/>
      <c r="AD34" s="5"/>
      <c r="AE34" s="5"/>
      <c r="AF34" s="5" t="s">
        <v>73</v>
      </c>
      <c r="AG34" s="5"/>
      <c r="AH34" s="16"/>
      <c r="AI34" s="112"/>
      <c r="AJ34" s="5"/>
      <c r="AK34" s="5"/>
      <c r="AL34" s="5"/>
      <c r="AM34" s="5"/>
      <c r="AN34" s="5"/>
      <c r="AO34" s="5" t="s">
        <v>73</v>
      </c>
      <c r="AP34" s="5"/>
      <c r="AQ34" s="16"/>
      <c r="AR34" s="112"/>
      <c r="AS34" s="5"/>
      <c r="AT34" s="5" t="s">
        <v>73</v>
      </c>
      <c r="AU34" s="16"/>
      <c r="AV34" s="112"/>
      <c r="AW34" s="5"/>
      <c r="AX34" s="5"/>
      <c r="AY34" s="16" t="s">
        <v>73</v>
      </c>
      <c r="AZ34" s="112"/>
      <c r="BA34" s="5"/>
      <c r="BB34" s="5"/>
      <c r="BC34" s="5" t="s">
        <v>73</v>
      </c>
      <c r="BD34" s="5"/>
      <c r="BE34" s="16"/>
      <c r="BF34" s="112"/>
      <c r="BG34" s="5"/>
      <c r="BH34" s="5"/>
      <c r="BI34" s="5"/>
      <c r="BJ34" s="5" t="s">
        <v>73</v>
      </c>
      <c r="BK34" s="16"/>
      <c r="BL34" s="112"/>
      <c r="BM34" s="5"/>
      <c r="BN34" s="5" t="s">
        <v>73</v>
      </c>
      <c r="BO34" s="5"/>
      <c r="BP34" s="16"/>
      <c r="BQ34" s="112"/>
      <c r="BR34" s="5"/>
      <c r="BS34" s="5" t="s">
        <v>73</v>
      </c>
      <c r="BT34" s="5"/>
      <c r="BU34" s="16"/>
    </row>
    <row r="35" spans="2:73" x14ac:dyDescent="0.3">
      <c r="B35" s="14">
        <v>28</v>
      </c>
      <c r="C35" s="6"/>
      <c r="D35" s="6" t="s">
        <v>8</v>
      </c>
      <c r="E35" s="6" t="s">
        <v>15</v>
      </c>
      <c r="F35" s="6" t="s">
        <v>125</v>
      </c>
      <c r="G35" s="349" t="s">
        <v>34</v>
      </c>
      <c r="H35" s="349"/>
      <c r="I35" s="349" t="s">
        <v>34</v>
      </c>
      <c r="J35" s="350"/>
      <c r="L35" s="71"/>
      <c r="M35" s="72"/>
      <c r="N35" s="72"/>
      <c r="O35" s="72"/>
      <c r="P35" s="72"/>
      <c r="Q35" s="72" t="s">
        <v>73</v>
      </c>
      <c r="R35" s="73"/>
      <c r="S35" s="111"/>
      <c r="T35" s="72"/>
      <c r="U35" s="72"/>
      <c r="V35" s="72"/>
      <c r="W35" s="72"/>
      <c r="X35" s="72" t="s">
        <v>73</v>
      </c>
      <c r="Y35" s="73"/>
      <c r="Z35" s="111"/>
      <c r="AA35" s="72"/>
      <c r="AB35" s="72"/>
      <c r="AC35" s="72"/>
      <c r="AD35" s="72"/>
      <c r="AE35" s="72"/>
      <c r="AF35" s="72" t="s">
        <v>73</v>
      </c>
      <c r="AG35" s="72"/>
      <c r="AH35" s="73"/>
      <c r="AI35" s="111"/>
      <c r="AJ35" s="72"/>
      <c r="AK35" s="72"/>
      <c r="AL35" s="72"/>
      <c r="AM35" s="72"/>
      <c r="AN35" s="72"/>
      <c r="AO35" s="72" t="s">
        <v>73</v>
      </c>
      <c r="AP35" s="72"/>
      <c r="AQ35" s="73"/>
      <c r="AR35" s="111"/>
      <c r="AS35" s="72"/>
      <c r="AT35" s="72" t="s">
        <v>73</v>
      </c>
      <c r="AU35" s="73"/>
      <c r="AV35" s="111"/>
      <c r="AW35" s="72"/>
      <c r="AX35" s="72" t="s">
        <v>73</v>
      </c>
      <c r="AY35" s="73"/>
      <c r="AZ35" s="111"/>
      <c r="BA35" s="72"/>
      <c r="BB35" s="72"/>
      <c r="BC35" s="72"/>
      <c r="BD35" s="72" t="s">
        <v>73</v>
      </c>
      <c r="BE35" s="73"/>
      <c r="BF35" s="111"/>
      <c r="BG35" s="72"/>
      <c r="BH35" s="72"/>
      <c r="BI35" s="72"/>
      <c r="BJ35" s="72" t="s">
        <v>73</v>
      </c>
      <c r="BK35" s="73"/>
      <c r="BL35" s="111"/>
      <c r="BM35" s="72"/>
      <c r="BN35" s="72"/>
      <c r="BO35" s="72" t="s">
        <v>73</v>
      </c>
      <c r="BP35" s="73"/>
      <c r="BQ35" s="111"/>
      <c r="BR35" s="72"/>
      <c r="BS35" s="72"/>
      <c r="BT35" s="72" t="s">
        <v>73</v>
      </c>
      <c r="BU35" s="73"/>
    </row>
    <row r="36" spans="2:73" x14ac:dyDescent="0.3">
      <c r="B36" s="15">
        <v>29</v>
      </c>
      <c r="C36" s="5"/>
      <c r="D36" s="5"/>
      <c r="E36" s="5"/>
      <c r="F36" s="5"/>
      <c r="G36" s="271"/>
      <c r="H36" s="271"/>
      <c r="I36" s="271"/>
      <c r="J36" s="273"/>
      <c r="L36" s="70"/>
      <c r="M36" s="5"/>
      <c r="N36" s="5"/>
      <c r="O36" s="5"/>
      <c r="P36" s="5"/>
      <c r="Q36" s="5"/>
      <c r="R36" s="16"/>
      <c r="S36" s="112"/>
      <c r="T36" s="5"/>
      <c r="U36" s="5"/>
      <c r="V36" s="5"/>
      <c r="W36" s="5"/>
      <c r="X36" s="5"/>
      <c r="Y36" s="16"/>
      <c r="Z36" s="112"/>
      <c r="AA36" s="5"/>
      <c r="AB36" s="5"/>
      <c r="AC36" s="5"/>
      <c r="AD36" s="5"/>
      <c r="AE36" s="5"/>
      <c r="AF36" s="5"/>
      <c r="AG36" s="5"/>
      <c r="AH36" s="16"/>
      <c r="AI36" s="112"/>
      <c r="AJ36" s="5"/>
      <c r="AK36" s="5"/>
      <c r="AL36" s="5"/>
      <c r="AM36" s="5"/>
      <c r="AN36" s="5"/>
      <c r="AO36" s="5"/>
      <c r="AP36" s="5"/>
      <c r="AQ36" s="16"/>
      <c r="AR36" s="112"/>
      <c r="AS36" s="5"/>
      <c r="AT36" s="5"/>
      <c r="AU36" s="16"/>
      <c r="AV36" s="112"/>
      <c r="AW36" s="5"/>
      <c r="AX36" s="5"/>
      <c r="AY36" s="16"/>
      <c r="AZ36" s="112"/>
      <c r="BA36" s="5"/>
      <c r="BB36" s="5"/>
      <c r="BC36" s="5"/>
      <c r="BD36" s="5"/>
      <c r="BE36" s="16"/>
      <c r="BF36" s="112"/>
      <c r="BG36" s="5"/>
      <c r="BH36" s="5"/>
      <c r="BI36" s="5"/>
      <c r="BJ36" s="5"/>
      <c r="BK36" s="16"/>
      <c r="BL36" s="112"/>
      <c r="BM36" s="5"/>
      <c r="BN36" s="5"/>
      <c r="BO36" s="5"/>
      <c r="BP36" s="16"/>
      <c r="BQ36" s="112"/>
      <c r="BR36" s="5"/>
      <c r="BS36" s="5"/>
      <c r="BT36" s="5"/>
      <c r="BU36" s="16"/>
    </row>
    <row r="37" spans="2:73" x14ac:dyDescent="0.3">
      <c r="B37" s="14">
        <v>30</v>
      </c>
      <c r="C37" s="6"/>
      <c r="D37" s="6"/>
      <c r="E37" s="6"/>
      <c r="F37" s="6"/>
      <c r="G37" s="349"/>
      <c r="H37" s="349"/>
      <c r="I37" s="349"/>
      <c r="J37" s="350"/>
      <c r="L37" s="71"/>
      <c r="M37" s="72"/>
      <c r="N37" s="72"/>
      <c r="O37" s="72"/>
      <c r="P37" s="72"/>
      <c r="Q37" s="72"/>
      <c r="R37" s="73"/>
      <c r="S37" s="111"/>
      <c r="T37" s="72"/>
      <c r="U37" s="72"/>
      <c r="V37" s="72"/>
      <c r="W37" s="72"/>
      <c r="X37" s="72"/>
      <c r="Y37" s="73"/>
      <c r="Z37" s="111"/>
      <c r="AA37" s="72"/>
      <c r="AB37" s="72"/>
      <c r="AC37" s="72"/>
      <c r="AD37" s="72"/>
      <c r="AE37" s="72"/>
      <c r="AF37" s="72"/>
      <c r="AG37" s="72"/>
      <c r="AH37" s="73"/>
      <c r="AI37" s="111"/>
      <c r="AJ37" s="72"/>
      <c r="AK37" s="72"/>
      <c r="AL37" s="72"/>
      <c r="AM37" s="72"/>
      <c r="AN37" s="72"/>
      <c r="AO37" s="72"/>
      <c r="AP37" s="72"/>
      <c r="AQ37" s="73"/>
      <c r="AR37" s="111"/>
      <c r="AS37" s="72"/>
      <c r="AT37" s="72"/>
      <c r="AU37" s="73"/>
      <c r="AV37" s="111"/>
      <c r="AW37" s="72"/>
      <c r="AX37" s="72"/>
      <c r="AY37" s="73"/>
      <c r="AZ37" s="111"/>
      <c r="BA37" s="72"/>
      <c r="BB37" s="72"/>
      <c r="BC37" s="72"/>
      <c r="BD37" s="72"/>
      <c r="BE37" s="73"/>
      <c r="BF37" s="111"/>
      <c r="BG37" s="72"/>
      <c r="BH37" s="72"/>
      <c r="BI37" s="72"/>
      <c r="BJ37" s="72"/>
      <c r="BK37" s="73"/>
      <c r="BL37" s="111"/>
      <c r="BM37" s="72"/>
      <c r="BN37" s="72"/>
      <c r="BO37" s="72"/>
      <c r="BP37" s="73"/>
      <c r="BQ37" s="111"/>
      <c r="BR37" s="72"/>
      <c r="BS37" s="72"/>
      <c r="BT37" s="72"/>
      <c r="BU37" s="73"/>
    </row>
    <row r="38" spans="2:73" x14ac:dyDescent="0.3">
      <c r="B38" s="15">
        <v>31</v>
      </c>
      <c r="C38" s="5"/>
      <c r="D38" s="5"/>
      <c r="E38" s="5"/>
      <c r="F38" s="5"/>
      <c r="G38" s="271"/>
      <c r="H38" s="271"/>
      <c r="I38" s="271"/>
      <c r="J38" s="273"/>
      <c r="L38" s="70"/>
      <c r="M38" s="5"/>
      <c r="N38" s="5"/>
      <c r="O38" s="5"/>
      <c r="P38" s="5"/>
      <c r="Q38" s="5"/>
      <c r="R38" s="16"/>
      <c r="S38" s="112"/>
      <c r="T38" s="5"/>
      <c r="U38" s="5"/>
      <c r="V38" s="5"/>
      <c r="W38" s="5"/>
      <c r="X38" s="5"/>
      <c r="Y38" s="16"/>
      <c r="Z38" s="112"/>
      <c r="AA38" s="5"/>
      <c r="AB38" s="5"/>
      <c r="AC38" s="5"/>
      <c r="AD38" s="5"/>
      <c r="AE38" s="5"/>
      <c r="AF38" s="5"/>
      <c r="AG38" s="5"/>
      <c r="AH38" s="16"/>
      <c r="AI38" s="112"/>
      <c r="AJ38" s="5"/>
      <c r="AK38" s="5"/>
      <c r="AL38" s="5"/>
      <c r="AM38" s="5"/>
      <c r="AN38" s="5"/>
      <c r="AO38" s="5"/>
      <c r="AP38" s="5"/>
      <c r="AQ38" s="16"/>
      <c r="AR38" s="112"/>
      <c r="AS38" s="5"/>
      <c r="AT38" s="5"/>
      <c r="AU38" s="16"/>
      <c r="AV38" s="112"/>
      <c r="AW38" s="5"/>
      <c r="AX38" s="5"/>
      <c r="AY38" s="16"/>
      <c r="AZ38" s="112"/>
      <c r="BA38" s="5"/>
      <c r="BB38" s="5"/>
      <c r="BC38" s="5"/>
      <c r="BD38" s="5"/>
      <c r="BE38" s="16"/>
      <c r="BF38" s="112"/>
      <c r="BG38" s="5"/>
      <c r="BH38" s="5"/>
      <c r="BI38" s="5"/>
      <c r="BJ38" s="5"/>
      <c r="BK38" s="16"/>
      <c r="BL38" s="112"/>
      <c r="BM38" s="5"/>
      <c r="BN38" s="5"/>
      <c r="BO38" s="5"/>
      <c r="BP38" s="16"/>
      <c r="BQ38" s="112"/>
      <c r="BR38" s="5"/>
      <c r="BS38" s="5"/>
      <c r="BT38" s="5"/>
      <c r="BU38" s="16"/>
    </row>
    <row r="39" spans="2:73" x14ac:dyDescent="0.3">
      <c r="B39" s="14">
        <v>32</v>
      </c>
      <c r="C39" s="6"/>
      <c r="D39" s="6"/>
      <c r="E39" s="6"/>
      <c r="F39" s="6"/>
      <c r="G39" s="349"/>
      <c r="H39" s="349"/>
      <c r="I39" s="349"/>
      <c r="J39" s="350"/>
      <c r="L39" s="71"/>
      <c r="M39" s="72"/>
      <c r="N39" s="72"/>
      <c r="O39" s="72"/>
      <c r="P39" s="72"/>
      <c r="Q39" s="72"/>
      <c r="R39" s="73"/>
      <c r="S39" s="111"/>
      <c r="T39" s="72"/>
      <c r="U39" s="72"/>
      <c r="V39" s="72"/>
      <c r="W39" s="72"/>
      <c r="X39" s="72"/>
      <c r="Y39" s="73"/>
      <c r="Z39" s="111"/>
      <c r="AA39" s="72"/>
      <c r="AB39" s="72"/>
      <c r="AC39" s="72"/>
      <c r="AD39" s="72"/>
      <c r="AE39" s="72"/>
      <c r="AF39" s="72"/>
      <c r="AG39" s="72"/>
      <c r="AH39" s="73"/>
      <c r="AI39" s="111"/>
      <c r="AJ39" s="72"/>
      <c r="AK39" s="72"/>
      <c r="AL39" s="72"/>
      <c r="AM39" s="72"/>
      <c r="AN39" s="72"/>
      <c r="AO39" s="72"/>
      <c r="AP39" s="72"/>
      <c r="AQ39" s="73"/>
      <c r="AR39" s="111"/>
      <c r="AS39" s="72"/>
      <c r="AT39" s="72"/>
      <c r="AU39" s="73"/>
      <c r="AV39" s="111"/>
      <c r="AW39" s="72"/>
      <c r="AX39" s="72"/>
      <c r="AY39" s="73"/>
      <c r="AZ39" s="111"/>
      <c r="BA39" s="72"/>
      <c r="BB39" s="72"/>
      <c r="BC39" s="72"/>
      <c r="BD39" s="72"/>
      <c r="BE39" s="73"/>
      <c r="BF39" s="111"/>
      <c r="BG39" s="72"/>
      <c r="BH39" s="72"/>
      <c r="BI39" s="72"/>
      <c r="BJ39" s="72"/>
      <c r="BK39" s="73"/>
      <c r="BL39" s="111"/>
      <c r="BM39" s="72"/>
      <c r="BN39" s="72"/>
      <c r="BO39" s="72"/>
      <c r="BP39" s="73"/>
      <c r="BQ39" s="111"/>
      <c r="BR39" s="72"/>
      <c r="BS39" s="72"/>
      <c r="BT39" s="72"/>
      <c r="BU39" s="73"/>
    </row>
    <row r="40" spans="2:73" x14ac:dyDescent="0.3">
      <c r="B40" s="15">
        <v>33</v>
      </c>
      <c r="C40" s="5"/>
      <c r="D40" s="5"/>
      <c r="E40" s="5"/>
      <c r="F40" s="5"/>
      <c r="G40" s="271"/>
      <c r="H40" s="271"/>
      <c r="I40" s="271"/>
      <c r="J40" s="273"/>
      <c r="L40" s="70"/>
      <c r="M40" s="5"/>
      <c r="N40" s="5"/>
      <c r="O40" s="5"/>
      <c r="P40" s="5"/>
      <c r="Q40" s="5"/>
      <c r="R40" s="16"/>
      <c r="S40" s="112"/>
      <c r="T40" s="5"/>
      <c r="U40" s="5"/>
      <c r="V40" s="5"/>
      <c r="W40" s="5"/>
      <c r="X40" s="5"/>
      <c r="Y40" s="16"/>
      <c r="Z40" s="112"/>
      <c r="AA40" s="5"/>
      <c r="AB40" s="5"/>
      <c r="AC40" s="5"/>
      <c r="AD40" s="5"/>
      <c r="AE40" s="5"/>
      <c r="AF40" s="5"/>
      <c r="AG40" s="5"/>
      <c r="AH40" s="16"/>
      <c r="AI40" s="112"/>
      <c r="AJ40" s="5"/>
      <c r="AK40" s="5"/>
      <c r="AL40" s="5"/>
      <c r="AM40" s="5"/>
      <c r="AN40" s="5"/>
      <c r="AO40" s="5"/>
      <c r="AP40" s="5"/>
      <c r="AQ40" s="16"/>
      <c r="AR40" s="112"/>
      <c r="AS40" s="5"/>
      <c r="AT40" s="5"/>
      <c r="AU40" s="16"/>
      <c r="AV40" s="112"/>
      <c r="AW40" s="5"/>
      <c r="AX40" s="5"/>
      <c r="AY40" s="16"/>
      <c r="AZ40" s="112"/>
      <c r="BA40" s="5"/>
      <c r="BB40" s="5"/>
      <c r="BC40" s="5"/>
      <c r="BD40" s="5"/>
      <c r="BE40" s="16"/>
      <c r="BF40" s="112"/>
      <c r="BG40" s="5"/>
      <c r="BH40" s="5"/>
      <c r="BI40" s="5"/>
      <c r="BJ40" s="5"/>
      <c r="BK40" s="16"/>
      <c r="BL40" s="112"/>
      <c r="BM40" s="5"/>
      <c r="BN40" s="5"/>
      <c r="BO40" s="5"/>
      <c r="BP40" s="16"/>
      <c r="BQ40" s="112"/>
      <c r="BR40" s="5"/>
      <c r="BS40" s="5"/>
      <c r="BT40" s="5"/>
      <c r="BU40" s="16"/>
    </row>
    <row r="41" spans="2:73" x14ac:dyDescent="0.3">
      <c r="B41" s="14">
        <v>34</v>
      </c>
      <c r="C41" s="6"/>
      <c r="D41" s="6"/>
      <c r="E41" s="6"/>
      <c r="F41" s="6"/>
      <c r="G41" s="349"/>
      <c r="H41" s="349"/>
      <c r="I41" s="349"/>
      <c r="J41" s="350"/>
      <c r="L41" s="71"/>
      <c r="M41" s="72"/>
      <c r="N41" s="72"/>
      <c r="O41" s="72"/>
      <c r="P41" s="72"/>
      <c r="Q41" s="72"/>
      <c r="R41" s="73"/>
      <c r="S41" s="111"/>
      <c r="T41" s="72"/>
      <c r="U41" s="72"/>
      <c r="V41" s="72"/>
      <c r="W41" s="72"/>
      <c r="X41" s="72"/>
      <c r="Y41" s="73"/>
      <c r="Z41" s="111"/>
      <c r="AA41" s="72"/>
      <c r="AB41" s="72"/>
      <c r="AC41" s="72"/>
      <c r="AD41" s="72"/>
      <c r="AE41" s="72"/>
      <c r="AF41" s="72"/>
      <c r="AG41" s="72"/>
      <c r="AH41" s="73"/>
      <c r="AI41" s="111"/>
      <c r="AJ41" s="72"/>
      <c r="AK41" s="72"/>
      <c r="AL41" s="72"/>
      <c r="AM41" s="72"/>
      <c r="AN41" s="72"/>
      <c r="AO41" s="72"/>
      <c r="AP41" s="72"/>
      <c r="AQ41" s="73"/>
      <c r="AR41" s="111"/>
      <c r="AS41" s="72"/>
      <c r="AT41" s="72"/>
      <c r="AU41" s="73"/>
      <c r="AV41" s="111"/>
      <c r="AW41" s="72"/>
      <c r="AX41" s="72"/>
      <c r="AY41" s="73"/>
      <c r="AZ41" s="111"/>
      <c r="BA41" s="72"/>
      <c r="BB41" s="72"/>
      <c r="BC41" s="72"/>
      <c r="BD41" s="72"/>
      <c r="BE41" s="73"/>
      <c r="BF41" s="111"/>
      <c r="BG41" s="72"/>
      <c r="BH41" s="72"/>
      <c r="BI41" s="72"/>
      <c r="BJ41" s="72"/>
      <c r="BK41" s="73"/>
      <c r="BL41" s="111"/>
      <c r="BM41" s="72"/>
      <c r="BN41" s="72"/>
      <c r="BO41" s="72"/>
      <c r="BP41" s="73"/>
      <c r="BQ41" s="111"/>
      <c r="BR41" s="72"/>
      <c r="BS41" s="72"/>
      <c r="BT41" s="72"/>
      <c r="BU41" s="73"/>
    </row>
    <row r="42" spans="2:73" x14ac:dyDescent="0.3">
      <c r="B42" s="15">
        <v>35</v>
      </c>
      <c r="C42" s="5"/>
      <c r="D42" s="5"/>
      <c r="E42" s="5"/>
      <c r="F42" s="5"/>
      <c r="G42" s="271"/>
      <c r="H42" s="271"/>
      <c r="I42" s="271"/>
      <c r="J42" s="273"/>
      <c r="L42" s="70"/>
      <c r="M42" s="5"/>
      <c r="N42" s="5"/>
      <c r="O42" s="5"/>
      <c r="P42" s="5"/>
      <c r="Q42" s="5"/>
      <c r="R42" s="16"/>
      <c r="S42" s="112"/>
      <c r="T42" s="5"/>
      <c r="U42" s="5"/>
      <c r="V42" s="5"/>
      <c r="W42" s="5"/>
      <c r="X42" s="5"/>
      <c r="Y42" s="16"/>
      <c r="Z42" s="112"/>
      <c r="AA42" s="5"/>
      <c r="AB42" s="5"/>
      <c r="AC42" s="5"/>
      <c r="AD42" s="5"/>
      <c r="AE42" s="5"/>
      <c r="AF42" s="5"/>
      <c r="AG42" s="5"/>
      <c r="AH42" s="16"/>
      <c r="AI42" s="112"/>
      <c r="AJ42" s="5"/>
      <c r="AK42" s="5"/>
      <c r="AL42" s="5"/>
      <c r="AM42" s="5"/>
      <c r="AN42" s="5"/>
      <c r="AO42" s="5"/>
      <c r="AP42" s="5"/>
      <c r="AQ42" s="16"/>
      <c r="AR42" s="112"/>
      <c r="AS42" s="5"/>
      <c r="AT42" s="5"/>
      <c r="AU42" s="16"/>
      <c r="AV42" s="112"/>
      <c r="AW42" s="5"/>
      <c r="AX42" s="5"/>
      <c r="AY42" s="16"/>
      <c r="AZ42" s="112"/>
      <c r="BA42" s="5"/>
      <c r="BB42" s="5"/>
      <c r="BC42" s="5"/>
      <c r="BD42" s="5"/>
      <c r="BE42" s="16"/>
      <c r="BF42" s="112"/>
      <c r="BG42" s="5"/>
      <c r="BH42" s="5"/>
      <c r="BI42" s="5"/>
      <c r="BJ42" s="5"/>
      <c r="BK42" s="16"/>
      <c r="BL42" s="112"/>
      <c r="BM42" s="5"/>
      <c r="BN42" s="5"/>
      <c r="BO42" s="5"/>
      <c r="BP42" s="16"/>
      <c r="BQ42" s="112"/>
      <c r="BR42" s="5"/>
      <c r="BS42" s="5"/>
      <c r="BT42" s="5"/>
      <c r="BU42" s="16"/>
    </row>
    <row r="43" spans="2:73" x14ac:dyDescent="0.3">
      <c r="B43" s="14">
        <v>36</v>
      </c>
      <c r="C43" s="6"/>
      <c r="D43" s="6"/>
      <c r="E43" s="6"/>
      <c r="F43" s="6"/>
      <c r="G43" s="349"/>
      <c r="H43" s="349"/>
      <c r="I43" s="349"/>
      <c r="J43" s="350"/>
      <c r="L43" s="71"/>
      <c r="M43" s="72"/>
      <c r="N43" s="72"/>
      <c r="O43" s="72"/>
      <c r="P43" s="72"/>
      <c r="Q43" s="72"/>
      <c r="R43" s="73"/>
      <c r="S43" s="111"/>
      <c r="T43" s="72"/>
      <c r="U43" s="72"/>
      <c r="V43" s="72"/>
      <c r="W43" s="72"/>
      <c r="X43" s="72"/>
      <c r="Y43" s="73"/>
      <c r="Z43" s="111"/>
      <c r="AA43" s="72"/>
      <c r="AB43" s="72"/>
      <c r="AC43" s="72"/>
      <c r="AD43" s="72"/>
      <c r="AE43" s="72"/>
      <c r="AF43" s="72"/>
      <c r="AG43" s="72"/>
      <c r="AH43" s="73"/>
      <c r="AI43" s="111"/>
      <c r="AJ43" s="72"/>
      <c r="AK43" s="72"/>
      <c r="AL43" s="72"/>
      <c r="AM43" s="72"/>
      <c r="AN43" s="72"/>
      <c r="AO43" s="72"/>
      <c r="AP43" s="72"/>
      <c r="AQ43" s="73"/>
      <c r="AR43" s="111"/>
      <c r="AS43" s="72"/>
      <c r="AT43" s="72"/>
      <c r="AU43" s="73"/>
      <c r="AV43" s="111"/>
      <c r="AW43" s="72"/>
      <c r="AX43" s="72"/>
      <c r="AY43" s="73"/>
      <c r="AZ43" s="111"/>
      <c r="BA43" s="72"/>
      <c r="BB43" s="72"/>
      <c r="BC43" s="72"/>
      <c r="BD43" s="72"/>
      <c r="BE43" s="73"/>
      <c r="BF43" s="111"/>
      <c r="BG43" s="72"/>
      <c r="BH43" s="72"/>
      <c r="BI43" s="72"/>
      <c r="BJ43" s="72"/>
      <c r="BK43" s="73"/>
      <c r="BL43" s="111"/>
      <c r="BM43" s="72"/>
      <c r="BN43" s="72"/>
      <c r="BO43" s="72"/>
      <c r="BP43" s="73"/>
      <c r="BQ43" s="111"/>
      <c r="BR43" s="72"/>
      <c r="BS43" s="72"/>
      <c r="BT43" s="72"/>
      <c r="BU43" s="73"/>
    </row>
    <row r="44" spans="2:73" x14ac:dyDescent="0.3">
      <c r="B44" s="15">
        <v>37</v>
      </c>
      <c r="C44" s="5"/>
      <c r="D44" s="5"/>
      <c r="E44" s="5"/>
      <c r="F44" s="5"/>
      <c r="G44" s="271"/>
      <c r="H44" s="271"/>
      <c r="I44" s="271"/>
      <c r="J44" s="273"/>
      <c r="L44" s="70"/>
      <c r="M44" s="5"/>
      <c r="N44" s="5"/>
      <c r="O44" s="5"/>
      <c r="P44" s="5"/>
      <c r="Q44" s="5"/>
      <c r="R44" s="16"/>
      <c r="S44" s="112"/>
      <c r="T44" s="5"/>
      <c r="U44" s="5"/>
      <c r="V44" s="5"/>
      <c r="W44" s="5"/>
      <c r="X44" s="5"/>
      <c r="Y44" s="16"/>
      <c r="Z44" s="112"/>
      <c r="AA44" s="5"/>
      <c r="AB44" s="5"/>
      <c r="AC44" s="5"/>
      <c r="AD44" s="5"/>
      <c r="AE44" s="5"/>
      <c r="AF44" s="5"/>
      <c r="AG44" s="5"/>
      <c r="AH44" s="16"/>
      <c r="AI44" s="112"/>
      <c r="AJ44" s="5"/>
      <c r="AK44" s="5"/>
      <c r="AL44" s="5"/>
      <c r="AM44" s="5"/>
      <c r="AN44" s="5"/>
      <c r="AO44" s="5"/>
      <c r="AP44" s="5"/>
      <c r="AQ44" s="16"/>
      <c r="AR44" s="112"/>
      <c r="AS44" s="5"/>
      <c r="AT44" s="5"/>
      <c r="AU44" s="16"/>
      <c r="AV44" s="112"/>
      <c r="AW44" s="5"/>
      <c r="AX44" s="5"/>
      <c r="AY44" s="16"/>
      <c r="AZ44" s="112"/>
      <c r="BA44" s="5"/>
      <c r="BB44" s="5"/>
      <c r="BC44" s="5"/>
      <c r="BD44" s="5"/>
      <c r="BE44" s="16"/>
      <c r="BF44" s="112"/>
      <c r="BG44" s="5"/>
      <c r="BH44" s="5"/>
      <c r="BI44" s="5"/>
      <c r="BJ44" s="5"/>
      <c r="BK44" s="16"/>
      <c r="BL44" s="112"/>
      <c r="BM44" s="5"/>
      <c r="BN44" s="5"/>
      <c r="BO44" s="5"/>
      <c r="BP44" s="16"/>
      <c r="BQ44" s="112"/>
      <c r="BR44" s="5"/>
      <c r="BS44" s="5"/>
      <c r="BT44" s="5"/>
      <c r="BU44" s="16"/>
    </row>
    <row r="45" spans="2:73" x14ac:dyDescent="0.3">
      <c r="B45" s="14">
        <v>38</v>
      </c>
      <c r="C45" s="6"/>
      <c r="D45" s="6"/>
      <c r="E45" s="6"/>
      <c r="F45" s="6"/>
      <c r="G45" s="349"/>
      <c r="H45" s="349"/>
      <c r="I45" s="349"/>
      <c r="J45" s="350"/>
      <c r="L45" s="71"/>
      <c r="M45" s="72"/>
      <c r="N45" s="72"/>
      <c r="O45" s="72"/>
      <c r="P45" s="72"/>
      <c r="Q45" s="72"/>
      <c r="R45" s="73"/>
      <c r="S45" s="111"/>
      <c r="T45" s="72"/>
      <c r="U45" s="72"/>
      <c r="V45" s="72"/>
      <c r="W45" s="72"/>
      <c r="X45" s="72"/>
      <c r="Y45" s="73"/>
      <c r="Z45" s="111"/>
      <c r="AA45" s="72"/>
      <c r="AB45" s="72"/>
      <c r="AC45" s="72"/>
      <c r="AD45" s="72"/>
      <c r="AE45" s="72"/>
      <c r="AF45" s="72"/>
      <c r="AG45" s="72"/>
      <c r="AH45" s="73"/>
      <c r="AI45" s="111"/>
      <c r="AJ45" s="72"/>
      <c r="AK45" s="72"/>
      <c r="AL45" s="72"/>
      <c r="AM45" s="72"/>
      <c r="AN45" s="72"/>
      <c r="AO45" s="72"/>
      <c r="AP45" s="72"/>
      <c r="AQ45" s="73"/>
      <c r="AR45" s="111"/>
      <c r="AS45" s="72"/>
      <c r="AT45" s="72"/>
      <c r="AU45" s="73"/>
      <c r="AV45" s="111"/>
      <c r="AW45" s="72"/>
      <c r="AX45" s="72"/>
      <c r="AY45" s="73"/>
      <c r="AZ45" s="111"/>
      <c r="BA45" s="72"/>
      <c r="BB45" s="72"/>
      <c r="BC45" s="72"/>
      <c r="BD45" s="72"/>
      <c r="BE45" s="73"/>
      <c r="BF45" s="111"/>
      <c r="BG45" s="72"/>
      <c r="BH45" s="72"/>
      <c r="BI45" s="72"/>
      <c r="BJ45" s="72"/>
      <c r="BK45" s="73"/>
      <c r="BL45" s="111"/>
      <c r="BM45" s="72"/>
      <c r="BN45" s="72"/>
      <c r="BO45" s="72"/>
      <c r="BP45" s="73"/>
      <c r="BQ45" s="111"/>
      <c r="BR45" s="72"/>
      <c r="BS45" s="72"/>
      <c r="BT45" s="72"/>
      <c r="BU45" s="73"/>
    </row>
    <row r="46" spans="2:73" x14ac:dyDescent="0.3">
      <c r="B46" s="15">
        <v>39</v>
      </c>
      <c r="C46" s="5"/>
      <c r="D46" s="5"/>
      <c r="E46" s="5"/>
      <c r="F46" s="5"/>
      <c r="G46" s="271"/>
      <c r="H46" s="271"/>
      <c r="I46" s="271"/>
      <c r="J46" s="273"/>
      <c r="L46" s="70"/>
      <c r="M46" s="5"/>
      <c r="N46" s="5"/>
      <c r="O46" s="5"/>
      <c r="P46" s="5"/>
      <c r="Q46" s="5"/>
      <c r="R46" s="16"/>
      <c r="S46" s="112"/>
      <c r="T46" s="5"/>
      <c r="U46" s="5"/>
      <c r="V46" s="5"/>
      <c r="W46" s="5"/>
      <c r="X46" s="5"/>
      <c r="Y46" s="16"/>
      <c r="Z46" s="112"/>
      <c r="AA46" s="5"/>
      <c r="AB46" s="5"/>
      <c r="AC46" s="5"/>
      <c r="AD46" s="5"/>
      <c r="AE46" s="5"/>
      <c r="AF46" s="5"/>
      <c r="AG46" s="5"/>
      <c r="AH46" s="16"/>
      <c r="AI46" s="112"/>
      <c r="AJ46" s="5"/>
      <c r="AK46" s="5"/>
      <c r="AL46" s="5"/>
      <c r="AM46" s="5"/>
      <c r="AN46" s="5"/>
      <c r="AO46" s="5"/>
      <c r="AP46" s="5"/>
      <c r="AQ46" s="16"/>
      <c r="AR46" s="112"/>
      <c r="AS46" s="5"/>
      <c r="AT46" s="5"/>
      <c r="AU46" s="16"/>
      <c r="AV46" s="112"/>
      <c r="AW46" s="5"/>
      <c r="AX46" s="5"/>
      <c r="AY46" s="16"/>
      <c r="AZ46" s="112"/>
      <c r="BA46" s="5"/>
      <c r="BB46" s="5"/>
      <c r="BC46" s="5"/>
      <c r="BD46" s="5"/>
      <c r="BE46" s="16"/>
      <c r="BF46" s="112"/>
      <c r="BG46" s="5"/>
      <c r="BH46" s="5"/>
      <c r="BI46" s="5"/>
      <c r="BJ46" s="5"/>
      <c r="BK46" s="16"/>
      <c r="BL46" s="112"/>
      <c r="BM46" s="5"/>
      <c r="BN46" s="5"/>
      <c r="BO46" s="5"/>
      <c r="BP46" s="16"/>
      <c r="BQ46" s="112"/>
      <c r="BR46" s="5"/>
      <c r="BS46" s="5"/>
      <c r="BT46" s="5"/>
      <c r="BU46" s="16"/>
    </row>
    <row r="47" spans="2:73" x14ac:dyDescent="0.3">
      <c r="B47" s="14">
        <v>40</v>
      </c>
      <c r="C47" s="6"/>
      <c r="D47" s="6"/>
      <c r="E47" s="6"/>
      <c r="F47" s="6"/>
      <c r="G47" s="349"/>
      <c r="H47" s="349"/>
      <c r="I47" s="349"/>
      <c r="J47" s="350"/>
      <c r="L47" s="71"/>
      <c r="M47" s="72"/>
      <c r="N47" s="72"/>
      <c r="O47" s="72"/>
      <c r="P47" s="72"/>
      <c r="Q47" s="72"/>
      <c r="R47" s="73"/>
      <c r="S47" s="111"/>
      <c r="T47" s="72"/>
      <c r="U47" s="72"/>
      <c r="V47" s="72"/>
      <c r="W47" s="72"/>
      <c r="X47" s="72"/>
      <c r="Y47" s="73"/>
      <c r="Z47" s="111"/>
      <c r="AA47" s="72"/>
      <c r="AB47" s="72"/>
      <c r="AC47" s="72"/>
      <c r="AD47" s="72"/>
      <c r="AE47" s="72"/>
      <c r="AF47" s="72"/>
      <c r="AG47" s="72"/>
      <c r="AH47" s="73"/>
      <c r="AI47" s="111"/>
      <c r="AJ47" s="72"/>
      <c r="AK47" s="72"/>
      <c r="AL47" s="72"/>
      <c r="AM47" s="72"/>
      <c r="AN47" s="72"/>
      <c r="AO47" s="72"/>
      <c r="AP47" s="72"/>
      <c r="AQ47" s="73"/>
      <c r="AR47" s="111"/>
      <c r="AS47" s="72"/>
      <c r="AT47" s="72"/>
      <c r="AU47" s="73"/>
      <c r="AV47" s="111"/>
      <c r="AW47" s="72"/>
      <c r="AX47" s="72"/>
      <c r="AY47" s="73"/>
      <c r="AZ47" s="111"/>
      <c r="BA47" s="72"/>
      <c r="BB47" s="72"/>
      <c r="BC47" s="72"/>
      <c r="BD47" s="72"/>
      <c r="BE47" s="73"/>
      <c r="BF47" s="111"/>
      <c r="BG47" s="72"/>
      <c r="BH47" s="72"/>
      <c r="BI47" s="72"/>
      <c r="BJ47" s="72"/>
      <c r="BK47" s="73"/>
      <c r="BL47" s="111"/>
      <c r="BM47" s="72"/>
      <c r="BN47" s="72"/>
      <c r="BO47" s="72"/>
      <c r="BP47" s="73"/>
      <c r="BQ47" s="111"/>
      <c r="BR47" s="72"/>
      <c r="BS47" s="72"/>
      <c r="BT47" s="72"/>
      <c r="BU47" s="73"/>
    </row>
    <row r="48" spans="2:73" x14ac:dyDescent="0.3">
      <c r="B48" s="15">
        <v>41</v>
      </c>
      <c r="C48" s="5"/>
      <c r="D48" s="5"/>
      <c r="E48" s="5"/>
      <c r="F48" s="5"/>
      <c r="G48" s="271"/>
      <c r="H48" s="271"/>
      <c r="I48" s="271"/>
      <c r="J48" s="273"/>
      <c r="L48" s="70"/>
      <c r="M48" s="5"/>
      <c r="N48" s="5"/>
      <c r="O48" s="5"/>
      <c r="P48" s="5"/>
      <c r="Q48" s="5"/>
      <c r="R48" s="16"/>
      <c r="S48" s="112"/>
      <c r="T48" s="5"/>
      <c r="U48" s="5"/>
      <c r="V48" s="5"/>
      <c r="W48" s="5"/>
      <c r="X48" s="5"/>
      <c r="Y48" s="16"/>
      <c r="Z48" s="112"/>
      <c r="AA48" s="5"/>
      <c r="AB48" s="5"/>
      <c r="AC48" s="5"/>
      <c r="AD48" s="5"/>
      <c r="AE48" s="5"/>
      <c r="AF48" s="5"/>
      <c r="AG48" s="5"/>
      <c r="AH48" s="16"/>
      <c r="AI48" s="112"/>
      <c r="AJ48" s="5"/>
      <c r="AK48" s="5"/>
      <c r="AL48" s="5"/>
      <c r="AM48" s="5"/>
      <c r="AN48" s="5"/>
      <c r="AO48" s="5"/>
      <c r="AP48" s="5"/>
      <c r="AQ48" s="16"/>
      <c r="AR48" s="112"/>
      <c r="AS48" s="5"/>
      <c r="AT48" s="5"/>
      <c r="AU48" s="16"/>
      <c r="AV48" s="112"/>
      <c r="AW48" s="5"/>
      <c r="AX48" s="5"/>
      <c r="AY48" s="16"/>
      <c r="AZ48" s="112"/>
      <c r="BA48" s="5"/>
      <c r="BB48" s="5"/>
      <c r="BC48" s="5"/>
      <c r="BD48" s="5"/>
      <c r="BE48" s="16"/>
      <c r="BF48" s="112"/>
      <c r="BG48" s="5"/>
      <c r="BH48" s="5"/>
      <c r="BI48" s="5"/>
      <c r="BJ48" s="5"/>
      <c r="BK48" s="16"/>
      <c r="BL48" s="112"/>
      <c r="BM48" s="5"/>
      <c r="BN48" s="5"/>
      <c r="BO48" s="5"/>
      <c r="BP48" s="16"/>
      <c r="BQ48" s="112"/>
      <c r="BR48" s="5"/>
      <c r="BS48" s="5"/>
      <c r="BT48" s="5"/>
      <c r="BU48" s="16"/>
    </row>
    <row r="49" spans="2:73" x14ac:dyDescent="0.3">
      <c r="B49" s="14">
        <v>42</v>
      </c>
      <c r="C49" s="6"/>
      <c r="D49" s="6"/>
      <c r="E49" s="6"/>
      <c r="F49" s="6"/>
      <c r="G49" s="349"/>
      <c r="H49" s="349"/>
      <c r="I49" s="349"/>
      <c r="J49" s="350"/>
      <c r="L49" s="71"/>
      <c r="M49" s="72"/>
      <c r="N49" s="72"/>
      <c r="O49" s="72"/>
      <c r="P49" s="72"/>
      <c r="Q49" s="72"/>
      <c r="R49" s="73"/>
      <c r="S49" s="111"/>
      <c r="T49" s="72"/>
      <c r="U49" s="72"/>
      <c r="V49" s="72"/>
      <c r="W49" s="72"/>
      <c r="X49" s="72"/>
      <c r="Y49" s="73"/>
      <c r="Z49" s="111"/>
      <c r="AA49" s="72"/>
      <c r="AB49" s="72"/>
      <c r="AC49" s="72"/>
      <c r="AD49" s="72"/>
      <c r="AE49" s="72"/>
      <c r="AF49" s="72"/>
      <c r="AG49" s="72"/>
      <c r="AH49" s="73"/>
      <c r="AI49" s="111"/>
      <c r="AJ49" s="72"/>
      <c r="AK49" s="72"/>
      <c r="AL49" s="72"/>
      <c r="AM49" s="72"/>
      <c r="AN49" s="72"/>
      <c r="AO49" s="72"/>
      <c r="AP49" s="72"/>
      <c r="AQ49" s="73"/>
      <c r="AR49" s="111"/>
      <c r="AS49" s="72"/>
      <c r="AT49" s="72"/>
      <c r="AU49" s="73"/>
      <c r="AV49" s="111"/>
      <c r="AW49" s="72"/>
      <c r="AX49" s="72"/>
      <c r="AY49" s="73"/>
      <c r="AZ49" s="111"/>
      <c r="BA49" s="72"/>
      <c r="BB49" s="72"/>
      <c r="BC49" s="72"/>
      <c r="BD49" s="72"/>
      <c r="BE49" s="73"/>
      <c r="BF49" s="111"/>
      <c r="BG49" s="72"/>
      <c r="BH49" s="72"/>
      <c r="BI49" s="72"/>
      <c r="BJ49" s="72"/>
      <c r="BK49" s="73"/>
      <c r="BL49" s="111"/>
      <c r="BM49" s="72"/>
      <c r="BN49" s="72"/>
      <c r="BO49" s="72"/>
      <c r="BP49" s="73"/>
      <c r="BQ49" s="111"/>
      <c r="BR49" s="72"/>
      <c r="BS49" s="72"/>
      <c r="BT49" s="72"/>
      <c r="BU49" s="73"/>
    </row>
    <row r="50" spans="2:73" x14ac:dyDescent="0.3">
      <c r="B50" s="15">
        <v>43</v>
      </c>
      <c r="C50" s="5"/>
      <c r="D50" s="5"/>
      <c r="E50" s="5"/>
      <c r="F50" s="5"/>
      <c r="G50" s="271"/>
      <c r="H50" s="271"/>
      <c r="I50" s="271"/>
      <c r="J50" s="273"/>
      <c r="L50" s="70"/>
      <c r="M50" s="5"/>
      <c r="N50" s="5"/>
      <c r="O50" s="5"/>
      <c r="P50" s="5"/>
      <c r="Q50" s="5"/>
      <c r="R50" s="16"/>
      <c r="S50" s="112"/>
      <c r="T50" s="5"/>
      <c r="U50" s="5"/>
      <c r="V50" s="5"/>
      <c r="W50" s="5"/>
      <c r="X50" s="5"/>
      <c r="Y50" s="16"/>
      <c r="Z50" s="112"/>
      <c r="AA50" s="5"/>
      <c r="AB50" s="5"/>
      <c r="AC50" s="5"/>
      <c r="AD50" s="5"/>
      <c r="AE50" s="5"/>
      <c r="AF50" s="5"/>
      <c r="AG50" s="5"/>
      <c r="AH50" s="16"/>
      <c r="AI50" s="112"/>
      <c r="AJ50" s="5"/>
      <c r="AK50" s="5"/>
      <c r="AL50" s="5"/>
      <c r="AM50" s="5"/>
      <c r="AN50" s="5"/>
      <c r="AO50" s="5"/>
      <c r="AP50" s="5"/>
      <c r="AQ50" s="16"/>
      <c r="AR50" s="112"/>
      <c r="AS50" s="5"/>
      <c r="AT50" s="5"/>
      <c r="AU50" s="16"/>
      <c r="AV50" s="112"/>
      <c r="AW50" s="5"/>
      <c r="AX50" s="5"/>
      <c r="AY50" s="16"/>
      <c r="AZ50" s="112"/>
      <c r="BA50" s="5"/>
      <c r="BB50" s="5"/>
      <c r="BC50" s="5"/>
      <c r="BD50" s="5"/>
      <c r="BE50" s="16"/>
      <c r="BF50" s="112"/>
      <c r="BG50" s="5"/>
      <c r="BH50" s="5"/>
      <c r="BI50" s="5"/>
      <c r="BJ50" s="5"/>
      <c r="BK50" s="16"/>
      <c r="BL50" s="112"/>
      <c r="BM50" s="5"/>
      <c r="BN50" s="5"/>
      <c r="BO50" s="5"/>
      <c r="BP50" s="16"/>
      <c r="BQ50" s="112"/>
      <c r="BR50" s="5"/>
      <c r="BS50" s="5"/>
      <c r="BT50" s="5"/>
      <c r="BU50" s="16"/>
    </row>
    <row r="51" spans="2:73" x14ac:dyDescent="0.3">
      <c r="B51" s="14">
        <v>44</v>
      </c>
      <c r="C51" s="6"/>
      <c r="D51" s="6"/>
      <c r="E51" s="6"/>
      <c r="F51" s="6"/>
      <c r="G51" s="349"/>
      <c r="H51" s="349"/>
      <c r="I51" s="349"/>
      <c r="J51" s="350"/>
      <c r="L51" s="71"/>
      <c r="M51" s="72"/>
      <c r="N51" s="72"/>
      <c r="O51" s="72"/>
      <c r="P51" s="72"/>
      <c r="Q51" s="72"/>
      <c r="R51" s="73"/>
      <c r="S51" s="111"/>
      <c r="T51" s="72"/>
      <c r="U51" s="72"/>
      <c r="V51" s="72"/>
      <c r="W51" s="72"/>
      <c r="X51" s="72"/>
      <c r="Y51" s="73"/>
      <c r="Z51" s="111"/>
      <c r="AA51" s="72"/>
      <c r="AB51" s="72"/>
      <c r="AC51" s="72"/>
      <c r="AD51" s="72"/>
      <c r="AE51" s="72"/>
      <c r="AF51" s="72"/>
      <c r="AG51" s="72"/>
      <c r="AH51" s="73"/>
      <c r="AI51" s="111"/>
      <c r="AJ51" s="72"/>
      <c r="AK51" s="72"/>
      <c r="AL51" s="72"/>
      <c r="AM51" s="72"/>
      <c r="AN51" s="72"/>
      <c r="AO51" s="72"/>
      <c r="AP51" s="72"/>
      <c r="AQ51" s="73"/>
      <c r="AR51" s="111"/>
      <c r="AS51" s="72"/>
      <c r="AT51" s="72"/>
      <c r="AU51" s="73"/>
      <c r="AV51" s="111"/>
      <c r="AW51" s="72"/>
      <c r="AX51" s="72"/>
      <c r="AY51" s="73"/>
      <c r="AZ51" s="111"/>
      <c r="BA51" s="72"/>
      <c r="BB51" s="72"/>
      <c r="BC51" s="72"/>
      <c r="BD51" s="72"/>
      <c r="BE51" s="73"/>
      <c r="BF51" s="111"/>
      <c r="BG51" s="72"/>
      <c r="BH51" s="72"/>
      <c r="BI51" s="72"/>
      <c r="BJ51" s="72"/>
      <c r="BK51" s="73"/>
      <c r="BL51" s="111"/>
      <c r="BM51" s="72"/>
      <c r="BN51" s="72"/>
      <c r="BO51" s="72"/>
      <c r="BP51" s="73"/>
      <c r="BQ51" s="111"/>
      <c r="BR51" s="72"/>
      <c r="BS51" s="72"/>
      <c r="BT51" s="72"/>
      <c r="BU51" s="73"/>
    </row>
    <row r="52" spans="2:73" x14ac:dyDescent="0.3">
      <c r="B52" s="15">
        <v>45</v>
      </c>
      <c r="C52" s="5"/>
      <c r="D52" s="5"/>
      <c r="E52" s="5"/>
      <c r="F52" s="5"/>
      <c r="G52" s="271"/>
      <c r="H52" s="271"/>
      <c r="I52" s="271"/>
      <c r="J52" s="273"/>
      <c r="L52" s="70"/>
      <c r="M52" s="5"/>
      <c r="N52" s="5"/>
      <c r="O52" s="5"/>
      <c r="P52" s="5"/>
      <c r="Q52" s="5"/>
      <c r="R52" s="16"/>
      <c r="S52" s="112"/>
      <c r="T52" s="5"/>
      <c r="U52" s="5"/>
      <c r="V52" s="5"/>
      <c r="W52" s="5"/>
      <c r="X52" s="5"/>
      <c r="Y52" s="16"/>
      <c r="Z52" s="112"/>
      <c r="AA52" s="5"/>
      <c r="AB52" s="5"/>
      <c r="AC52" s="5"/>
      <c r="AD52" s="5"/>
      <c r="AE52" s="5"/>
      <c r="AF52" s="5"/>
      <c r="AG52" s="5"/>
      <c r="AH52" s="16"/>
      <c r="AI52" s="112"/>
      <c r="AJ52" s="5"/>
      <c r="AK52" s="5"/>
      <c r="AL52" s="5"/>
      <c r="AM52" s="5"/>
      <c r="AN52" s="5"/>
      <c r="AO52" s="5"/>
      <c r="AP52" s="5"/>
      <c r="AQ52" s="16"/>
      <c r="AR52" s="112"/>
      <c r="AS52" s="5"/>
      <c r="AT52" s="5"/>
      <c r="AU52" s="16"/>
      <c r="AV52" s="112"/>
      <c r="AW52" s="5"/>
      <c r="AX52" s="5"/>
      <c r="AY52" s="16"/>
      <c r="AZ52" s="112"/>
      <c r="BA52" s="5"/>
      <c r="BB52" s="5"/>
      <c r="BC52" s="5"/>
      <c r="BD52" s="5"/>
      <c r="BE52" s="16"/>
      <c r="BF52" s="112"/>
      <c r="BG52" s="5"/>
      <c r="BH52" s="5"/>
      <c r="BI52" s="5"/>
      <c r="BJ52" s="5"/>
      <c r="BK52" s="16"/>
      <c r="BL52" s="112"/>
      <c r="BM52" s="5"/>
      <c r="BN52" s="5"/>
      <c r="BO52" s="5"/>
      <c r="BP52" s="16"/>
      <c r="BQ52" s="112"/>
      <c r="BR52" s="5"/>
      <c r="BS52" s="5"/>
      <c r="BT52" s="5"/>
      <c r="BU52" s="16"/>
    </row>
    <row r="53" spans="2:73" x14ac:dyDescent="0.3">
      <c r="B53" s="14">
        <v>46</v>
      </c>
      <c r="C53" s="6"/>
      <c r="D53" s="6"/>
      <c r="E53" s="6"/>
      <c r="F53" s="6"/>
      <c r="G53" s="349"/>
      <c r="H53" s="349"/>
      <c r="I53" s="349"/>
      <c r="J53" s="350"/>
      <c r="L53" s="71"/>
      <c r="M53" s="72"/>
      <c r="N53" s="72"/>
      <c r="O53" s="72"/>
      <c r="P53" s="72"/>
      <c r="Q53" s="72"/>
      <c r="R53" s="73"/>
      <c r="S53" s="111"/>
      <c r="T53" s="72"/>
      <c r="U53" s="72"/>
      <c r="V53" s="72"/>
      <c r="W53" s="72"/>
      <c r="X53" s="72"/>
      <c r="Y53" s="73"/>
      <c r="Z53" s="111"/>
      <c r="AA53" s="72"/>
      <c r="AB53" s="72"/>
      <c r="AC53" s="72"/>
      <c r="AD53" s="72"/>
      <c r="AE53" s="72"/>
      <c r="AF53" s="72"/>
      <c r="AG53" s="72"/>
      <c r="AH53" s="73"/>
      <c r="AI53" s="111"/>
      <c r="AJ53" s="72"/>
      <c r="AK53" s="72"/>
      <c r="AL53" s="72"/>
      <c r="AM53" s="72"/>
      <c r="AN53" s="72"/>
      <c r="AO53" s="72"/>
      <c r="AP53" s="72"/>
      <c r="AQ53" s="73"/>
      <c r="AR53" s="111"/>
      <c r="AS53" s="72"/>
      <c r="AT53" s="72"/>
      <c r="AU53" s="73"/>
      <c r="AV53" s="111"/>
      <c r="AW53" s="72"/>
      <c r="AX53" s="72"/>
      <c r="AY53" s="73"/>
      <c r="AZ53" s="111"/>
      <c r="BA53" s="72"/>
      <c r="BB53" s="72"/>
      <c r="BC53" s="72"/>
      <c r="BD53" s="72"/>
      <c r="BE53" s="73"/>
      <c r="BF53" s="111"/>
      <c r="BG53" s="72"/>
      <c r="BH53" s="72"/>
      <c r="BI53" s="72"/>
      <c r="BJ53" s="72"/>
      <c r="BK53" s="73"/>
      <c r="BL53" s="111"/>
      <c r="BM53" s="72"/>
      <c r="BN53" s="72"/>
      <c r="BO53" s="72"/>
      <c r="BP53" s="73"/>
      <c r="BQ53" s="111"/>
      <c r="BR53" s="72"/>
      <c r="BS53" s="72"/>
      <c r="BT53" s="72"/>
      <c r="BU53" s="73"/>
    </row>
    <row r="54" spans="2:73" x14ac:dyDescent="0.3">
      <c r="B54" s="15">
        <v>47</v>
      </c>
      <c r="C54" s="5"/>
      <c r="D54" s="5"/>
      <c r="E54" s="5"/>
      <c r="F54" s="5"/>
      <c r="G54" s="271"/>
      <c r="H54" s="271"/>
      <c r="I54" s="271"/>
      <c r="J54" s="273"/>
      <c r="L54" s="70"/>
      <c r="M54" s="5"/>
      <c r="N54" s="5"/>
      <c r="O54" s="5"/>
      <c r="P54" s="5"/>
      <c r="Q54" s="5"/>
      <c r="R54" s="16"/>
      <c r="S54" s="112"/>
      <c r="T54" s="5"/>
      <c r="U54" s="5"/>
      <c r="V54" s="5"/>
      <c r="W54" s="5"/>
      <c r="X54" s="5"/>
      <c r="Y54" s="16"/>
      <c r="Z54" s="112"/>
      <c r="AA54" s="5"/>
      <c r="AB54" s="5"/>
      <c r="AC54" s="5"/>
      <c r="AD54" s="5"/>
      <c r="AE54" s="5"/>
      <c r="AF54" s="5"/>
      <c r="AG54" s="5"/>
      <c r="AH54" s="16"/>
      <c r="AI54" s="112"/>
      <c r="AJ54" s="5"/>
      <c r="AK54" s="5"/>
      <c r="AL54" s="5"/>
      <c r="AM54" s="5"/>
      <c r="AN54" s="5"/>
      <c r="AO54" s="5"/>
      <c r="AP54" s="5"/>
      <c r="AQ54" s="16"/>
      <c r="AR54" s="112"/>
      <c r="AS54" s="5"/>
      <c r="AT54" s="5"/>
      <c r="AU54" s="16"/>
      <c r="AV54" s="112"/>
      <c r="AW54" s="5"/>
      <c r="AX54" s="5"/>
      <c r="AY54" s="16"/>
      <c r="AZ54" s="112"/>
      <c r="BA54" s="5"/>
      <c r="BB54" s="5"/>
      <c r="BC54" s="5"/>
      <c r="BD54" s="5"/>
      <c r="BE54" s="16"/>
      <c r="BF54" s="112"/>
      <c r="BG54" s="5"/>
      <c r="BH54" s="5"/>
      <c r="BI54" s="5"/>
      <c r="BJ54" s="5"/>
      <c r="BK54" s="16"/>
      <c r="BL54" s="112"/>
      <c r="BM54" s="5"/>
      <c r="BN54" s="5"/>
      <c r="BO54" s="5"/>
      <c r="BP54" s="16"/>
      <c r="BQ54" s="112"/>
      <c r="BR54" s="5"/>
      <c r="BS54" s="5"/>
      <c r="BT54" s="5"/>
      <c r="BU54" s="16"/>
    </row>
    <row r="55" spans="2:73" x14ac:dyDescent="0.3">
      <c r="B55" s="14">
        <v>48</v>
      </c>
      <c r="C55" s="6"/>
      <c r="D55" s="6"/>
      <c r="E55" s="6"/>
      <c r="F55" s="6"/>
      <c r="G55" s="349"/>
      <c r="H55" s="349"/>
      <c r="I55" s="349"/>
      <c r="J55" s="350"/>
      <c r="L55" s="71"/>
      <c r="M55" s="72"/>
      <c r="N55" s="72"/>
      <c r="O55" s="72"/>
      <c r="P55" s="72"/>
      <c r="Q55" s="72"/>
      <c r="R55" s="73"/>
      <c r="S55" s="111"/>
      <c r="T55" s="72"/>
      <c r="U55" s="72"/>
      <c r="V55" s="72"/>
      <c r="W55" s="72"/>
      <c r="X55" s="72"/>
      <c r="Y55" s="73"/>
      <c r="Z55" s="111"/>
      <c r="AA55" s="72"/>
      <c r="AB55" s="72"/>
      <c r="AC55" s="72"/>
      <c r="AD55" s="72"/>
      <c r="AE55" s="72"/>
      <c r="AF55" s="72"/>
      <c r="AG55" s="72"/>
      <c r="AH55" s="73"/>
      <c r="AI55" s="111"/>
      <c r="AJ55" s="72"/>
      <c r="AK55" s="72"/>
      <c r="AL55" s="72"/>
      <c r="AM55" s="72"/>
      <c r="AN55" s="72"/>
      <c r="AO55" s="72"/>
      <c r="AP55" s="72"/>
      <c r="AQ55" s="73"/>
      <c r="AR55" s="111"/>
      <c r="AS55" s="72"/>
      <c r="AT55" s="72"/>
      <c r="AU55" s="73"/>
      <c r="AV55" s="111"/>
      <c r="AW55" s="72"/>
      <c r="AX55" s="72"/>
      <c r="AY55" s="73"/>
      <c r="AZ55" s="111"/>
      <c r="BA55" s="72"/>
      <c r="BB55" s="72"/>
      <c r="BC55" s="72"/>
      <c r="BD55" s="72"/>
      <c r="BE55" s="73"/>
      <c r="BF55" s="111"/>
      <c r="BG55" s="72"/>
      <c r="BH55" s="72"/>
      <c r="BI55" s="72"/>
      <c r="BJ55" s="72"/>
      <c r="BK55" s="73"/>
      <c r="BL55" s="111"/>
      <c r="BM55" s="72"/>
      <c r="BN55" s="72"/>
      <c r="BO55" s="72"/>
      <c r="BP55" s="73"/>
      <c r="BQ55" s="111"/>
      <c r="BR55" s="72"/>
      <c r="BS55" s="72"/>
      <c r="BT55" s="72"/>
      <c r="BU55" s="73"/>
    </row>
    <row r="56" spans="2:73" x14ac:dyDescent="0.3">
      <c r="B56" s="15">
        <v>49</v>
      </c>
      <c r="C56" s="5"/>
      <c r="D56" s="5"/>
      <c r="E56" s="5"/>
      <c r="F56" s="5"/>
      <c r="G56" s="271"/>
      <c r="H56" s="271"/>
      <c r="I56" s="271"/>
      <c r="J56" s="273"/>
      <c r="L56" s="70"/>
      <c r="M56" s="5"/>
      <c r="N56" s="5"/>
      <c r="O56" s="5"/>
      <c r="P56" s="5"/>
      <c r="Q56" s="5"/>
      <c r="R56" s="16"/>
      <c r="S56" s="112"/>
      <c r="T56" s="5"/>
      <c r="U56" s="5"/>
      <c r="V56" s="5"/>
      <c r="W56" s="5"/>
      <c r="X56" s="5"/>
      <c r="Y56" s="16"/>
      <c r="Z56" s="112"/>
      <c r="AA56" s="5"/>
      <c r="AB56" s="5"/>
      <c r="AC56" s="5"/>
      <c r="AD56" s="5"/>
      <c r="AE56" s="5"/>
      <c r="AF56" s="5"/>
      <c r="AG56" s="5"/>
      <c r="AH56" s="16"/>
      <c r="AI56" s="112"/>
      <c r="AJ56" s="5"/>
      <c r="AK56" s="5"/>
      <c r="AL56" s="5"/>
      <c r="AM56" s="5"/>
      <c r="AN56" s="5"/>
      <c r="AO56" s="5"/>
      <c r="AP56" s="5"/>
      <c r="AQ56" s="16"/>
      <c r="AR56" s="112"/>
      <c r="AS56" s="5"/>
      <c r="AT56" s="5"/>
      <c r="AU56" s="16"/>
      <c r="AV56" s="112"/>
      <c r="AW56" s="5"/>
      <c r="AX56" s="5"/>
      <c r="AY56" s="16"/>
      <c r="AZ56" s="112"/>
      <c r="BA56" s="5"/>
      <c r="BB56" s="5"/>
      <c r="BC56" s="5"/>
      <c r="BD56" s="5"/>
      <c r="BE56" s="16"/>
      <c r="BF56" s="112"/>
      <c r="BG56" s="5"/>
      <c r="BH56" s="5"/>
      <c r="BI56" s="5"/>
      <c r="BJ56" s="5"/>
      <c r="BK56" s="16"/>
      <c r="BL56" s="112"/>
      <c r="BM56" s="5"/>
      <c r="BN56" s="5"/>
      <c r="BO56" s="5"/>
      <c r="BP56" s="16"/>
      <c r="BQ56" s="112"/>
      <c r="BR56" s="5"/>
      <c r="BS56" s="5"/>
      <c r="BT56" s="5"/>
      <c r="BU56" s="16"/>
    </row>
    <row r="57" spans="2:73" ht="15" thickBot="1" x14ac:dyDescent="0.35">
      <c r="B57" s="101">
        <v>50</v>
      </c>
      <c r="C57" s="18"/>
      <c r="D57" s="18"/>
      <c r="E57" s="18"/>
      <c r="F57" s="18"/>
      <c r="G57" s="351"/>
      <c r="H57" s="351"/>
      <c r="I57" s="351"/>
      <c r="J57" s="352"/>
      <c r="L57" s="74"/>
      <c r="M57" s="75"/>
      <c r="N57" s="75"/>
      <c r="O57" s="75"/>
      <c r="P57" s="75"/>
      <c r="Q57" s="75"/>
      <c r="R57" s="76"/>
      <c r="S57" s="113"/>
      <c r="T57" s="75"/>
      <c r="U57" s="75"/>
      <c r="V57" s="75"/>
      <c r="W57" s="75"/>
      <c r="X57" s="75"/>
      <c r="Y57" s="76"/>
      <c r="Z57" s="113"/>
      <c r="AA57" s="75"/>
      <c r="AB57" s="75"/>
      <c r="AC57" s="75"/>
      <c r="AD57" s="75"/>
      <c r="AE57" s="75"/>
      <c r="AF57" s="75"/>
      <c r="AG57" s="75"/>
      <c r="AH57" s="76"/>
      <c r="AI57" s="113"/>
      <c r="AJ57" s="75"/>
      <c r="AK57" s="75"/>
      <c r="AL57" s="75"/>
      <c r="AM57" s="75"/>
      <c r="AN57" s="75"/>
      <c r="AO57" s="75"/>
      <c r="AP57" s="75"/>
      <c r="AQ57" s="76"/>
      <c r="AR57" s="113"/>
      <c r="AS57" s="75"/>
      <c r="AT57" s="75"/>
      <c r="AU57" s="76"/>
      <c r="AV57" s="113"/>
      <c r="AW57" s="75"/>
      <c r="AX57" s="75"/>
      <c r="AY57" s="76"/>
      <c r="AZ57" s="113"/>
      <c r="BA57" s="75"/>
      <c r="BB57" s="75"/>
      <c r="BC57" s="75"/>
      <c r="BD57" s="75"/>
      <c r="BE57" s="76"/>
      <c r="BF57" s="113"/>
      <c r="BG57" s="75"/>
      <c r="BH57" s="75"/>
      <c r="BI57" s="75"/>
      <c r="BJ57" s="75"/>
      <c r="BK57" s="76"/>
      <c r="BL57" s="113"/>
      <c r="BM57" s="75"/>
      <c r="BN57" s="75"/>
      <c r="BO57" s="75"/>
      <c r="BP57" s="76"/>
      <c r="BQ57" s="113"/>
      <c r="BR57" s="75"/>
      <c r="BS57" s="75"/>
      <c r="BT57" s="75"/>
      <c r="BU57" s="76"/>
    </row>
    <row r="58" spans="2:73" x14ac:dyDescent="0.3">
      <c r="L58" s="9"/>
      <c r="M58" s="9"/>
      <c r="N58" s="9"/>
      <c r="O58" s="9"/>
      <c r="P58" s="9"/>
      <c r="Q58" s="9"/>
      <c r="R58" s="9"/>
      <c r="Y58" s="114"/>
    </row>
    <row r="59" spans="2:73" ht="15" thickBot="1" x14ac:dyDescent="0.35">
      <c r="K59" s="38"/>
      <c r="S59" s="38"/>
      <c r="T59" s="38"/>
      <c r="U59" s="38"/>
      <c r="V59" s="38"/>
      <c r="Y59" s="3"/>
    </row>
    <row r="60" spans="2:73" ht="15" thickBot="1" x14ac:dyDescent="0.35">
      <c r="B60" s="284" t="s">
        <v>6</v>
      </c>
      <c r="C60" s="10"/>
      <c r="D60" s="23" t="s">
        <v>0</v>
      </c>
      <c r="E60" s="24" t="s">
        <v>9</v>
      </c>
      <c r="F60" s="22" t="s">
        <v>10</v>
      </c>
      <c r="H60" s="37"/>
      <c r="I60" s="37"/>
      <c r="J60" s="37"/>
      <c r="K60" s="38"/>
      <c r="L60" s="300" t="s">
        <v>75</v>
      </c>
      <c r="M60" s="301"/>
      <c r="N60" s="302"/>
      <c r="O60" s="310" t="s">
        <v>9</v>
      </c>
      <c r="P60" s="311"/>
      <c r="Q60" s="310" t="s">
        <v>10</v>
      </c>
      <c r="R60" s="312"/>
      <c r="S60" s="38"/>
      <c r="T60" s="38"/>
      <c r="U60" s="38"/>
      <c r="V60" s="38"/>
    </row>
    <row r="61" spans="2:73" ht="15" thickBot="1" x14ac:dyDescent="0.35">
      <c r="B61" s="285"/>
      <c r="C61" s="8"/>
      <c r="D61" s="49" t="s">
        <v>7</v>
      </c>
      <c r="E61" s="103">
        <f>COUNTIF(D$8:D$57,"Male")</f>
        <v>17</v>
      </c>
      <c r="F61" s="62">
        <f>E$61/SUM(E61:E62)</f>
        <v>0.6071428571428571</v>
      </c>
      <c r="H61" s="39"/>
      <c r="I61" s="39"/>
      <c r="J61" s="39"/>
      <c r="K61" s="38"/>
      <c r="L61" s="303"/>
      <c r="M61" s="304"/>
      <c r="N61" s="305"/>
      <c r="O61" s="81" t="s">
        <v>38</v>
      </c>
      <c r="P61" s="82" t="s">
        <v>39</v>
      </c>
      <c r="Q61" s="82" t="s">
        <v>38</v>
      </c>
      <c r="R61" s="83" t="s">
        <v>39</v>
      </c>
      <c r="S61" s="38"/>
      <c r="T61" s="38"/>
      <c r="U61" s="38"/>
      <c r="V61" s="38"/>
    </row>
    <row r="62" spans="2:73" ht="15" thickBot="1" x14ac:dyDescent="0.35">
      <c r="B62" s="286"/>
      <c r="C62" s="8"/>
      <c r="D62" s="50" t="s">
        <v>8</v>
      </c>
      <c r="E62" s="97">
        <f>COUNTIF(D$8:D$57,"Female")</f>
        <v>11</v>
      </c>
      <c r="F62" s="63">
        <f>E$62/SUM(E61:E62)</f>
        <v>0.39285714285714285</v>
      </c>
      <c r="H62" s="39"/>
      <c r="I62" s="39"/>
      <c r="J62" s="39"/>
      <c r="L62" s="307" t="s">
        <v>40</v>
      </c>
      <c r="M62" s="308"/>
      <c r="N62" s="308"/>
      <c r="O62" s="308"/>
      <c r="P62" s="308"/>
      <c r="Q62" s="308"/>
      <c r="R62" s="309"/>
    </row>
    <row r="63" spans="2:73" ht="15" thickBot="1" x14ac:dyDescent="0.35">
      <c r="B63" s="34"/>
      <c r="C63" s="8"/>
      <c r="D63" s="32"/>
      <c r="E63" s="33"/>
      <c r="F63" s="2"/>
      <c r="L63" s="313" t="s">
        <v>74</v>
      </c>
      <c r="M63" s="314"/>
      <c r="N63" s="314"/>
      <c r="O63" s="104">
        <f>COUNTIF(L$8:L$57,"✓")</f>
        <v>6</v>
      </c>
      <c r="P63" s="104">
        <f>COUNTIF(S$8:S$57,"✓")</f>
        <v>15</v>
      </c>
      <c r="Q63" s="85">
        <f>O63/SUM(O63:O69)</f>
        <v>0.21428571428571427</v>
      </c>
      <c r="R63" s="86">
        <f>P63/SUM(P63:P69)</f>
        <v>0.5357142857142857</v>
      </c>
    </row>
    <row r="64" spans="2:73" ht="15" thickBot="1" x14ac:dyDescent="0.35">
      <c r="C64" s="27"/>
      <c r="D64" s="28" t="s">
        <v>11</v>
      </c>
      <c r="E64" s="64">
        <f>E61+E62</f>
        <v>28</v>
      </c>
      <c r="F64" s="65">
        <f>SUM(F61:F62)</f>
        <v>1</v>
      </c>
      <c r="L64" s="270" t="s">
        <v>76</v>
      </c>
      <c r="M64" s="271"/>
      <c r="N64" s="271"/>
      <c r="O64" s="99">
        <f>COUNTIF(M$8:M$57,"✓")</f>
        <v>3</v>
      </c>
      <c r="P64" s="99">
        <f>COUNTIF(T$8:T$57,"✓")</f>
        <v>0</v>
      </c>
      <c r="Q64" s="87">
        <f>O64/SUM(O63:O69)</f>
        <v>0.10714285714285714</v>
      </c>
      <c r="R64" s="88">
        <f>P64/SUM(P63:P69)</f>
        <v>0</v>
      </c>
    </row>
    <row r="65" spans="4:27" ht="15" thickBot="1" x14ac:dyDescent="0.35">
      <c r="L65" s="306" t="s">
        <v>77</v>
      </c>
      <c r="M65" s="271"/>
      <c r="N65" s="271"/>
      <c r="O65" s="99">
        <f>COUNTIF(N$8:N$57,"✓")</f>
        <v>6</v>
      </c>
      <c r="P65" s="99">
        <f>COUNTIF(U$8:U$57,"✓")</f>
        <v>4</v>
      </c>
      <c r="Q65" s="87">
        <f>O65/SUM(O63:O69)</f>
        <v>0.21428571428571427</v>
      </c>
      <c r="R65" s="88">
        <f>P65/SUM(P63:P69)</f>
        <v>0.14285714285714285</v>
      </c>
    </row>
    <row r="66" spans="4:27" ht="15" thickBot="1" x14ac:dyDescent="0.35">
      <c r="D66" s="23" t="s">
        <v>1</v>
      </c>
      <c r="E66" s="24" t="s">
        <v>9</v>
      </c>
      <c r="F66" s="22" t="s">
        <v>10</v>
      </c>
      <c r="L66" s="270" t="s">
        <v>78</v>
      </c>
      <c r="M66" s="271"/>
      <c r="N66" s="271"/>
      <c r="O66" s="99">
        <f>COUNTIF(O$8:O$57,"✓")</f>
        <v>2</v>
      </c>
      <c r="P66" s="99">
        <f>COUNTIF(V$8:V$57,"✓")</f>
        <v>1</v>
      </c>
      <c r="Q66" s="87">
        <f>O66/SUM(O63:O69)</f>
        <v>7.1428571428571425E-2</v>
      </c>
      <c r="R66" s="88">
        <f>P66/SUM(P63:P69)</f>
        <v>3.5714285714285712E-2</v>
      </c>
    </row>
    <row r="67" spans="4:27" ht="15" thickBot="1" x14ac:dyDescent="0.35">
      <c r="D67" s="102" t="s">
        <v>12</v>
      </c>
      <c r="E67" s="103">
        <f>COUNTIF(E$8:E$57,"18 or lower")</f>
        <v>0</v>
      </c>
      <c r="F67" s="66">
        <f>E$67/SUM(E67:E74)</f>
        <v>0</v>
      </c>
      <c r="L67" s="270" t="s">
        <v>79</v>
      </c>
      <c r="M67" s="271"/>
      <c r="N67" s="271"/>
      <c r="O67" s="99">
        <f>COUNTIF(P$8:P$57,"✓")</f>
        <v>3</v>
      </c>
      <c r="P67" s="99">
        <f>COUNTIF(W$8:W$57,"✓")</f>
        <v>2</v>
      </c>
      <c r="Q67" s="87">
        <f>O67/SUM(O63:O69)</f>
        <v>0.10714285714285714</v>
      </c>
      <c r="R67" s="88">
        <f>P67/SUM(P63:P69)</f>
        <v>7.1428571428571425E-2</v>
      </c>
    </row>
    <row r="68" spans="4:27" ht="15" thickBot="1" x14ac:dyDescent="0.35">
      <c r="D68" s="98" t="s">
        <v>13</v>
      </c>
      <c r="E68" s="99">
        <f>COUNTIF(E$8:E$57,"19 - 24")</f>
        <v>16</v>
      </c>
      <c r="F68" s="66">
        <f>E$68/SUM(E67:E74)</f>
        <v>0.5714285714285714</v>
      </c>
      <c r="L68" s="270" t="s">
        <v>80</v>
      </c>
      <c r="M68" s="271"/>
      <c r="N68" s="271"/>
      <c r="O68" s="99">
        <f>COUNTIF(Q$8:Q$57,"✓")</f>
        <v>2</v>
      </c>
      <c r="P68" s="99">
        <f>COUNTIF(X$8:X$57,"✓")</f>
        <v>2</v>
      </c>
      <c r="Q68" s="87">
        <f>O68/SUM(O63:O69)</f>
        <v>7.1428571428571425E-2</v>
      </c>
      <c r="R68" s="88">
        <f>P68/SUM(P63:P69)</f>
        <v>7.1428571428571425E-2</v>
      </c>
    </row>
    <row r="69" spans="4:27" ht="15" thickBot="1" x14ac:dyDescent="0.35">
      <c r="D69" s="98" t="s">
        <v>14</v>
      </c>
      <c r="E69" s="99">
        <f>COUNTIF(E$8:E$57,"25 - 29")</f>
        <v>5</v>
      </c>
      <c r="F69" s="66">
        <f>E$69/SUM(E67:E74)</f>
        <v>0.17857142857142858</v>
      </c>
      <c r="L69" s="277" t="s">
        <v>81</v>
      </c>
      <c r="M69" s="278"/>
      <c r="N69" s="278"/>
      <c r="O69" s="97">
        <f>COUNTIF(R$8:R$57,"✓")</f>
        <v>6</v>
      </c>
      <c r="P69" s="97">
        <f>COUNTIF(Y$8:Y$57,"✓")</f>
        <v>4</v>
      </c>
      <c r="Q69" s="89">
        <f>O69/SUM(O63:O69)</f>
        <v>0.21428571428571427</v>
      </c>
      <c r="R69" s="63">
        <f>P69/SUM(P63:P69)</f>
        <v>0.14285714285714285</v>
      </c>
    </row>
    <row r="70" spans="4:27" ht="15" thickBot="1" x14ac:dyDescent="0.35">
      <c r="D70" s="42" t="s">
        <v>15</v>
      </c>
      <c r="E70" s="99">
        <f>COUNTIF(E$8:E$57,"30 - 34")</f>
        <v>1</v>
      </c>
      <c r="F70" s="66">
        <f>E$70/SUM(E67:E74)</f>
        <v>3.5714285714285712E-2</v>
      </c>
      <c r="L70" s="287" t="s">
        <v>11</v>
      </c>
      <c r="M70" s="288"/>
      <c r="N70" s="289"/>
      <c r="O70" s="90">
        <f>SUM(O63:O69)</f>
        <v>28</v>
      </c>
      <c r="P70" s="91">
        <f>SUM(P63:P69)</f>
        <v>28</v>
      </c>
      <c r="Q70" s="92">
        <f>SUM(Q63:Q69)</f>
        <v>0.99999999999999989</v>
      </c>
      <c r="R70" s="93">
        <f>SUM(R63:R69)</f>
        <v>1</v>
      </c>
    </row>
    <row r="71" spans="4:27" ht="15" thickBot="1" x14ac:dyDescent="0.35">
      <c r="D71" s="42" t="s">
        <v>16</v>
      </c>
      <c r="E71" s="99">
        <f>COUNTIF(E$8:E$57,"35 - 39")</f>
        <v>2</v>
      </c>
      <c r="F71" s="66">
        <f>E$71/SUM(E67:E74)</f>
        <v>7.1428571428571425E-2</v>
      </c>
      <c r="L71" s="292" t="s">
        <v>99</v>
      </c>
      <c r="M71" s="293"/>
      <c r="N71" s="293"/>
      <c r="O71" s="293"/>
      <c r="P71" s="293"/>
      <c r="Q71" s="293"/>
      <c r="R71" s="294"/>
    </row>
    <row r="72" spans="4:27" ht="15" thickBot="1" x14ac:dyDescent="0.35">
      <c r="D72" s="42" t="s">
        <v>17</v>
      </c>
      <c r="E72" s="99">
        <f>COUNTIF(E$8:E$57,"40 - 44")</f>
        <v>2</v>
      </c>
      <c r="F72" s="66">
        <f>E$72/SUM(E67:E74)</f>
        <v>7.1428571428571425E-2</v>
      </c>
      <c r="L72" s="295" t="s">
        <v>48</v>
      </c>
      <c r="M72" s="291"/>
      <c r="N72" s="291"/>
      <c r="O72" s="103">
        <f>COUNTIF(Z$8:Z$57,"✓")</f>
        <v>6</v>
      </c>
      <c r="P72" s="103">
        <f>COUNTIF(AI$8:AI$57,"✓")</f>
        <v>14</v>
      </c>
      <c r="Q72" s="94">
        <f>O72/SUM(O72:O80)</f>
        <v>0.21428571428571427</v>
      </c>
      <c r="R72" s="66">
        <f>P72/SUM(P72:P80)</f>
        <v>0.5</v>
      </c>
    </row>
    <row r="73" spans="4:27" ht="15" thickBot="1" x14ac:dyDescent="0.35">
      <c r="D73" s="42" t="s">
        <v>18</v>
      </c>
      <c r="E73" s="99">
        <f>COUNTIF(E$8:E$57,"45 - 49")</f>
        <v>2</v>
      </c>
      <c r="F73" s="66">
        <f>E$73/SUM(E67:E74)</f>
        <v>7.1428571428571425E-2</v>
      </c>
      <c r="L73" s="306" t="s">
        <v>82</v>
      </c>
      <c r="M73" s="271"/>
      <c r="N73" s="271"/>
      <c r="O73" s="99">
        <f>COUNTIF(AA$8:AA$57,"✓")</f>
        <v>4</v>
      </c>
      <c r="P73" s="99">
        <f>COUNTIF(AJ$8:AJ$57,"✓")</f>
        <v>0</v>
      </c>
      <c r="Q73" s="87">
        <f>O73/SUM(O72:O80)</f>
        <v>0.14285714285714285</v>
      </c>
      <c r="R73" s="88">
        <f>P73/SUM(P72:P80)</f>
        <v>0</v>
      </c>
    </row>
    <row r="74" spans="4:27" ht="15" thickBot="1" x14ac:dyDescent="0.35">
      <c r="D74" s="43" t="s">
        <v>19</v>
      </c>
      <c r="E74" s="97">
        <f>COUNTIF(E$8:E$57,"50 and above")</f>
        <v>0</v>
      </c>
      <c r="F74" s="66">
        <f>E$74/SUM(E67:E74)</f>
        <v>0</v>
      </c>
      <c r="L74" s="270" t="s">
        <v>54</v>
      </c>
      <c r="M74" s="271"/>
      <c r="N74" s="271"/>
      <c r="O74" s="99">
        <f>COUNTIF(AB$8:AB$57,"✓")</f>
        <v>1</v>
      </c>
      <c r="P74" s="99">
        <f>COUNTIF(AK$8:AK$57,"✓")</f>
        <v>2</v>
      </c>
      <c r="Q74" s="87">
        <f>O74/SUM(O72:O80)</f>
        <v>3.5714285714285712E-2</v>
      </c>
      <c r="R74" s="88">
        <f>P74/SUM(P72:P80)</f>
        <v>7.1428571428571425E-2</v>
      </c>
    </row>
    <row r="75" spans="4:27" ht="15" thickBot="1" x14ac:dyDescent="0.35">
      <c r="D75" s="32"/>
      <c r="E75" s="33"/>
      <c r="F75" s="2"/>
      <c r="L75" s="270" t="s">
        <v>49</v>
      </c>
      <c r="M75" s="271"/>
      <c r="N75" s="271"/>
      <c r="O75" s="99">
        <f>COUNTIF(AC$8:AC$57,"✓")</f>
        <v>5</v>
      </c>
      <c r="P75" s="99">
        <f>COUNTIF(AL$8:AL$57,"✓")</f>
        <v>1</v>
      </c>
      <c r="Q75" s="87">
        <f>O75/SUM(O72:O80)</f>
        <v>0.17857142857142858</v>
      </c>
      <c r="R75" s="88">
        <f>P75/SUM(P72:P80)</f>
        <v>3.5714285714285712E-2</v>
      </c>
    </row>
    <row r="76" spans="4:27" ht="15" thickBot="1" x14ac:dyDescent="0.35">
      <c r="D76" s="28" t="s">
        <v>11</v>
      </c>
      <c r="E76" s="64">
        <f>SUM(E$67:E$74)</f>
        <v>28</v>
      </c>
      <c r="F76" s="65">
        <f>SUM(F$67:F$74)</f>
        <v>0.99999999999999989</v>
      </c>
      <c r="L76" s="270" t="s">
        <v>50</v>
      </c>
      <c r="M76" s="271"/>
      <c r="N76" s="271"/>
      <c r="O76" s="99">
        <f>COUNTIF(AD$8:AD$57,"✓")</f>
        <v>0</v>
      </c>
      <c r="P76" s="99">
        <f>COUNTIF(AM$8:AM$57,"✓")</f>
        <v>2</v>
      </c>
      <c r="Q76" s="87">
        <f>O76/SUM(O72:O80)</f>
        <v>0</v>
      </c>
      <c r="R76" s="88">
        <f>P76/SUM(P72:P80)</f>
        <v>7.1428571428571425E-2</v>
      </c>
    </row>
    <row r="77" spans="4:27" ht="15" thickBot="1" x14ac:dyDescent="0.35">
      <c r="L77" s="270" t="s">
        <v>83</v>
      </c>
      <c r="M77" s="271"/>
      <c r="N77" s="271"/>
      <c r="O77" s="99">
        <f>COUNTIF(AE$8:AE$57,"✓")</f>
        <v>1</v>
      </c>
      <c r="P77" s="99">
        <f>COUNTIF(AN$8:AN$57,"✓")</f>
        <v>4</v>
      </c>
      <c r="Q77" s="87">
        <f>O77/SUM(O72:O80)</f>
        <v>3.5714285714285712E-2</v>
      </c>
      <c r="R77" s="88">
        <f>P77/SUM(P72:P80)</f>
        <v>0.14285714285714285</v>
      </c>
    </row>
    <row r="78" spans="4:27" ht="27.6" customHeight="1" thickBot="1" x14ac:dyDescent="0.35">
      <c r="D78" s="48" t="s">
        <v>30</v>
      </c>
      <c r="E78" s="24" t="s">
        <v>9</v>
      </c>
      <c r="F78" s="22" t="s">
        <v>10</v>
      </c>
      <c r="L78" s="296" t="s">
        <v>51</v>
      </c>
      <c r="M78" s="297"/>
      <c r="N78" s="297"/>
      <c r="O78" s="99">
        <f>COUNTIF(AF$8:AF$57,"✓")</f>
        <v>10</v>
      </c>
      <c r="P78" s="99">
        <f>COUNTIF(AO$8:AO$57,"✓")</f>
        <v>5</v>
      </c>
      <c r="Q78" s="87">
        <f>O78/SUM(O72:O80)</f>
        <v>0.35714285714285715</v>
      </c>
      <c r="R78" s="88">
        <f>P78/SUM(P72:P80)</f>
        <v>0.17857142857142858</v>
      </c>
      <c r="V78" s="78"/>
      <c r="W78" s="78"/>
      <c r="X78" s="78"/>
      <c r="Y78" s="78"/>
      <c r="Z78" s="78"/>
      <c r="AA78" s="78"/>
    </row>
    <row r="79" spans="4:27" ht="15" thickBot="1" x14ac:dyDescent="0.35">
      <c r="D79" s="49" t="s">
        <v>119</v>
      </c>
      <c r="E79" s="103">
        <f>COUNTIF(F$8:F$57,"Alitagtag")</f>
        <v>3</v>
      </c>
      <c r="F79" s="62">
        <f>E$79/SUM(E79:E89)</f>
        <v>0.10714285714285714</v>
      </c>
      <c r="L79" s="296" t="s">
        <v>52</v>
      </c>
      <c r="M79" s="297"/>
      <c r="N79" s="297"/>
      <c r="O79" s="99">
        <f>COUNTIF(AG$8:AG$57,"✓")</f>
        <v>1</v>
      </c>
      <c r="P79" s="99">
        <f>COUNTIF(AP$8:AP$57,"✓")</f>
        <v>0</v>
      </c>
      <c r="Q79" s="87">
        <f>O79/SUM(O72:O80)</f>
        <v>3.5714285714285712E-2</v>
      </c>
      <c r="R79" s="88">
        <f>P79/SUM(P72:P80)</f>
        <v>0</v>
      </c>
      <c r="V79" s="38"/>
      <c r="W79" s="38"/>
      <c r="X79" s="78"/>
      <c r="Y79" s="38"/>
      <c r="Z79" s="38"/>
      <c r="AA79" s="38"/>
    </row>
    <row r="80" spans="4:27" ht="15" thickBot="1" x14ac:dyDescent="0.35">
      <c r="D80" s="50" t="s">
        <v>107</v>
      </c>
      <c r="E80" s="97">
        <f>COUNTIF(F$8:F$57,"Batangas City")</f>
        <v>3</v>
      </c>
      <c r="F80" s="62">
        <f>E$80/SUM(E79:E89)</f>
        <v>0.10714285714285714</v>
      </c>
      <c r="L80" s="298" t="s">
        <v>53</v>
      </c>
      <c r="M80" s="299"/>
      <c r="N80" s="299"/>
      <c r="O80" s="97">
        <f>COUNTIF(AH$8:AH$57,"✓")</f>
        <v>0</v>
      </c>
      <c r="P80" s="97">
        <f>COUNTIF(AQ$8:AQ$57,"✓")</f>
        <v>0</v>
      </c>
      <c r="Q80" s="89">
        <f>O80/SUM(O72:O80)</f>
        <v>0</v>
      </c>
      <c r="R80" s="63">
        <f>P80/SUM(P72:P80)</f>
        <v>0</v>
      </c>
    </row>
    <row r="81" spans="4:23" ht="15" thickBot="1" x14ac:dyDescent="0.35">
      <c r="D81" s="49" t="s">
        <v>108</v>
      </c>
      <c r="E81" s="103">
        <f>COUNTIF(F$8:F$57,"Cuenca")</f>
        <v>1</v>
      </c>
      <c r="F81" s="62">
        <f>E$81/SUM(E79:E89)</f>
        <v>3.5714285714285712E-2</v>
      </c>
      <c r="L81" s="287" t="s">
        <v>11</v>
      </c>
      <c r="M81" s="288"/>
      <c r="N81" s="289"/>
      <c r="O81" s="95">
        <f>SUM(O72:O80)</f>
        <v>28</v>
      </c>
      <c r="P81" s="91">
        <f>SUM(P72:P80)</f>
        <v>28</v>
      </c>
      <c r="Q81" s="92">
        <f>SUM(Q72:Q80)</f>
        <v>0.99999999999999989</v>
      </c>
      <c r="R81" s="93">
        <f>SUM(R72:R80)</f>
        <v>1</v>
      </c>
    </row>
    <row r="82" spans="4:23" ht="15" thickBot="1" x14ac:dyDescent="0.35">
      <c r="D82" s="49" t="s">
        <v>114</v>
      </c>
      <c r="E82" s="103">
        <f>COUNTIF(F$8:F$57,"Ibaan")</f>
        <v>2</v>
      </c>
      <c r="F82" s="62">
        <f>E$82/SUM(E79:E86)</f>
        <v>0.08</v>
      </c>
      <c r="L82" s="292" t="s">
        <v>57</v>
      </c>
      <c r="M82" s="293"/>
      <c r="N82" s="293"/>
      <c r="O82" s="293"/>
      <c r="P82" s="293"/>
      <c r="Q82" s="293"/>
      <c r="R82" s="294"/>
    </row>
    <row r="83" spans="4:23" ht="15" thickBot="1" x14ac:dyDescent="0.35">
      <c r="D83" s="49" t="s">
        <v>103</v>
      </c>
      <c r="E83" s="103">
        <f>COUNTIF(F$8:F$57,"Lipa City")</f>
        <v>13</v>
      </c>
      <c r="F83" s="62">
        <f>E$83/SUM(E79:E89)</f>
        <v>0.4642857142857143</v>
      </c>
      <c r="L83" s="295" t="s">
        <v>48</v>
      </c>
      <c r="M83" s="291"/>
      <c r="N83" s="291"/>
      <c r="O83" s="103">
        <f>COUNTIF(AR$8:AR$57,"✓")</f>
        <v>7</v>
      </c>
      <c r="P83" s="103">
        <f>COUNTIF(AV$8:AV$57,"✓")</f>
        <v>16</v>
      </c>
      <c r="Q83" s="94">
        <f>O83/SUM(O83:O86)</f>
        <v>0.25</v>
      </c>
      <c r="R83" s="66">
        <f>P83/SUM(P83:P86)</f>
        <v>0.5714285714285714</v>
      </c>
    </row>
    <row r="84" spans="4:23" ht="15" thickBot="1" x14ac:dyDescent="0.35">
      <c r="D84" s="52" t="s">
        <v>117</v>
      </c>
      <c r="E84" s="99">
        <f>COUNTIF(F$8:F$57,"Rosario")</f>
        <v>1</v>
      </c>
      <c r="F84" s="62">
        <f>E$84/SUM(E79:E89)</f>
        <v>3.5714285714285712E-2</v>
      </c>
      <c r="L84" s="270" t="s">
        <v>58</v>
      </c>
      <c r="M84" s="271"/>
      <c r="N84" s="271"/>
      <c r="O84" s="99">
        <f>COUNTIF(AS$8:AS$57,"✓")</f>
        <v>11</v>
      </c>
      <c r="P84" s="99">
        <f>COUNTIF(AW$8:AW$57,"✓")</f>
        <v>6</v>
      </c>
      <c r="Q84" s="87">
        <f>O84/SUM(O83:O86)</f>
        <v>0.39285714285714285</v>
      </c>
      <c r="R84" s="88">
        <f>P84/SUM(P83:P86)</f>
        <v>0.21428571428571427</v>
      </c>
    </row>
    <row r="85" spans="4:23" ht="15" thickBot="1" x14ac:dyDescent="0.35">
      <c r="D85" s="51" t="s">
        <v>126</v>
      </c>
      <c r="E85" s="105">
        <f>COUNTIF(F$8:F$57,"San Jose")</f>
        <v>1</v>
      </c>
      <c r="F85" s="66">
        <f>E$85/SUM(E78:E89)</f>
        <v>3.5714285714285712E-2</v>
      </c>
      <c r="L85" s="270" t="s">
        <v>59</v>
      </c>
      <c r="M85" s="271"/>
      <c r="N85" s="271"/>
      <c r="O85" s="99">
        <f>COUNTIF(AT$8:AT$57,"✓")</f>
        <v>10</v>
      </c>
      <c r="P85" s="99">
        <f>COUNTIF(AX$8:AX$57,"✓")</f>
        <v>5</v>
      </c>
      <c r="Q85" s="87">
        <f>O85/SUM(O83:O86)</f>
        <v>0.35714285714285715</v>
      </c>
      <c r="R85" s="88">
        <f>P85/SUM(P83:P86)</f>
        <v>0.17857142857142858</v>
      </c>
      <c r="W85" s="115"/>
    </row>
    <row r="86" spans="4:23" ht="15" thickBot="1" x14ac:dyDescent="0.35">
      <c r="D86" s="51" t="s">
        <v>106</v>
      </c>
      <c r="E86" s="105">
        <f>COUNTIF(F$8:F$57,"San Juan")</f>
        <v>1</v>
      </c>
      <c r="F86" s="66">
        <f>E$86/SUM(E79:E89)</f>
        <v>3.5714285714285712E-2</v>
      </c>
      <c r="L86" s="277" t="s">
        <v>84</v>
      </c>
      <c r="M86" s="278"/>
      <c r="N86" s="278"/>
      <c r="O86" s="97">
        <f>COUNTIF(AU$8:AU$57,"✓")</f>
        <v>0</v>
      </c>
      <c r="P86" s="97">
        <f>COUNTIF(AY$8:AY$57,"✓")</f>
        <v>1</v>
      </c>
      <c r="Q86" s="89">
        <f>O86/SUM(O83:O86)</f>
        <v>0</v>
      </c>
      <c r="R86" s="63">
        <f>P86/SUM(P83:P86)</f>
        <v>3.5714285714285712E-2</v>
      </c>
    </row>
    <row r="87" spans="4:23" ht="15" thickBot="1" x14ac:dyDescent="0.35">
      <c r="D87" s="51" t="s">
        <v>124</v>
      </c>
      <c r="E87" s="99">
        <f>COUNTIF(F$8:F$57,"Santa Teresita")</f>
        <v>1</v>
      </c>
      <c r="F87" s="88">
        <f>E$87/SUM(E79:E89)</f>
        <v>3.5714285714285712E-2</v>
      </c>
      <c r="H87" t="s">
        <v>33</v>
      </c>
      <c r="L87" s="287" t="s">
        <v>11</v>
      </c>
      <c r="M87" s="288"/>
      <c r="N87" s="289"/>
      <c r="O87" s="95">
        <f>SUM(O83:O86)</f>
        <v>28</v>
      </c>
      <c r="P87" s="91">
        <f>SUM(P83:P86)</f>
        <v>28</v>
      </c>
      <c r="Q87" s="92">
        <f>SUM(Q83:Q86)</f>
        <v>1</v>
      </c>
      <c r="R87" s="93">
        <f>SUM(R83:R86)</f>
        <v>1</v>
      </c>
    </row>
    <row r="88" spans="4:23" ht="15" thickBot="1" x14ac:dyDescent="0.35">
      <c r="D88" s="51" t="s">
        <v>125</v>
      </c>
      <c r="E88" s="99">
        <f>COUNTIF(F$8:F$57,"Tanauan")</f>
        <v>1</v>
      </c>
      <c r="F88" s="88">
        <f>E$88/SUM(E79:E89)</f>
        <v>3.5714285714285712E-2</v>
      </c>
      <c r="H88" t="s">
        <v>34</v>
      </c>
      <c r="L88" s="292" t="s">
        <v>85</v>
      </c>
      <c r="M88" s="293"/>
      <c r="N88" s="293"/>
      <c r="O88" s="293"/>
      <c r="P88" s="293"/>
      <c r="Q88" s="293"/>
      <c r="R88" s="294"/>
    </row>
    <row r="89" spans="4:23" ht="14.4" customHeight="1" thickBot="1" x14ac:dyDescent="0.35">
      <c r="D89" s="108" t="s">
        <v>123</v>
      </c>
      <c r="E89" s="97">
        <f>COUNTIF(F$8:F$57,"Taysan")</f>
        <v>1</v>
      </c>
      <c r="F89" s="63">
        <f>E$89/SUM(E79:E89)</f>
        <v>3.5714285714285712E-2</v>
      </c>
      <c r="H89" t="s">
        <v>35</v>
      </c>
      <c r="L89" s="290" t="s">
        <v>86</v>
      </c>
      <c r="M89" s="291"/>
      <c r="N89" s="291"/>
      <c r="O89" s="103">
        <f>COUNTIF(AZ$8:AZ$57,"✓")</f>
        <v>6</v>
      </c>
      <c r="P89" s="103">
        <f>COUNTIF(BF$8:BF$57,"✓")</f>
        <v>15</v>
      </c>
      <c r="Q89" s="94">
        <f>O89/SUM(O89:O94)</f>
        <v>0.21428571428571427</v>
      </c>
      <c r="R89" s="66">
        <f>P89/SUM(P89:P94)</f>
        <v>0.5357142857142857</v>
      </c>
    </row>
    <row r="90" spans="4:23" ht="15" thickBot="1" x14ac:dyDescent="0.35">
      <c r="D90" s="32"/>
      <c r="E90" s="109"/>
      <c r="F90" s="2"/>
      <c r="H90" t="s">
        <v>112</v>
      </c>
      <c r="L90" s="270" t="s">
        <v>87</v>
      </c>
      <c r="M90" s="271"/>
      <c r="N90" s="271"/>
      <c r="O90" s="99">
        <f>COUNTIF(BA$8:BA$57,"✓")</f>
        <v>9</v>
      </c>
      <c r="P90" s="99">
        <f>COUNTIF(BG$8:BG$57,"✓")</f>
        <v>2</v>
      </c>
      <c r="Q90" s="87">
        <f>O90/SUM(O89:O94)</f>
        <v>0.32142857142857145</v>
      </c>
      <c r="R90" s="88">
        <f>P90/SUM(P89:P94)</f>
        <v>7.1428571428571425E-2</v>
      </c>
    </row>
    <row r="91" spans="4:23" ht="14.4" customHeight="1" thickBot="1" x14ac:dyDescent="0.35">
      <c r="D91" s="28" t="s">
        <v>11</v>
      </c>
      <c r="E91" s="64">
        <f>SUM(E79:E89)</f>
        <v>28</v>
      </c>
      <c r="F91" s="65">
        <f>SUM(F79:F89)</f>
        <v>1.0085714285714285</v>
      </c>
      <c r="H91" t="s">
        <v>118</v>
      </c>
      <c r="L91" s="270" t="s">
        <v>88</v>
      </c>
      <c r="M91" s="271"/>
      <c r="N91" s="271"/>
      <c r="O91" s="99">
        <f>COUNTIF(BB$8:BB$57,"✓")</f>
        <v>4</v>
      </c>
      <c r="P91" s="99">
        <f>COUNTIF(BH$8:BH$57,"✓")</f>
        <v>4</v>
      </c>
      <c r="Q91" s="87">
        <f>O91/SUM(O89:O94)</f>
        <v>0.14285714285714285</v>
      </c>
      <c r="R91" s="88">
        <f>P91/SUM(P89:P94)</f>
        <v>0.14285714285714285</v>
      </c>
    </row>
    <row r="92" spans="4:23" ht="15" thickBot="1" x14ac:dyDescent="0.35">
      <c r="H92" t="s">
        <v>36</v>
      </c>
      <c r="L92" s="270" t="s">
        <v>89</v>
      </c>
      <c r="M92" s="271"/>
      <c r="N92" s="271"/>
      <c r="O92" s="99">
        <f>COUNTIF(BC$8:BC$57,"✓")</f>
        <v>5</v>
      </c>
      <c r="P92" s="99">
        <f>COUNTIF(BI$8:BI$57,"✓")</f>
        <v>3</v>
      </c>
      <c r="Q92" s="87">
        <f>O92/SUM(O89:O94)</f>
        <v>0.17857142857142858</v>
      </c>
      <c r="R92" s="88">
        <f>P92/SUM(P89:P94)</f>
        <v>0.10714285714285714</v>
      </c>
    </row>
    <row r="93" spans="4:23" ht="14.4" customHeight="1" x14ac:dyDescent="0.3">
      <c r="D93" s="361" t="s">
        <v>104</v>
      </c>
      <c r="E93" s="363" t="s">
        <v>9</v>
      </c>
      <c r="F93" s="365" t="s">
        <v>10</v>
      </c>
      <c r="L93" s="270" t="s">
        <v>90</v>
      </c>
      <c r="M93" s="271"/>
      <c r="N93" s="271"/>
      <c r="O93" s="99">
        <f>COUNTIF(BD$8:BD$57,"✓")</f>
        <v>4</v>
      </c>
      <c r="P93" s="99">
        <f>COUNTIF(BJ$8:BJ$57,"✓")</f>
        <v>4</v>
      </c>
      <c r="Q93" s="87">
        <f>O93/SUM(O89:O94)</f>
        <v>0.14285714285714285</v>
      </c>
      <c r="R93" s="88">
        <f>P93/SUM(P89:P94)</f>
        <v>0.14285714285714285</v>
      </c>
    </row>
    <row r="94" spans="4:23" ht="15" customHeight="1" thickBot="1" x14ac:dyDescent="0.35">
      <c r="D94" s="362"/>
      <c r="E94" s="364"/>
      <c r="F94" s="366"/>
      <c r="L94" s="277" t="s">
        <v>91</v>
      </c>
      <c r="M94" s="278"/>
      <c r="N94" s="278"/>
      <c r="O94" s="97">
        <f>COUNTIF(BE$8:BE$57,"✓")</f>
        <v>0</v>
      </c>
      <c r="P94" s="97">
        <f>COUNTIF(BK$8:BK$57,"✓")</f>
        <v>0</v>
      </c>
      <c r="Q94" s="89">
        <f>O94/SUM(O89:O94)</f>
        <v>0</v>
      </c>
      <c r="R94" s="63">
        <f>P94/SUM(P89:P94)</f>
        <v>0</v>
      </c>
    </row>
    <row r="95" spans="4:23" ht="15" thickBot="1" x14ac:dyDescent="0.35">
      <c r="D95" s="49" t="s">
        <v>34</v>
      </c>
      <c r="E95" s="103">
        <f>COUNTIF(G$8:H$57,"Full-time")</f>
        <v>10</v>
      </c>
      <c r="F95" s="62">
        <f>E95/SUM(E95:E103)</f>
        <v>0.35714285714285715</v>
      </c>
      <c r="L95" s="287" t="s">
        <v>11</v>
      </c>
      <c r="M95" s="288"/>
      <c r="N95" s="289"/>
      <c r="O95" s="95">
        <f>SUM(O89:O94)</f>
        <v>28</v>
      </c>
      <c r="P95" s="91">
        <f>SUM(P89:P94)</f>
        <v>28</v>
      </c>
      <c r="Q95" s="92">
        <f>SUM(Q89:Q94)</f>
        <v>1</v>
      </c>
      <c r="R95" s="93">
        <f>SUM(R89:R94)</f>
        <v>1</v>
      </c>
    </row>
    <row r="96" spans="4:23" ht="15" thickBot="1" x14ac:dyDescent="0.35">
      <c r="D96" s="52" t="s">
        <v>35</v>
      </c>
      <c r="E96" s="99">
        <f>COUNTIF(G$8:H$57,"Part-time")</f>
        <v>1</v>
      </c>
      <c r="F96" s="79">
        <f>E96/SUM(E95:E103)</f>
        <v>3.5714285714285712E-2</v>
      </c>
      <c r="L96" s="292" t="s">
        <v>92</v>
      </c>
      <c r="M96" s="293"/>
      <c r="N96" s="293"/>
      <c r="O96" s="293"/>
      <c r="P96" s="293"/>
      <c r="Q96" s="293"/>
      <c r="R96" s="294"/>
    </row>
    <row r="97" spans="4:18" x14ac:dyDescent="0.3">
      <c r="D97" s="367" t="s">
        <v>112</v>
      </c>
      <c r="E97" s="370">
        <f>COUNTIF(G$8:H$57,"Unemployed, not looking for work")</f>
        <v>1</v>
      </c>
      <c r="F97" s="373">
        <f>E97/SUM(E95:E103)</f>
        <v>3.5714285714285712E-2</v>
      </c>
      <c r="L97" s="295" t="s">
        <v>93</v>
      </c>
      <c r="M97" s="291"/>
      <c r="N97" s="291"/>
      <c r="O97" s="103">
        <f>COUNTIF(BL$8:BL$57,"✓")</f>
        <v>1</v>
      </c>
      <c r="P97" s="103">
        <f>COUNTIF(BQ$8:BQ$57,"✓")</f>
        <v>5</v>
      </c>
      <c r="Q97" s="94">
        <f>O97/SUM(O97:O101)</f>
        <v>3.5714285714285712E-2</v>
      </c>
      <c r="R97" s="66">
        <f>P97/SUM(P97:P101)</f>
        <v>0.17857142857142858</v>
      </c>
    </row>
    <row r="98" spans="4:18" x14ac:dyDescent="0.3">
      <c r="D98" s="368"/>
      <c r="E98" s="371"/>
      <c r="F98" s="374"/>
      <c r="L98" s="270" t="s">
        <v>94</v>
      </c>
      <c r="M98" s="271"/>
      <c r="N98" s="271"/>
      <c r="O98" s="99">
        <f>COUNTIF(BM$8:BM$57,"✓")</f>
        <v>0</v>
      </c>
      <c r="P98" s="99">
        <f>COUNTIF(BR$8:BR$57,"✓")</f>
        <v>4</v>
      </c>
      <c r="Q98" s="87">
        <f>O98/SUM(O97:O101)</f>
        <v>0</v>
      </c>
      <c r="R98" s="88">
        <f>P98/SUM(P97:P101)</f>
        <v>0.14285714285714285</v>
      </c>
    </row>
    <row r="99" spans="4:18" x14ac:dyDescent="0.3">
      <c r="D99" s="369"/>
      <c r="E99" s="372"/>
      <c r="F99" s="375"/>
      <c r="L99" s="270" t="s">
        <v>95</v>
      </c>
      <c r="M99" s="271"/>
      <c r="N99" s="271"/>
      <c r="O99" s="99">
        <f>COUNTIF(BN$8:BN$57,"✓")</f>
        <v>8</v>
      </c>
      <c r="P99" s="99">
        <f>COUNTIF(BS$8:BS$57,"✓")</f>
        <v>8</v>
      </c>
      <c r="Q99" s="87">
        <f>O99/SUM(O97:O101)</f>
        <v>0.2857142857142857</v>
      </c>
      <c r="R99" s="88">
        <f>P99/SUM(P97:P101)</f>
        <v>0.2857142857142857</v>
      </c>
    </row>
    <row r="100" spans="4:18" x14ac:dyDescent="0.3">
      <c r="D100" s="367" t="s">
        <v>118</v>
      </c>
      <c r="E100" s="370">
        <f>COUNTIF(G$8:H$57,"Unemployed, looking for work")</f>
        <v>1</v>
      </c>
      <c r="F100" s="373">
        <f>E100/SUM(E95:E103)</f>
        <v>3.5714285714285712E-2</v>
      </c>
      <c r="L100" s="270" t="s">
        <v>96</v>
      </c>
      <c r="M100" s="271"/>
      <c r="N100" s="271"/>
      <c r="O100" s="99">
        <f>COUNTIF(BO$8:BO$57,"✓")</f>
        <v>14</v>
      </c>
      <c r="P100" s="99">
        <f>COUNTIF(BT$8:BT$57,"✓")</f>
        <v>6</v>
      </c>
      <c r="Q100" s="87">
        <f>O100/SUM(O97:O101)</f>
        <v>0.5</v>
      </c>
      <c r="R100" s="88">
        <f>P100/SUM(P97:P101)</f>
        <v>0.21428571428571427</v>
      </c>
    </row>
    <row r="101" spans="4:18" ht="15" thickBot="1" x14ac:dyDescent="0.35">
      <c r="D101" s="368"/>
      <c r="E101" s="371"/>
      <c r="F101" s="374"/>
      <c r="L101" s="277" t="s">
        <v>97</v>
      </c>
      <c r="M101" s="278"/>
      <c r="N101" s="278"/>
      <c r="O101" s="97">
        <f>COUNTIF(BP$8:BP$57,"✓")</f>
        <v>5</v>
      </c>
      <c r="P101" s="97">
        <f>COUNTIF(BU$8:BU$57,"✓")</f>
        <v>5</v>
      </c>
      <c r="Q101" s="89">
        <f>O101/SUM(O97:O101)</f>
        <v>0.17857142857142858</v>
      </c>
      <c r="R101" s="63">
        <f>P101/SUM(P97:P101)</f>
        <v>0.17857142857142858</v>
      </c>
    </row>
    <row r="102" spans="4:18" ht="15" thickBot="1" x14ac:dyDescent="0.35">
      <c r="D102" s="369"/>
      <c r="E102" s="372"/>
      <c r="F102" s="375"/>
      <c r="L102" s="287" t="s">
        <v>11</v>
      </c>
      <c r="M102" s="288"/>
      <c r="N102" s="289"/>
      <c r="O102" s="95">
        <f>SUM(O97:O101)</f>
        <v>28</v>
      </c>
      <c r="P102" s="91">
        <f>SUM(P97:P101)</f>
        <v>28</v>
      </c>
      <c r="Q102" s="92">
        <f>SUM(Q97:Q101)</f>
        <v>1</v>
      </c>
      <c r="R102" s="93">
        <f>SUM(R97:R101)</f>
        <v>1</v>
      </c>
    </row>
    <row r="103" spans="4:18" ht="15" thickBot="1" x14ac:dyDescent="0.35">
      <c r="D103" s="51" t="s">
        <v>36</v>
      </c>
      <c r="E103" s="29">
        <f>COUNTIF(G$8:H$57,"Student")</f>
        <v>15</v>
      </c>
      <c r="F103" s="80">
        <f>E103/SUM(E95:E103)</f>
        <v>0.5357142857142857</v>
      </c>
    </row>
    <row r="104" spans="4:18" ht="15" thickBot="1" x14ac:dyDescent="0.35">
      <c r="D104" s="32"/>
      <c r="E104" s="33"/>
      <c r="F104" s="2"/>
    </row>
    <row r="105" spans="4:18" ht="15" thickBot="1" x14ac:dyDescent="0.35">
      <c r="D105" s="28" t="s">
        <v>11</v>
      </c>
      <c r="E105" s="64">
        <f>SUM(E95:E103)</f>
        <v>28</v>
      </c>
      <c r="F105" s="65">
        <f>SUM(F95:F103)</f>
        <v>1</v>
      </c>
    </row>
    <row r="106" spans="4:18" ht="15" thickBot="1" x14ac:dyDescent="0.35"/>
    <row r="107" spans="4:18" x14ac:dyDescent="0.3">
      <c r="D107" s="361" t="s">
        <v>105</v>
      </c>
      <c r="E107" s="363" t="s">
        <v>9</v>
      </c>
      <c r="F107" s="365" t="s">
        <v>10</v>
      </c>
    </row>
    <row r="108" spans="4:18" ht="15" thickBot="1" x14ac:dyDescent="0.35">
      <c r="D108" s="362"/>
      <c r="E108" s="364"/>
      <c r="F108" s="366"/>
    </row>
    <row r="109" spans="4:18" x14ac:dyDescent="0.3">
      <c r="D109" s="52" t="s">
        <v>34</v>
      </c>
      <c r="E109" s="105">
        <f>COUNTIF(I$8:J$57,"Full-time")</f>
        <v>10</v>
      </c>
      <c r="F109" s="106">
        <f>E109/SUM(E109:E117)</f>
        <v>0.35714285714285715</v>
      </c>
    </row>
    <row r="110" spans="4:18" x14ac:dyDescent="0.3">
      <c r="D110" s="52" t="s">
        <v>35</v>
      </c>
      <c r="E110" s="99">
        <f>COUNTIF(I$8:J$57,"Part-time")</f>
        <v>2</v>
      </c>
      <c r="F110" s="79">
        <f>E110/SUM(E109:E117)</f>
        <v>7.1428571428571425E-2</v>
      </c>
    </row>
    <row r="111" spans="4:18" x14ac:dyDescent="0.3">
      <c r="D111" s="367" t="s">
        <v>112</v>
      </c>
      <c r="E111" s="370">
        <f>COUNTIF(I$8:J$57,"Unemployed, not looking for work")</f>
        <v>1</v>
      </c>
      <c r="F111" s="373">
        <f>E111/SUM(E109:E117)</f>
        <v>3.5714285714285712E-2</v>
      </c>
    </row>
    <row r="112" spans="4:18" x14ac:dyDescent="0.3">
      <c r="D112" s="368"/>
      <c r="E112" s="371"/>
      <c r="F112" s="374"/>
    </row>
    <row r="113" spans="4:6" x14ac:dyDescent="0.3">
      <c r="D113" s="369"/>
      <c r="E113" s="372"/>
      <c r="F113" s="375"/>
    </row>
    <row r="114" spans="4:6" x14ac:dyDescent="0.3">
      <c r="D114" s="376" t="s">
        <v>118</v>
      </c>
      <c r="E114" s="370">
        <f>COUNTIF(I$8:J$57,"Unemployed, looking for work")</f>
        <v>1</v>
      </c>
      <c r="F114" s="373">
        <f>E114/SUM(E109:E117)</f>
        <v>3.5714285714285712E-2</v>
      </c>
    </row>
    <row r="115" spans="4:6" x14ac:dyDescent="0.3">
      <c r="D115" s="377"/>
      <c r="E115" s="371"/>
      <c r="F115" s="374"/>
    </row>
    <row r="116" spans="4:6" x14ac:dyDescent="0.3">
      <c r="D116" s="378"/>
      <c r="E116" s="372"/>
      <c r="F116" s="375"/>
    </row>
    <row r="117" spans="4:6" ht="15" thickBot="1" x14ac:dyDescent="0.35">
      <c r="D117" s="51" t="s">
        <v>36</v>
      </c>
      <c r="E117" s="29">
        <f>COUNTIF(I$8:J$57,"Student")</f>
        <v>14</v>
      </c>
      <c r="F117" s="80">
        <f>E117/SUM(E109:E117)</f>
        <v>0.5</v>
      </c>
    </row>
    <row r="118" spans="4:6" ht="15" thickBot="1" x14ac:dyDescent="0.35">
      <c r="D118" s="32"/>
      <c r="E118" s="33"/>
      <c r="F118" s="2"/>
    </row>
    <row r="119" spans="4:6" ht="15" thickBot="1" x14ac:dyDescent="0.35">
      <c r="D119" s="28" t="s">
        <v>11</v>
      </c>
      <c r="E119" s="64">
        <f>SUM(E109:E117)</f>
        <v>28</v>
      </c>
      <c r="F119" s="65">
        <f>SUM(F109:F117)</f>
        <v>1</v>
      </c>
    </row>
  </sheetData>
  <mergeCells count="244">
    <mergeCell ref="D93:D94"/>
    <mergeCell ref="E93:E94"/>
    <mergeCell ref="F93:F94"/>
    <mergeCell ref="D97:D99"/>
    <mergeCell ref="D111:D113"/>
    <mergeCell ref="E111:E113"/>
    <mergeCell ref="F111:F113"/>
    <mergeCell ref="D114:D116"/>
    <mergeCell ref="E114:E116"/>
    <mergeCell ref="F114:F116"/>
    <mergeCell ref="D107:D108"/>
    <mergeCell ref="E107:E108"/>
    <mergeCell ref="F107:F108"/>
    <mergeCell ref="D100:D102"/>
    <mergeCell ref="E100:E102"/>
    <mergeCell ref="F100:F102"/>
    <mergeCell ref="E97:E99"/>
    <mergeCell ref="F97:F99"/>
    <mergeCell ref="G41:H41"/>
    <mergeCell ref="G40:H40"/>
    <mergeCell ref="G37:H37"/>
    <mergeCell ref="G36:H36"/>
    <mergeCell ref="G35:H35"/>
    <mergeCell ref="G34:H34"/>
    <mergeCell ref="G27:H27"/>
    <mergeCell ref="I16:J16"/>
    <mergeCell ref="I17:J17"/>
    <mergeCell ref="I18:J18"/>
    <mergeCell ref="I19:J19"/>
    <mergeCell ref="I20:J20"/>
    <mergeCell ref="I21:J21"/>
    <mergeCell ref="G26:H26"/>
    <mergeCell ref="I30:J30"/>
    <mergeCell ref="I31:J31"/>
    <mergeCell ref="G25:H25"/>
    <mergeCell ref="G24:H24"/>
    <mergeCell ref="G23:H23"/>
    <mergeCell ref="I23:J23"/>
    <mergeCell ref="G22:H22"/>
    <mergeCell ref="I8:J8"/>
    <mergeCell ref="I9:J9"/>
    <mergeCell ref="I10:J10"/>
    <mergeCell ref="I11:J11"/>
    <mergeCell ref="I12:J12"/>
    <mergeCell ref="I13:J13"/>
    <mergeCell ref="I48:J48"/>
    <mergeCell ref="I49:J49"/>
    <mergeCell ref="I50:J50"/>
    <mergeCell ref="I38:J38"/>
    <mergeCell ref="I39:J39"/>
    <mergeCell ref="I40:J40"/>
    <mergeCell ref="I41:J41"/>
    <mergeCell ref="I42:J42"/>
    <mergeCell ref="I43:J43"/>
    <mergeCell ref="I32:J32"/>
    <mergeCell ref="I33:J33"/>
    <mergeCell ref="I34:J34"/>
    <mergeCell ref="I35:J35"/>
    <mergeCell ref="I36:J36"/>
    <mergeCell ref="I37:J37"/>
    <mergeCell ref="I24:J24"/>
    <mergeCell ref="I25:J25"/>
    <mergeCell ref="I26:J26"/>
    <mergeCell ref="G9:H9"/>
    <mergeCell ref="G8:H8"/>
    <mergeCell ref="G51:H51"/>
    <mergeCell ref="G50:H50"/>
    <mergeCell ref="G49:H49"/>
    <mergeCell ref="G48:H48"/>
    <mergeCell ref="G47:H47"/>
    <mergeCell ref="G46:H46"/>
    <mergeCell ref="G45:H45"/>
    <mergeCell ref="G44:H44"/>
    <mergeCell ref="G21:H21"/>
    <mergeCell ref="G20:H20"/>
    <mergeCell ref="G19:H19"/>
    <mergeCell ref="G18:H18"/>
    <mergeCell ref="G17:H17"/>
    <mergeCell ref="G16:H16"/>
    <mergeCell ref="G33:H33"/>
    <mergeCell ref="G32:H32"/>
    <mergeCell ref="G31:H31"/>
    <mergeCell ref="G30:H30"/>
    <mergeCell ref="G29:H29"/>
    <mergeCell ref="G28:H28"/>
    <mergeCell ref="G43:H43"/>
    <mergeCell ref="G42:H42"/>
    <mergeCell ref="L99:N99"/>
    <mergeCell ref="L100:N100"/>
    <mergeCell ref="L101:N101"/>
    <mergeCell ref="L102:N102"/>
    <mergeCell ref="I7:J7"/>
    <mergeCell ref="G7:H7"/>
    <mergeCell ref="G39:H39"/>
    <mergeCell ref="G38:H38"/>
    <mergeCell ref="L93:N93"/>
    <mergeCell ref="L94:N94"/>
    <mergeCell ref="L95:N95"/>
    <mergeCell ref="L96:R96"/>
    <mergeCell ref="L97:N97"/>
    <mergeCell ref="L98:N98"/>
    <mergeCell ref="L87:N87"/>
    <mergeCell ref="L88:R88"/>
    <mergeCell ref="L89:N89"/>
    <mergeCell ref="L90:N90"/>
    <mergeCell ref="L91:N91"/>
    <mergeCell ref="L92:N92"/>
    <mergeCell ref="L81:N81"/>
    <mergeCell ref="L82:R82"/>
    <mergeCell ref="L83:N83"/>
    <mergeCell ref="L84:N84"/>
    <mergeCell ref="L85:N85"/>
    <mergeCell ref="L86:N86"/>
    <mergeCell ref="L75:N75"/>
    <mergeCell ref="L76:N76"/>
    <mergeCell ref="L77:N77"/>
    <mergeCell ref="L78:N78"/>
    <mergeCell ref="L79:N79"/>
    <mergeCell ref="L80:N80"/>
    <mergeCell ref="L69:N69"/>
    <mergeCell ref="L70:N70"/>
    <mergeCell ref="L71:R71"/>
    <mergeCell ref="L72:N72"/>
    <mergeCell ref="L73:N73"/>
    <mergeCell ref="L74:N74"/>
    <mergeCell ref="L63:N63"/>
    <mergeCell ref="L64:N64"/>
    <mergeCell ref="L65:N65"/>
    <mergeCell ref="L66:N66"/>
    <mergeCell ref="L67:N67"/>
    <mergeCell ref="L68:N68"/>
    <mergeCell ref="B60:B62"/>
    <mergeCell ref="L60:N61"/>
    <mergeCell ref="O60:P60"/>
    <mergeCell ref="Q60:R60"/>
    <mergeCell ref="L62:R62"/>
    <mergeCell ref="G57:H57"/>
    <mergeCell ref="G56:H56"/>
    <mergeCell ref="G55:H55"/>
    <mergeCell ref="G54:H54"/>
    <mergeCell ref="G53:H53"/>
    <mergeCell ref="G52:H52"/>
    <mergeCell ref="I44:J44"/>
    <mergeCell ref="I45:J45"/>
    <mergeCell ref="I46:J46"/>
    <mergeCell ref="I47:J47"/>
    <mergeCell ref="I57:J57"/>
    <mergeCell ref="I51:J51"/>
    <mergeCell ref="I52:J52"/>
    <mergeCell ref="I53:J53"/>
    <mergeCell ref="I54:J54"/>
    <mergeCell ref="I55:J55"/>
    <mergeCell ref="I56:J56"/>
    <mergeCell ref="G15:H15"/>
    <mergeCell ref="I27:J27"/>
    <mergeCell ref="I28:J28"/>
    <mergeCell ref="I29:J29"/>
    <mergeCell ref="G14:H14"/>
    <mergeCell ref="I14:J14"/>
    <mergeCell ref="I15:J15"/>
    <mergeCell ref="G13:H13"/>
    <mergeCell ref="G12:H12"/>
    <mergeCell ref="G11:H11"/>
    <mergeCell ref="G10:H10"/>
    <mergeCell ref="I22:J22"/>
    <mergeCell ref="BQ6:BQ7"/>
    <mergeCell ref="BE6:BE7"/>
    <mergeCell ref="BF6:BF7"/>
    <mergeCell ref="BG6:BG7"/>
    <mergeCell ref="BH6:BH7"/>
    <mergeCell ref="BI6:BI7"/>
    <mergeCell ref="BJ6:BJ7"/>
    <mergeCell ref="AY6:AY7"/>
    <mergeCell ref="AZ6:AZ7"/>
    <mergeCell ref="BA6:BA7"/>
    <mergeCell ref="BB6:BB7"/>
    <mergeCell ref="BC6:BC7"/>
    <mergeCell ref="BD6:BD7"/>
    <mergeCell ref="AS6:AS7"/>
    <mergeCell ref="AT6:AT7"/>
    <mergeCell ref="AU6:AU7"/>
    <mergeCell ref="AV6:AV7"/>
    <mergeCell ref="AW6:AW7"/>
    <mergeCell ref="AX6:AX7"/>
    <mergeCell ref="AM6:AM7"/>
    <mergeCell ref="AN6:AN7"/>
    <mergeCell ref="BR6:BR7"/>
    <mergeCell ref="BS6:BS7"/>
    <mergeCell ref="BT6:BT7"/>
    <mergeCell ref="BU6:BU7"/>
    <mergeCell ref="BK6:BK7"/>
    <mergeCell ref="BL6:BL7"/>
    <mergeCell ref="BM6:BM7"/>
    <mergeCell ref="BN6:BN7"/>
    <mergeCell ref="BO6:BO7"/>
    <mergeCell ref="BP6:BP7"/>
    <mergeCell ref="AO6:AO7"/>
    <mergeCell ref="AP6:AP7"/>
    <mergeCell ref="AQ6:AQ7"/>
    <mergeCell ref="AR6:AR7"/>
    <mergeCell ref="AI6:AI7"/>
    <mergeCell ref="AJ6:AJ7"/>
    <mergeCell ref="AK6:AK7"/>
    <mergeCell ref="AL6:AL7"/>
    <mergeCell ref="AA6:AA7"/>
    <mergeCell ref="AB6:AB7"/>
    <mergeCell ref="AC6:AC7"/>
    <mergeCell ref="AD6:AD7"/>
    <mergeCell ref="AE6:AE7"/>
    <mergeCell ref="AF6:AF7"/>
    <mergeCell ref="U6:U7"/>
    <mergeCell ref="V6:V7"/>
    <mergeCell ref="W6:W7"/>
    <mergeCell ref="X6:X7"/>
    <mergeCell ref="Y6:Y7"/>
    <mergeCell ref="Z6:Z7"/>
    <mergeCell ref="BQ5:BU5"/>
    <mergeCell ref="L6:L7"/>
    <mergeCell ref="M6:M7"/>
    <mergeCell ref="N6:N7"/>
    <mergeCell ref="O6:O7"/>
    <mergeCell ref="P6:P7"/>
    <mergeCell ref="Q6:Q7"/>
    <mergeCell ref="R6:R7"/>
    <mergeCell ref="S6:S7"/>
    <mergeCell ref="T6:T7"/>
    <mergeCell ref="AI5:AQ5"/>
    <mergeCell ref="AR5:AU5"/>
    <mergeCell ref="AV5:AY5"/>
    <mergeCell ref="AZ5:BE5"/>
    <mergeCell ref="BF5:BK5"/>
    <mergeCell ref="BL5:BP5"/>
    <mergeCell ref="AG6:AG7"/>
    <mergeCell ref="AH6:AH7"/>
    <mergeCell ref="B2:J5"/>
    <mergeCell ref="L2:BU2"/>
    <mergeCell ref="L4:Y4"/>
    <mergeCell ref="Z4:AQ4"/>
    <mergeCell ref="AR4:AY4"/>
    <mergeCell ref="AZ4:BK4"/>
    <mergeCell ref="BL4:BU4"/>
    <mergeCell ref="L5:R5"/>
    <mergeCell ref="S5:Y5"/>
    <mergeCell ref="Z5:AH5"/>
  </mergeCells>
  <conditionalFormatting sqref="E61:E62">
    <cfRule type="colorScale" priority="66">
      <colorScale>
        <cfvo type="min"/>
        <cfvo type="percentile" val="50"/>
        <cfvo type="max"/>
        <color rgb="FFF8696B"/>
        <color rgb="FFFFEB84"/>
        <color rgb="FF63BE7B"/>
      </colorScale>
    </cfRule>
  </conditionalFormatting>
  <conditionalFormatting sqref="F61:F62">
    <cfRule type="dataBar" priority="65">
      <dataBar>
        <cfvo type="min"/>
        <cfvo type="max"/>
        <color rgb="FFFFB628"/>
      </dataBar>
      <extLst>
        <ext xmlns:x14="http://schemas.microsoft.com/office/spreadsheetml/2009/9/main" uri="{B025F937-C7B1-47D3-B67F-A62EFF666E3E}">
          <x14:id>{5E902607-0DAF-43D1-B572-68F1D7D34112}</x14:id>
        </ext>
      </extLst>
    </cfRule>
  </conditionalFormatting>
  <conditionalFormatting sqref="E67:E74">
    <cfRule type="colorScale" priority="64">
      <colorScale>
        <cfvo type="min"/>
        <cfvo type="percentile" val="50"/>
        <cfvo type="max"/>
        <color rgb="FFF8696B"/>
        <color rgb="FFFFEB84"/>
        <color rgb="FF63BE7B"/>
      </colorScale>
    </cfRule>
  </conditionalFormatting>
  <conditionalFormatting sqref="F67:F74">
    <cfRule type="dataBar" priority="63">
      <dataBar>
        <cfvo type="min"/>
        <cfvo type="max"/>
        <color rgb="FFFFB628"/>
      </dataBar>
      <extLst>
        <ext xmlns:x14="http://schemas.microsoft.com/office/spreadsheetml/2009/9/main" uri="{B025F937-C7B1-47D3-B67F-A62EFF666E3E}">
          <x14:id>{B3D5C273-EE75-4A4A-BDFD-F471A98DD50F}</x14:id>
        </ext>
      </extLst>
    </cfRule>
  </conditionalFormatting>
  <conditionalFormatting sqref="O63:O69">
    <cfRule type="colorScale" priority="60">
      <colorScale>
        <cfvo type="min"/>
        <cfvo type="percentile" val="50"/>
        <cfvo type="max"/>
        <color rgb="FFF8696B"/>
        <color rgb="FFFFEB84"/>
        <color rgb="FF63BE7B"/>
      </colorScale>
    </cfRule>
  </conditionalFormatting>
  <conditionalFormatting sqref="Q63:Q69">
    <cfRule type="dataBar" priority="59">
      <dataBar>
        <cfvo type="min"/>
        <cfvo type="max"/>
        <color rgb="FFFFB628"/>
      </dataBar>
      <extLst>
        <ext xmlns:x14="http://schemas.microsoft.com/office/spreadsheetml/2009/9/main" uri="{B025F937-C7B1-47D3-B67F-A62EFF666E3E}">
          <x14:id>{1BA018DA-15AB-4DA6-8086-266423974432}</x14:id>
        </ext>
      </extLst>
    </cfRule>
  </conditionalFormatting>
  <conditionalFormatting sqref="P63:P69">
    <cfRule type="colorScale" priority="58">
      <colorScale>
        <cfvo type="min"/>
        <cfvo type="percentile" val="50"/>
        <cfvo type="max"/>
        <color rgb="FFF8696B"/>
        <color rgb="FFFFEB84"/>
        <color rgb="FF63BE7B"/>
      </colorScale>
    </cfRule>
  </conditionalFormatting>
  <conditionalFormatting sqref="R63:R69">
    <cfRule type="dataBar" priority="57">
      <dataBar>
        <cfvo type="min"/>
        <cfvo type="max"/>
        <color rgb="FF638EC6"/>
      </dataBar>
      <extLst>
        <ext xmlns:x14="http://schemas.microsoft.com/office/spreadsheetml/2009/9/main" uri="{B025F937-C7B1-47D3-B67F-A62EFF666E3E}">
          <x14:id>{9E82DAAF-D211-4425-9805-2EC68BFBBA79}</x14:id>
        </ext>
      </extLst>
    </cfRule>
  </conditionalFormatting>
  <conditionalFormatting sqref="O72:O80">
    <cfRule type="colorScale" priority="54">
      <colorScale>
        <cfvo type="min"/>
        <cfvo type="percentile" val="50"/>
        <cfvo type="max"/>
        <color rgb="FFF8696B"/>
        <color rgb="FFFFEB84"/>
        <color rgb="FF63BE7B"/>
      </colorScale>
    </cfRule>
  </conditionalFormatting>
  <conditionalFormatting sqref="P72:P80">
    <cfRule type="colorScale" priority="53">
      <colorScale>
        <cfvo type="min"/>
        <cfvo type="percentile" val="50"/>
        <cfvo type="max"/>
        <color rgb="FFF8696B"/>
        <color rgb="FFFFEB84"/>
        <color rgb="FF63BE7B"/>
      </colorScale>
    </cfRule>
  </conditionalFormatting>
  <conditionalFormatting sqref="Q72:Q80">
    <cfRule type="dataBar" priority="52">
      <dataBar>
        <cfvo type="min"/>
        <cfvo type="max"/>
        <color rgb="FFFFB628"/>
      </dataBar>
      <extLst>
        <ext xmlns:x14="http://schemas.microsoft.com/office/spreadsheetml/2009/9/main" uri="{B025F937-C7B1-47D3-B67F-A62EFF666E3E}">
          <x14:id>{3A164C15-E6EB-4181-943A-D87915DE7199}</x14:id>
        </ext>
      </extLst>
    </cfRule>
  </conditionalFormatting>
  <conditionalFormatting sqref="R72:R80">
    <cfRule type="dataBar" priority="51">
      <dataBar>
        <cfvo type="min"/>
        <cfvo type="max"/>
        <color rgb="FF638EC6"/>
      </dataBar>
      <extLst>
        <ext xmlns:x14="http://schemas.microsoft.com/office/spreadsheetml/2009/9/main" uri="{B025F937-C7B1-47D3-B67F-A62EFF666E3E}">
          <x14:id>{CF4A52CA-74DF-4E50-9A17-3D19C870F3A2}</x14:id>
        </ext>
      </extLst>
    </cfRule>
  </conditionalFormatting>
  <conditionalFormatting sqref="O83:O86">
    <cfRule type="colorScale" priority="50">
      <colorScale>
        <cfvo type="min"/>
        <cfvo type="percentile" val="50"/>
        <cfvo type="max"/>
        <color rgb="FFF8696B"/>
        <color rgb="FFFFEB84"/>
        <color rgb="FF63BE7B"/>
      </colorScale>
    </cfRule>
  </conditionalFormatting>
  <conditionalFormatting sqref="P83:P86">
    <cfRule type="colorScale" priority="49">
      <colorScale>
        <cfvo type="min"/>
        <cfvo type="percentile" val="50"/>
        <cfvo type="max"/>
        <color rgb="FFF8696B"/>
        <color rgb="FFFFEB84"/>
        <color rgb="FF63BE7B"/>
      </colorScale>
    </cfRule>
  </conditionalFormatting>
  <conditionalFormatting sqref="Q83:Q86">
    <cfRule type="dataBar" priority="48">
      <dataBar>
        <cfvo type="min"/>
        <cfvo type="max"/>
        <color rgb="FFFFB628"/>
      </dataBar>
      <extLst>
        <ext xmlns:x14="http://schemas.microsoft.com/office/spreadsheetml/2009/9/main" uri="{B025F937-C7B1-47D3-B67F-A62EFF666E3E}">
          <x14:id>{9F148194-6FF7-41C3-91F6-2FBBF48ADC69}</x14:id>
        </ext>
      </extLst>
    </cfRule>
  </conditionalFormatting>
  <conditionalFormatting sqref="R83:R86">
    <cfRule type="dataBar" priority="47">
      <dataBar>
        <cfvo type="min"/>
        <cfvo type="max"/>
        <color rgb="FF638EC6"/>
      </dataBar>
      <extLst>
        <ext xmlns:x14="http://schemas.microsoft.com/office/spreadsheetml/2009/9/main" uri="{B025F937-C7B1-47D3-B67F-A62EFF666E3E}">
          <x14:id>{4C4BCDED-BF0B-4E87-A295-0117560A23A8}</x14:id>
        </ext>
      </extLst>
    </cfRule>
  </conditionalFormatting>
  <conditionalFormatting sqref="O89:O94">
    <cfRule type="colorScale" priority="46">
      <colorScale>
        <cfvo type="min"/>
        <cfvo type="percentile" val="50"/>
        <cfvo type="max"/>
        <color rgb="FFF8696B"/>
        <color rgb="FFFFEB84"/>
        <color rgb="FF63BE7B"/>
      </colorScale>
    </cfRule>
  </conditionalFormatting>
  <conditionalFormatting sqref="P89:P94">
    <cfRule type="colorScale" priority="45">
      <colorScale>
        <cfvo type="min"/>
        <cfvo type="percentile" val="50"/>
        <cfvo type="max"/>
        <color rgb="FFF8696B"/>
        <color rgb="FFFFEB84"/>
        <color rgb="FF63BE7B"/>
      </colorScale>
    </cfRule>
  </conditionalFormatting>
  <conditionalFormatting sqref="Q89:Q94">
    <cfRule type="dataBar" priority="44">
      <dataBar>
        <cfvo type="min"/>
        <cfvo type="max"/>
        <color rgb="FFFFB628"/>
      </dataBar>
      <extLst>
        <ext xmlns:x14="http://schemas.microsoft.com/office/spreadsheetml/2009/9/main" uri="{B025F937-C7B1-47D3-B67F-A62EFF666E3E}">
          <x14:id>{AF0C9119-52B4-4312-946B-E2DE9EF8A0DD}</x14:id>
        </ext>
      </extLst>
    </cfRule>
  </conditionalFormatting>
  <conditionalFormatting sqref="R89:R94">
    <cfRule type="dataBar" priority="43">
      <dataBar>
        <cfvo type="min"/>
        <cfvo type="max"/>
        <color rgb="FF638EC6"/>
      </dataBar>
      <extLst>
        <ext xmlns:x14="http://schemas.microsoft.com/office/spreadsheetml/2009/9/main" uri="{B025F937-C7B1-47D3-B67F-A62EFF666E3E}">
          <x14:id>{99BC4137-E264-464F-8673-DA7CFACC0D41}</x14:id>
        </ext>
      </extLst>
    </cfRule>
  </conditionalFormatting>
  <conditionalFormatting sqref="O97:O101">
    <cfRule type="colorScale" priority="42">
      <colorScale>
        <cfvo type="min"/>
        <cfvo type="percentile" val="50"/>
        <cfvo type="max"/>
        <color rgb="FFF8696B"/>
        <color rgb="FFFFEB84"/>
        <color rgb="FF63BE7B"/>
      </colorScale>
    </cfRule>
  </conditionalFormatting>
  <conditionalFormatting sqref="P97:P101">
    <cfRule type="colorScale" priority="41">
      <colorScale>
        <cfvo type="min"/>
        <cfvo type="percentile" val="50"/>
        <cfvo type="max"/>
        <color rgb="FFF8696B"/>
        <color rgb="FFFFEB84"/>
        <color rgb="FF63BE7B"/>
      </colorScale>
    </cfRule>
  </conditionalFormatting>
  <conditionalFormatting sqref="Q97:Q101">
    <cfRule type="dataBar" priority="40">
      <dataBar>
        <cfvo type="min"/>
        <cfvo type="max"/>
        <color rgb="FFFFB628"/>
      </dataBar>
      <extLst>
        <ext xmlns:x14="http://schemas.microsoft.com/office/spreadsheetml/2009/9/main" uri="{B025F937-C7B1-47D3-B67F-A62EFF666E3E}">
          <x14:id>{5DF8143B-111D-429C-8B61-220978A3DC74}</x14:id>
        </ext>
      </extLst>
    </cfRule>
  </conditionalFormatting>
  <conditionalFormatting sqref="R97:R101">
    <cfRule type="dataBar" priority="39">
      <dataBar>
        <cfvo type="min"/>
        <cfvo type="max"/>
        <color rgb="FF638EC6"/>
      </dataBar>
      <extLst>
        <ext xmlns:x14="http://schemas.microsoft.com/office/spreadsheetml/2009/9/main" uri="{B025F937-C7B1-47D3-B67F-A62EFF666E3E}">
          <x14:id>{5EB7B90B-7FF2-4F50-A1BA-0BEFFAC6E799}</x14:id>
        </ext>
      </extLst>
    </cfRule>
  </conditionalFormatting>
  <conditionalFormatting sqref="E83:E84">
    <cfRule type="colorScale" priority="37">
      <colorScale>
        <cfvo type="min"/>
        <cfvo type="percentile" val="50"/>
        <cfvo type="max"/>
        <color rgb="FFF8696B"/>
        <color rgb="FFFFEB84"/>
        <color rgb="FF63BE7B"/>
      </colorScale>
    </cfRule>
  </conditionalFormatting>
  <conditionalFormatting sqref="F83:F84">
    <cfRule type="dataBar" priority="38">
      <dataBar>
        <cfvo type="min"/>
        <cfvo type="max"/>
        <color rgb="FFFFB628"/>
      </dataBar>
      <extLst>
        <ext xmlns:x14="http://schemas.microsoft.com/office/spreadsheetml/2009/9/main" uri="{B025F937-C7B1-47D3-B67F-A62EFF666E3E}">
          <x14:id>{1A87C915-914D-461B-B906-F7A8DCD940D7}</x14:id>
        </ext>
      </extLst>
    </cfRule>
  </conditionalFormatting>
  <conditionalFormatting sqref="E80">
    <cfRule type="colorScale" priority="35">
      <colorScale>
        <cfvo type="min"/>
        <cfvo type="percentile" val="50"/>
        <cfvo type="max"/>
        <color rgb="FFF8696B"/>
        <color rgb="FFFFEB84"/>
        <color rgb="FF63BE7B"/>
      </colorScale>
    </cfRule>
  </conditionalFormatting>
  <conditionalFormatting sqref="F80">
    <cfRule type="dataBar" priority="36">
      <dataBar>
        <cfvo type="min"/>
        <cfvo type="max"/>
        <color rgb="FFFFB628"/>
      </dataBar>
      <extLst>
        <ext xmlns:x14="http://schemas.microsoft.com/office/spreadsheetml/2009/9/main" uri="{B025F937-C7B1-47D3-B67F-A62EFF666E3E}">
          <x14:id>{E731AAA4-6901-4A0E-B8FB-D444478DF2F8}</x14:id>
        </ext>
      </extLst>
    </cfRule>
  </conditionalFormatting>
  <conditionalFormatting sqref="E81:E82 E86">
    <cfRule type="colorScale" priority="80">
      <colorScale>
        <cfvo type="min"/>
        <cfvo type="percentile" val="50"/>
        <cfvo type="max"/>
        <color rgb="FFF8696B"/>
        <color rgb="FFFFEB84"/>
        <color rgb="FF63BE7B"/>
      </colorScale>
    </cfRule>
  </conditionalFormatting>
  <conditionalFormatting sqref="F81:F82 F86">
    <cfRule type="dataBar" priority="82">
      <dataBar>
        <cfvo type="min"/>
        <cfvo type="max"/>
        <color rgb="FFFFB628"/>
      </dataBar>
      <extLst>
        <ext xmlns:x14="http://schemas.microsoft.com/office/spreadsheetml/2009/9/main" uri="{B025F937-C7B1-47D3-B67F-A62EFF666E3E}">
          <x14:id>{CC8435CB-3084-42CB-9D99-33A13E5FF905}</x14:id>
        </ext>
      </extLst>
    </cfRule>
  </conditionalFormatting>
  <conditionalFormatting sqref="E100">
    <cfRule type="colorScale" priority="31">
      <colorScale>
        <cfvo type="min"/>
        <cfvo type="percentile" val="50"/>
        <cfvo type="max"/>
        <color rgb="FFF8696B"/>
        <color rgb="FFFFEB84"/>
        <color rgb="FF63BE7B"/>
      </colorScale>
    </cfRule>
  </conditionalFormatting>
  <conditionalFormatting sqref="F100">
    <cfRule type="dataBar" priority="32">
      <dataBar>
        <cfvo type="min"/>
        <cfvo type="max"/>
        <color rgb="FFFFB628"/>
      </dataBar>
      <extLst>
        <ext xmlns:x14="http://schemas.microsoft.com/office/spreadsheetml/2009/9/main" uri="{B025F937-C7B1-47D3-B67F-A62EFF666E3E}">
          <x14:id>{5D87A65A-095E-4F87-A5DB-20CEF1FC9970}</x14:id>
        </ext>
      </extLst>
    </cfRule>
  </conditionalFormatting>
  <conditionalFormatting sqref="F95:F103">
    <cfRule type="dataBar" priority="30">
      <dataBar>
        <cfvo type="min"/>
        <cfvo type="max"/>
        <color rgb="FFFFB628"/>
      </dataBar>
      <extLst>
        <ext xmlns:x14="http://schemas.microsoft.com/office/spreadsheetml/2009/9/main" uri="{B025F937-C7B1-47D3-B67F-A62EFF666E3E}">
          <x14:id>{34B702D8-28B5-421B-9414-B1B533F8128E}</x14:id>
        </ext>
      </extLst>
    </cfRule>
  </conditionalFormatting>
  <conditionalFormatting sqref="E79">
    <cfRule type="colorScale" priority="28">
      <colorScale>
        <cfvo type="min"/>
        <cfvo type="percentile" val="50"/>
        <cfvo type="max"/>
        <color rgb="FFF8696B"/>
        <color rgb="FFFFEB84"/>
        <color rgb="FF63BE7B"/>
      </colorScale>
    </cfRule>
  </conditionalFormatting>
  <conditionalFormatting sqref="F79">
    <cfRule type="dataBar" priority="29">
      <dataBar>
        <cfvo type="min"/>
        <cfvo type="max"/>
        <color rgb="FFFFB628"/>
      </dataBar>
      <extLst>
        <ext xmlns:x14="http://schemas.microsoft.com/office/spreadsheetml/2009/9/main" uri="{B025F937-C7B1-47D3-B67F-A62EFF666E3E}">
          <x14:id>{E0680CB9-BADD-4868-95F5-D8E25B86A5CF}</x14:id>
        </ext>
      </extLst>
    </cfRule>
  </conditionalFormatting>
  <conditionalFormatting sqref="E79">
    <cfRule type="colorScale" priority="27">
      <colorScale>
        <cfvo type="min"/>
        <cfvo type="percentile" val="50"/>
        <cfvo type="max"/>
        <color rgb="FFF8696B"/>
        <color rgb="FFFFEB84"/>
        <color rgb="FF63BE7B"/>
      </colorScale>
    </cfRule>
  </conditionalFormatting>
  <conditionalFormatting sqref="F79">
    <cfRule type="dataBar" priority="26">
      <dataBar>
        <cfvo type="min"/>
        <cfvo type="max"/>
        <color rgb="FFFFB628"/>
      </dataBar>
      <extLst>
        <ext xmlns:x14="http://schemas.microsoft.com/office/spreadsheetml/2009/9/main" uri="{B025F937-C7B1-47D3-B67F-A62EFF666E3E}">
          <x14:id>{89E54DDB-92B2-45E9-A2F1-820B366AA858}</x14:id>
        </ext>
      </extLst>
    </cfRule>
  </conditionalFormatting>
  <conditionalFormatting sqref="E89">
    <cfRule type="colorScale" priority="24">
      <colorScale>
        <cfvo type="min"/>
        <cfvo type="percentile" val="50"/>
        <cfvo type="max"/>
        <color rgb="FFF8696B"/>
        <color rgb="FFFFEB84"/>
        <color rgb="FF63BE7B"/>
      </colorScale>
    </cfRule>
  </conditionalFormatting>
  <conditionalFormatting sqref="F89">
    <cfRule type="dataBar" priority="25">
      <dataBar>
        <cfvo type="min"/>
        <cfvo type="max"/>
        <color rgb="FFFFB628"/>
      </dataBar>
      <extLst>
        <ext xmlns:x14="http://schemas.microsoft.com/office/spreadsheetml/2009/9/main" uri="{B025F937-C7B1-47D3-B67F-A62EFF666E3E}">
          <x14:id>{942DAC5E-F5C1-4718-8E4D-089F35F63433}</x14:id>
        </ext>
      </extLst>
    </cfRule>
  </conditionalFormatting>
  <conditionalFormatting sqref="E89">
    <cfRule type="colorScale" priority="23">
      <colorScale>
        <cfvo type="min"/>
        <cfvo type="percentile" val="50"/>
        <cfvo type="max"/>
        <color rgb="FFF8696B"/>
        <color rgb="FFFFEB84"/>
        <color rgb="FF63BE7B"/>
      </colorScale>
    </cfRule>
  </conditionalFormatting>
  <conditionalFormatting sqref="F89">
    <cfRule type="dataBar" priority="22">
      <dataBar>
        <cfvo type="min"/>
        <cfvo type="max"/>
        <color rgb="FFFFB628"/>
      </dataBar>
      <extLst>
        <ext xmlns:x14="http://schemas.microsoft.com/office/spreadsheetml/2009/9/main" uri="{B025F937-C7B1-47D3-B67F-A62EFF666E3E}">
          <x14:id>{9FF9D7BE-3DA2-41F4-A0C4-B4717DF5A7CC}</x14:id>
        </ext>
      </extLst>
    </cfRule>
  </conditionalFormatting>
  <conditionalFormatting sqref="E87">
    <cfRule type="colorScale" priority="20">
      <colorScale>
        <cfvo type="min"/>
        <cfvo type="percentile" val="50"/>
        <cfvo type="max"/>
        <color rgb="FFF8696B"/>
        <color rgb="FFFFEB84"/>
        <color rgb="FF63BE7B"/>
      </colorScale>
    </cfRule>
  </conditionalFormatting>
  <conditionalFormatting sqref="F87">
    <cfRule type="dataBar" priority="21">
      <dataBar>
        <cfvo type="min"/>
        <cfvo type="max"/>
        <color rgb="FFFFB628"/>
      </dataBar>
      <extLst>
        <ext xmlns:x14="http://schemas.microsoft.com/office/spreadsheetml/2009/9/main" uri="{B025F937-C7B1-47D3-B67F-A62EFF666E3E}">
          <x14:id>{B2EDED80-4981-4E8E-8A2C-E5FB61EEAEBC}</x14:id>
        </ext>
      </extLst>
    </cfRule>
  </conditionalFormatting>
  <conditionalFormatting sqref="E87">
    <cfRule type="colorScale" priority="19">
      <colorScale>
        <cfvo type="min"/>
        <cfvo type="percentile" val="50"/>
        <cfvo type="max"/>
        <color rgb="FFF8696B"/>
        <color rgb="FFFFEB84"/>
        <color rgb="FF63BE7B"/>
      </colorScale>
    </cfRule>
  </conditionalFormatting>
  <conditionalFormatting sqref="F87">
    <cfRule type="dataBar" priority="18">
      <dataBar>
        <cfvo type="min"/>
        <cfvo type="max"/>
        <color rgb="FFFFB628"/>
      </dataBar>
      <extLst>
        <ext xmlns:x14="http://schemas.microsoft.com/office/spreadsheetml/2009/9/main" uri="{B025F937-C7B1-47D3-B67F-A62EFF666E3E}">
          <x14:id>{3E2461C4-73EF-4A0F-B537-0467DB2FAF69}</x14:id>
        </ext>
      </extLst>
    </cfRule>
  </conditionalFormatting>
  <conditionalFormatting sqref="E88">
    <cfRule type="colorScale" priority="16">
      <colorScale>
        <cfvo type="min"/>
        <cfvo type="percentile" val="50"/>
        <cfvo type="max"/>
        <color rgb="FFF8696B"/>
        <color rgb="FFFFEB84"/>
        <color rgb="FF63BE7B"/>
      </colorScale>
    </cfRule>
  </conditionalFormatting>
  <conditionalFormatting sqref="F88">
    <cfRule type="dataBar" priority="17">
      <dataBar>
        <cfvo type="min"/>
        <cfvo type="max"/>
        <color rgb="FFFFB628"/>
      </dataBar>
      <extLst>
        <ext xmlns:x14="http://schemas.microsoft.com/office/spreadsheetml/2009/9/main" uri="{B025F937-C7B1-47D3-B67F-A62EFF666E3E}">
          <x14:id>{A3C90AED-0EB2-4D7A-846F-75F27032253A}</x14:id>
        </ext>
      </extLst>
    </cfRule>
  </conditionalFormatting>
  <conditionalFormatting sqref="E88">
    <cfRule type="colorScale" priority="15">
      <colorScale>
        <cfvo type="min"/>
        <cfvo type="percentile" val="50"/>
        <cfvo type="max"/>
        <color rgb="FFF8696B"/>
        <color rgb="FFFFEB84"/>
        <color rgb="FF63BE7B"/>
      </colorScale>
    </cfRule>
  </conditionalFormatting>
  <conditionalFormatting sqref="F88">
    <cfRule type="dataBar" priority="14">
      <dataBar>
        <cfvo type="min"/>
        <cfvo type="max"/>
        <color rgb="FFFFB628"/>
      </dataBar>
      <extLst>
        <ext xmlns:x14="http://schemas.microsoft.com/office/spreadsheetml/2009/9/main" uri="{B025F937-C7B1-47D3-B67F-A62EFF666E3E}">
          <x14:id>{74AABEDC-E0AD-4BED-926E-FA2139D10372}</x14:id>
        </ext>
      </extLst>
    </cfRule>
  </conditionalFormatting>
  <conditionalFormatting sqref="E80:E84 E86">
    <cfRule type="colorScale" priority="89">
      <colorScale>
        <cfvo type="min"/>
        <cfvo type="percentile" val="50"/>
        <cfvo type="max"/>
        <color rgb="FFF8696B"/>
        <color rgb="FFFFEB84"/>
        <color rgb="FF63BE7B"/>
      </colorScale>
    </cfRule>
  </conditionalFormatting>
  <conditionalFormatting sqref="F80:F84 F86">
    <cfRule type="dataBar" priority="91">
      <dataBar>
        <cfvo type="min"/>
        <cfvo type="max"/>
        <color rgb="FFFFB628"/>
      </dataBar>
      <extLst>
        <ext xmlns:x14="http://schemas.microsoft.com/office/spreadsheetml/2009/9/main" uri="{B025F937-C7B1-47D3-B67F-A62EFF666E3E}">
          <x14:id>{3FB9240A-1813-4117-B34E-0299F7A0E038}</x14:id>
        </ext>
      </extLst>
    </cfRule>
  </conditionalFormatting>
  <conditionalFormatting sqref="E85">
    <cfRule type="colorScale" priority="10">
      <colorScale>
        <cfvo type="min"/>
        <cfvo type="percentile" val="50"/>
        <cfvo type="max"/>
        <color rgb="FFF8696B"/>
        <color rgb="FFFFEB84"/>
        <color rgb="FF63BE7B"/>
      </colorScale>
    </cfRule>
  </conditionalFormatting>
  <conditionalFormatting sqref="F85">
    <cfRule type="dataBar" priority="11">
      <dataBar>
        <cfvo type="min"/>
        <cfvo type="max"/>
        <color rgb="FFFFB628"/>
      </dataBar>
      <extLst>
        <ext xmlns:x14="http://schemas.microsoft.com/office/spreadsheetml/2009/9/main" uri="{B025F937-C7B1-47D3-B67F-A62EFF666E3E}">
          <x14:id>{2EE39DCE-158F-43C9-9F47-DB39CAEF912D}</x14:id>
        </ext>
      </extLst>
    </cfRule>
  </conditionalFormatting>
  <conditionalFormatting sqref="E85">
    <cfRule type="colorScale" priority="12">
      <colorScale>
        <cfvo type="min"/>
        <cfvo type="percentile" val="50"/>
        <cfvo type="max"/>
        <color rgb="FFF8696B"/>
        <color rgb="FFFFEB84"/>
        <color rgb="FF63BE7B"/>
      </colorScale>
    </cfRule>
  </conditionalFormatting>
  <conditionalFormatting sqref="F85">
    <cfRule type="dataBar" priority="13">
      <dataBar>
        <cfvo type="min"/>
        <cfvo type="max"/>
        <color rgb="FFFFB628"/>
      </dataBar>
      <extLst>
        <ext xmlns:x14="http://schemas.microsoft.com/office/spreadsheetml/2009/9/main" uri="{B025F937-C7B1-47D3-B67F-A62EFF666E3E}">
          <x14:id>{10487E9C-5CAC-49A0-8C70-FD873AF38A78}</x14:id>
        </ext>
      </extLst>
    </cfRule>
  </conditionalFormatting>
  <conditionalFormatting sqref="E95:E97 E103">
    <cfRule type="colorScale" priority="92">
      <colorScale>
        <cfvo type="min"/>
        <cfvo type="percentile" val="50"/>
        <cfvo type="max"/>
        <color rgb="FFF8696B"/>
        <color rgb="FFFFEB84"/>
        <color rgb="FF63BE7B"/>
      </colorScale>
    </cfRule>
  </conditionalFormatting>
  <conditionalFormatting sqref="F95:F97 F103">
    <cfRule type="dataBar" priority="94">
      <dataBar>
        <cfvo type="min"/>
        <cfvo type="max"/>
        <color rgb="FFFFB628"/>
      </dataBar>
      <extLst>
        <ext xmlns:x14="http://schemas.microsoft.com/office/spreadsheetml/2009/9/main" uri="{B025F937-C7B1-47D3-B67F-A62EFF666E3E}">
          <x14:id>{0F847C68-B9EB-4A09-9734-33DB7B571DE8}</x14:id>
        </ext>
      </extLst>
    </cfRule>
  </conditionalFormatting>
  <conditionalFormatting sqref="E79:E89">
    <cfRule type="colorScale" priority="9">
      <colorScale>
        <cfvo type="min"/>
        <cfvo type="percentile" val="50"/>
        <cfvo type="max"/>
        <color rgb="FFF8696B"/>
        <color rgb="FFFFEB84"/>
        <color rgb="FF63BE7B"/>
      </colorScale>
    </cfRule>
  </conditionalFormatting>
  <conditionalFormatting sqref="F79:F89">
    <cfRule type="dataBar" priority="8">
      <dataBar>
        <cfvo type="min"/>
        <cfvo type="max"/>
        <color rgb="FFFFB628"/>
      </dataBar>
      <extLst>
        <ext xmlns:x14="http://schemas.microsoft.com/office/spreadsheetml/2009/9/main" uri="{B025F937-C7B1-47D3-B67F-A62EFF666E3E}">
          <x14:id>{6D1532DC-F13D-4685-9EC1-8294A86A2527}</x14:id>
        </ext>
      </extLst>
    </cfRule>
  </conditionalFormatting>
  <conditionalFormatting sqref="E95:E104">
    <cfRule type="colorScale" priority="7">
      <colorScale>
        <cfvo type="min"/>
        <cfvo type="percentile" val="50"/>
        <cfvo type="max"/>
        <color rgb="FFF8696B"/>
        <color rgb="FFFFEB84"/>
        <color rgb="FF63BE7B"/>
      </colorScale>
    </cfRule>
  </conditionalFormatting>
  <conditionalFormatting sqref="E114">
    <cfRule type="colorScale" priority="3">
      <colorScale>
        <cfvo type="min"/>
        <cfvo type="percentile" val="50"/>
        <cfvo type="max"/>
        <color rgb="FFF8696B"/>
        <color rgb="FFFFEB84"/>
        <color rgb="FF63BE7B"/>
      </colorScale>
    </cfRule>
  </conditionalFormatting>
  <conditionalFormatting sqref="F114">
    <cfRule type="dataBar" priority="4">
      <dataBar>
        <cfvo type="min"/>
        <cfvo type="max"/>
        <color rgb="FFFFB628"/>
      </dataBar>
      <extLst>
        <ext xmlns:x14="http://schemas.microsoft.com/office/spreadsheetml/2009/9/main" uri="{B025F937-C7B1-47D3-B67F-A62EFF666E3E}">
          <x14:id>{34689926-AB85-4EFD-A4CD-53E87EB95ECA}</x14:id>
        </ext>
      </extLst>
    </cfRule>
  </conditionalFormatting>
  <conditionalFormatting sqref="F109:F117">
    <cfRule type="dataBar" priority="2">
      <dataBar>
        <cfvo type="min"/>
        <cfvo type="max"/>
        <color rgb="FFFFB628"/>
      </dataBar>
      <extLst>
        <ext xmlns:x14="http://schemas.microsoft.com/office/spreadsheetml/2009/9/main" uri="{B025F937-C7B1-47D3-B67F-A62EFF666E3E}">
          <x14:id>{284BA284-4928-4B9C-8459-6CDA43C72EE1}</x14:id>
        </ext>
      </extLst>
    </cfRule>
  </conditionalFormatting>
  <conditionalFormatting sqref="E109:E111 E117">
    <cfRule type="colorScale" priority="5">
      <colorScale>
        <cfvo type="min"/>
        <cfvo type="percentile" val="50"/>
        <cfvo type="max"/>
        <color rgb="FFF8696B"/>
        <color rgb="FFFFEB84"/>
        <color rgb="FF63BE7B"/>
      </colorScale>
    </cfRule>
  </conditionalFormatting>
  <conditionalFormatting sqref="F109:F111 F117">
    <cfRule type="dataBar" priority="6">
      <dataBar>
        <cfvo type="min"/>
        <cfvo type="max"/>
        <color rgb="FFFFB628"/>
      </dataBar>
      <extLst>
        <ext xmlns:x14="http://schemas.microsoft.com/office/spreadsheetml/2009/9/main" uri="{B025F937-C7B1-47D3-B67F-A62EFF666E3E}">
          <x14:id>{F34EB54C-8946-44DD-8972-2067E86E6577}</x14:id>
        </ext>
      </extLst>
    </cfRule>
  </conditionalFormatting>
  <conditionalFormatting sqref="E109:E118">
    <cfRule type="colorScale" priority="1">
      <colorScale>
        <cfvo type="min"/>
        <cfvo type="percentile" val="50"/>
        <cfvo type="max"/>
        <color rgb="FFF8696B"/>
        <color rgb="FFFFEB84"/>
        <color rgb="FF63BE7B"/>
      </colorScale>
    </cfRule>
  </conditionalFormatting>
  <dataValidations xWindow="887" yWindow="733" count="6">
    <dataValidation type="list" allowBlank="1" showInputMessage="1" showErrorMessage="1" errorTitle="Wrong Input" error="[ Only ✓ mark or blank cells are allowed in this table ]" promptTitle="Respondent Answers" prompt="[ ✓ mark for chosen answers, empty cell otherwise ]" sqref="L8:BU57" xr:uid="{A320C815-115A-499C-8895-266ACD8AB8FA}">
      <formula1>$BW$8:$BW$9</formula1>
    </dataValidation>
    <dataValidation type="list" allowBlank="1" showInputMessage="1" showErrorMessage="1" sqref="L58:R58" xr:uid="{1F2A7E80-50CF-4FCE-A252-DC4914C78512}">
      <formula1>$BW$8:$BW$9</formula1>
    </dataValidation>
    <dataValidation type="list" allowBlank="1" showInputMessage="1" showErrorMessage="1" sqref="E8:E57" xr:uid="{43D2955E-C393-4C05-9A95-E1973F0BF146}">
      <formula1>$D$67:$D$74</formula1>
    </dataValidation>
    <dataValidation type="list" allowBlank="1" showInputMessage="1" showErrorMessage="1" sqref="D8:D57" xr:uid="{24345837-5BE5-426D-88BE-E9C2EAA20545}">
      <formula1>$D$61:$D$62</formula1>
    </dataValidation>
    <dataValidation type="list" allowBlank="1" showInputMessage="1" showErrorMessage="1" sqref="G8:J57" xr:uid="{5B308C30-4E3B-49E5-A5B5-3EEA4161595F}">
      <formula1>$H$88:$H$92</formula1>
    </dataValidation>
    <dataValidation type="list" allowBlank="1" showInputMessage="1" showErrorMessage="1" sqref="F8:F57" xr:uid="{580AD0D9-2A41-4822-AB2B-ADEF1ED1767A}">
      <formula1>$D$79:$D$89</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5E902607-0DAF-43D1-B572-68F1D7D34112}">
            <x14:dataBar minLength="0" maxLength="100" border="1" negativeBarBorderColorSameAsPositive="0">
              <x14:cfvo type="autoMin"/>
              <x14:cfvo type="autoMax"/>
              <x14:borderColor rgb="FFFFB628"/>
              <x14:negativeFillColor rgb="FFFF0000"/>
              <x14:negativeBorderColor rgb="FFFF0000"/>
              <x14:axisColor rgb="FF000000"/>
            </x14:dataBar>
          </x14:cfRule>
          <xm:sqref>F61:F62</xm:sqref>
        </x14:conditionalFormatting>
        <x14:conditionalFormatting xmlns:xm="http://schemas.microsoft.com/office/excel/2006/main">
          <x14:cfRule type="dataBar" id="{B3D5C273-EE75-4A4A-BDFD-F471A98DD50F}">
            <x14:dataBar minLength="0" maxLength="100" border="1" negativeBarBorderColorSameAsPositive="0">
              <x14:cfvo type="autoMin"/>
              <x14:cfvo type="autoMax"/>
              <x14:borderColor rgb="FFFFB628"/>
              <x14:negativeFillColor rgb="FFFF0000"/>
              <x14:negativeBorderColor rgb="FFFF0000"/>
              <x14:axisColor rgb="FF000000"/>
            </x14:dataBar>
          </x14:cfRule>
          <xm:sqref>F67:F74</xm:sqref>
        </x14:conditionalFormatting>
        <x14:conditionalFormatting xmlns:xm="http://schemas.microsoft.com/office/excel/2006/main">
          <x14:cfRule type="dataBar" id="{1BA018DA-15AB-4DA6-8086-266423974432}">
            <x14:dataBar minLength="0" maxLength="100" border="1" negativeBarBorderColorSameAsPositive="0">
              <x14:cfvo type="autoMin"/>
              <x14:cfvo type="autoMax"/>
              <x14:borderColor rgb="FFFFB628"/>
              <x14:negativeFillColor rgb="FFFF0000"/>
              <x14:negativeBorderColor rgb="FFFF0000"/>
              <x14:axisColor rgb="FF000000"/>
            </x14:dataBar>
          </x14:cfRule>
          <xm:sqref>Q63:Q69</xm:sqref>
        </x14:conditionalFormatting>
        <x14:conditionalFormatting xmlns:xm="http://schemas.microsoft.com/office/excel/2006/main">
          <x14:cfRule type="dataBar" id="{9E82DAAF-D211-4425-9805-2EC68BFBBA79}">
            <x14:dataBar minLength="0" maxLength="100" border="1" negativeBarBorderColorSameAsPositive="0">
              <x14:cfvo type="autoMin"/>
              <x14:cfvo type="autoMax"/>
              <x14:borderColor rgb="FF638EC6"/>
              <x14:negativeFillColor rgb="FFFF0000"/>
              <x14:negativeBorderColor rgb="FFFF0000"/>
              <x14:axisColor rgb="FF000000"/>
            </x14:dataBar>
          </x14:cfRule>
          <xm:sqref>R63:R69</xm:sqref>
        </x14:conditionalFormatting>
        <x14:conditionalFormatting xmlns:xm="http://schemas.microsoft.com/office/excel/2006/main">
          <x14:cfRule type="dataBar" id="{3A164C15-E6EB-4181-943A-D87915DE7199}">
            <x14:dataBar minLength="0" maxLength="100" border="1" negativeBarBorderColorSameAsPositive="0">
              <x14:cfvo type="autoMin"/>
              <x14:cfvo type="autoMax"/>
              <x14:borderColor rgb="FFFFB628"/>
              <x14:negativeFillColor rgb="FFFF0000"/>
              <x14:negativeBorderColor rgb="FFFF0000"/>
              <x14:axisColor rgb="FF000000"/>
            </x14:dataBar>
          </x14:cfRule>
          <xm:sqref>Q72:Q80</xm:sqref>
        </x14:conditionalFormatting>
        <x14:conditionalFormatting xmlns:xm="http://schemas.microsoft.com/office/excel/2006/main">
          <x14:cfRule type="dataBar" id="{CF4A52CA-74DF-4E50-9A17-3D19C870F3A2}">
            <x14:dataBar minLength="0" maxLength="100" border="1" negativeBarBorderColorSameAsPositive="0">
              <x14:cfvo type="autoMin"/>
              <x14:cfvo type="autoMax"/>
              <x14:borderColor rgb="FF638EC6"/>
              <x14:negativeFillColor rgb="FFFF0000"/>
              <x14:negativeBorderColor rgb="FFFF0000"/>
              <x14:axisColor rgb="FF000000"/>
            </x14:dataBar>
          </x14:cfRule>
          <xm:sqref>R72:R80</xm:sqref>
        </x14:conditionalFormatting>
        <x14:conditionalFormatting xmlns:xm="http://schemas.microsoft.com/office/excel/2006/main">
          <x14:cfRule type="dataBar" id="{9F148194-6FF7-41C3-91F6-2FBBF48ADC69}">
            <x14:dataBar minLength="0" maxLength="100" border="1" negativeBarBorderColorSameAsPositive="0">
              <x14:cfvo type="autoMin"/>
              <x14:cfvo type="autoMax"/>
              <x14:borderColor rgb="FFFFB628"/>
              <x14:negativeFillColor rgb="FFFF0000"/>
              <x14:negativeBorderColor rgb="FFFF0000"/>
              <x14:axisColor rgb="FF000000"/>
            </x14:dataBar>
          </x14:cfRule>
          <xm:sqref>Q83:Q86</xm:sqref>
        </x14:conditionalFormatting>
        <x14:conditionalFormatting xmlns:xm="http://schemas.microsoft.com/office/excel/2006/main">
          <x14:cfRule type="dataBar" id="{4C4BCDED-BF0B-4E87-A295-0117560A23A8}">
            <x14:dataBar minLength="0" maxLength="100" border="1" negativeBarBorderColorSameAsPositive="0">
              <x14:cfvo type="autoMin"/>
              <x14:cfvo type="autoMax"/>
              <x14:borderColor rgb="FF638EC6"/>
              <x14:negativeFillColor rgb="FFFF0000"/>
              <x14:negativeBorderColor rgb="FFFF0000"/>
              <x14:axisColor rgb="FF000000"/>
            </x14:dataBar>
          </x14:cfRule>
          <xm:sqref>R83:R86</xm:sqref>
        </x14:conditionalFormatting>
        <x14:conditionalFormatting xmlns:xm="http://schemas.microsoft.com/office/excel/2006/main">
          <x14:cfRule type="dataBar" id="{AF0C9119-52B4-4312-946B-E2DE9EF8A0DD}">
            <x14:dataBar minLength="0" maxLength="100" border="1" negativeBarBorderColorSameAsPositive="0">
              <x14:cfvo type="autoMin"/>
              <x14:cfvo type="autoMax"/>
              <x14:borderColor rgb="FFFFB628"/>
              <x14:negativeFillColor rgb="FFFF0000"/>
              <x14:negativeBorderColor rgb="FFFF0000"/>
              <x14:axisColor rgb="FF000000"/>
            </x14:dataBar>
          </x14:cfRule>
          <xm:sqref>Q89:Q94</xm:sqref>
        </x14:conditionalFormatting>
        <x14:conditionalFormatting xmlns:xm="http://schemas.microsoft.com/office/excel/2006/main">
          <x14:cfRule type="dataBar" id="{99BC4137-E264-464F-8673-DA7CFACC0D41}">
            <x14:dataBar minLength="0" maxLength="100" border="1" negativeBarBorderColorSameAsPositive="0">
              <x14:cfvo type="autoMin"/>
              <x14:cfvo type="autoMax"/>
              <x14:borderColor rgb="FF638EC6"/>
              <x14:negativeFillColor rgb="FFFF0000"/>
              <x14:negativeBorderColor rgb="FFFF0000"/>
              <x14:axisColor rgb="FF000000"/>
            </x14:dataBar>
          </x14:cfRule>
          <xm:sqref>R89:R94</xm:sqref>
        </x14:conditionalFormatting>
        <x14:conditionalFormatting xmlns:xm="http://schemas.microsoft.com/office/excel/2006/main">
          <x14:cfRule type="dataBar" id="{5DF8143B-111D-429C-8B61-220978A3DC74}">
            <x14:dataBar minLength="0" maxLength="100" border="1" negativeBarBorderColorSameAsPositive="0">
              <x14:cfvo type="autoMin"/>
              <x14:cfvo type="autoMax"/>
              <x14:borderColor rgb="FFFFB628"/>
              <x14:negativeFillColor rgb="FFFF0000"/>
              <x14:negativeBorderColor rgb="FFFF0000"/>
              <x14:axisColor rgb="FF000000"/>
            </x14:dataBar>
          </x14:cfRule>
          <xm:sqref>Q97:Q101</xm:sqref>
        </x14:conditionalFormatting>
        <x14:conditionalFormatting xmlns:xm="http://schemas.microsoft.com/office/excel/2006/main">
          <x14:cfRule type="dataBar" id="{5EB7B90B-7FF2-4F50-A1BA-0BEFFAC6E799}">
            <x14:dataBar minLength="0" maxLength="100" border="1" negativeBarBorderColorSameAsPositive="0">
              <x14:cfvo type="autoMin"/>
              <x14:cfvo type="autoMax"/>
              <x14:borderColor rgb="FF638EC6"/>
              <x14:negativeFillColor rgb="FFFF0000"/>
              <x14:negativeBorderColor rgb="FFFF0000"/>
              <x14:axisColor rgb="FF000000"/>
            </x14:dataBar>
          </x14:cfRule>
          <xm:sqref>R97:R101</xm:sqref>
        </x14:conditionalFormatting>
        <x14:conditionalFormatting xmlns:xm="http://schemas.microsoft.com/office/excel/2006/main">
          <x14:cfRule type="dataBar" id="{1A87C915-914D-461B-B906-F7A8DCD940D7}">
            <x14:dataBar minLength="0" maxLength="100" border="1" negativeBarBorderColorSameAsPositive="0">
              <x14:cfvo type="autoMin"/>
              <x14:cfvo type="autoMax"/>
              <x14:borderColor rgb="FFFFB628"/>
              <x14:negativeFillColor rgb="FFFF0000"/>
              <x14:negativeBorderColor rgb="FFFF0000"/>
              <x14:axisColor rgb="FF000000"/>
            </x14:dataBar>
          </x14:cfRule>
          <xm:sqref>F83:F84</xm:sqref>
        </x14:conditionalFormatting>
        <x14:conditionalFormatting xmlns:xm="http://schemas.microsoft.com/office/excel/2006/main">
          <x14:cfRule type="dataBar" id="{E731AAA4-6901-4A0E-B8FB-D444478DF2F8}">
            <x14:dataBar minLength="0" maxLength="100" border="1" negativeBarBorderColorSameAsPositive="0">
              <x14:cfvo type="autoMin"/>
              <x14:cfvo type="autoMax"/>
              <x14:borderColor rgb="FFFFB628"/>
              <x14:negativeFillColor rgb="FFFF0000"/>
              <x14:negativeBorderColor rgb="FFFF0000"/>
              <x14:axisColor rgb="FF000000"/>
            </x14:dataBar>
          </x14:cfRule>
          <xm:sqref>F80</xm:sqref>
        </x14:conditionalFormatting>
        <x14:conditionalFormatting xmlns:xm="http://schemas.microsoft.com/office/excel/2006/main">
          <x14:cfRule type="dataBar" id="{CC8435CB-3084-42CB-9D99-33A13E5FF905}">
            <x14:dataBar minLength="0" maxLength="100" border="1" negativeBarBorderColorSameAsPositive="0">
              <x14:cfvo type="autoMin"/>
              <x14:cfvo type="autoMax"/>
              <x14:borderColor rgb="FFFFB628"/>
              <x14:negativeFillColor rgb="FFFF0000"/>
              <x14:negativeBorderColor rgb="FFFF0000"/>
              <x14:axisColor rgb="FF000000"/>
            </x14:dataBar>
          </x14:cfRule>
          <xm:sqref>F81:F82 F86</xm:sqref>
        </x14:conditionalFormatting>
        <x14:conditionalFormatting xmlns:xm="http://schemas.microsoft.com/office/excel/2006/main">
          <x14:cfRule type="dataBar" id="{5D87A65A-095E-4F87-A5DB-20CEF1FC9970}">
            <x14:dataBar minLength="0" maxLength="100" border="1" negativeBarBorderColorSameAsPositive="0">
              <x14:cfvo type="autoMin"/>
              <x14:cfvo type="autoMax"/>
              <x14:borderColor rgb="FFFFB628"/>
              <x14:negativeFillColor rgb="FFFF0000"/>
              <x14:negativeBorderColor rgb="FFFF0000"/>
              <x14:axisColor rgb="FF000000"/>
            </x14:dataBar>
          </x14:cfRule>
          <xm:sqref>F100</xm:sqref>
        </x14:conditionalFormatting>
        <x14:conditionalFormatting xmlns:xm="http://schemas.microsoft.com/office/excel/2006/main">
          <x14:cfRule type="dataBar" id="{34B702D8-28B5-421B-9414-B1B533F8128E}">
            <x14:dataBar minLength="0" maxLength="100" border="1" negativeBarBorderColorSameAsPositive="0">
              <x14:cfvo type="autoMin"/>
              <x14:cfvo type="autoMax"/>
              <x14:borderColor rgb="FFFFB628"/>
              <x14:negativeFillColor rgb="FFFF0000"/>
              <x14:negativeBorderColor rgb="FFFF0000"/>
              <x14:axisColor rgb="FF000000"/>
            </x14:dataBar>
          </x14:cfRule>
          <xm:sqref>F95:F103</xm:sqref>
        </x14:conditionalFormatting>
        <x14:conditionalFormatting xmlns:xm="http://schemas.microsoft.com/office/excel/2006/main">
          <x14:cfRule type="dataBar" id="{E0680CB9-BADD-4868-95F5-D8E25B86A5CF}">
            <x14:dataBar minLength="0" maxLength="100" border="1" negativeBarBorderColorSameAsPositive="0">
              <x14:cfvo type="autoMin"/>
              <x14:cfvo type="autoMax"/>
              <x14:borderColor rgb="FFFFB628"/>
              <x14:negativeFillColor rgb="FFFF0000"/>
              <x14:negativeBorderColor rgb="FFFF0000"/>
              <x14:axisColor rgb="FF000000"/>
            </x14:dataBar>
          </x14:cfRule>
          <xm:sqref>F79</xm:sqref>
        </x14:conditionalFormatting>
        <x14:conditionalFormatting xmlns:xm="http://schemas.microsoft.com/office/excel/2006/main">
          <x14:cfRule type="dataBar" id="{89E54DDB-92B2-45E9-A2F1-820B366AA858}">
            <x14:dataBar minLength="0" maxLength="100" border="1" negativeBarBorderColorSameAsPositive="0">
              <x14:cfvo type="autoMin"/>
              <x14:cfvo type="autoMax"/>
              <x14:borderColor rgb="FFFFB628"/>
              <x14:negativeFillColor rgb="FFFF0000"/>
              <x14:negativeBorderColor rgb="FFFF0000"/>
              <x14:axisColor rgb="FF000000"/>
            </x14:dataBar>
          </x14:cfRule>
          <xm:sqref>F79</xm:sqref>
        </x14:conditionalFormatting>
        <x14:conditionalFormatting xmlns:xm="http://schemas.microsoft.com/office/excel/2006/main">
          <x14:cfRule type="dataBar" id="{942DAC5E-F5C1-4718-8E4D-089F35F63433}">
            <x14:dataBar minLength="0" maxLength="100" border="1" negativeBarBorderColorSameAsPositive="0">
              <x14:cfvo type="autoMin"/>
              <x14:cfvo type="autoMax"/>
              <x14:borderColor rgb="FFFFB628"/>
              <x14:negativeFillColor rgb="FFFF0000"/>
              <x14:negativeBorderColor rgb="FFFF0000"/>
              <x14:axisColor rgb="FF000000"/>
            </x14:dataBar>
          </x14:cfRule>
          <xm:sqref>F89</xm:sqref>
        </x14:conditionalFormatting>
        <x14:conditionalFormatting xmlns:xm="http://schemas.microsoft.com/office/excel/2006/main">
          <x14:cfRule type="dataBar" id="{9FF9D7BE-3DA2-41F4-A0C4-B4717DF5A7CC}">
            <x14:dataBar minLength="0" maxLength="100" border="1" negativeBarBorderColorSameAsPositive="0">
              <x14:cfvo type="autoMin"/>
              <x14:cfvo type="autoMax"/>
              <x14:borderColor rgb="FFFFB628"/>
              <x14:negativeFillColor rgb="FFFF0000"/>
              <x14:negativeBorderColor rgb="FFFF0000"/>
              <x14:axisColor rgb="FF000000"/>
            </x14:dataBar>
          </x14:cfRule>
          <xm:sqref>F89</xm:sqref>
        </x14:conditionalFormatting>
        <x14:conditionalFormatting xmlns:xm="http://schemas.microsoft.com/office/excel/2006/main">
          <x14:cfRule type="dataBar" id="{B2EDED80-4981-4E8E-8A2C-E5FB61EEAEBC}">
            <x14:dataBar minLength="0" maxLength="100" border="1" negativeBarBorderColorSameAsPositive="0">
              <x14:cfvo type="autoMin"/>
              <x14:cfvo type="autoMax"/>
              <x14:borderColor rgb="FFFFB628"/>
              <x14:negativeFillColor rgb="FFFF0000"/>
              <x14:negativeBorderColor rgb="FFFF0000"/>
              <x14:axisColor rgb="FF000000"/>
            </x14:dataBar>
          </x14:cfRule>
          <xm:sqref>F87</xm:sqref>
        </x14:conditionalFormatting>
        <x14:conditionalFormatting xmlns:xm="http://schemas.microsoft.com/office/excel/2006/main">
          <x14:cfRule type="dataBar" id="{3E2461C4-73EF-4A0F-B537-0467DB2FAF69}">
            <x14:dataBar minLength="0" maxLength="100" border="1" negativeBarBorderColorSameAsPositive="0">
              <x14:cfvo type="autoMin"/>
              <x14:cfvo type="autoMax"/>
              <x14:borderColor rgb="FFFFB628"/>
              <x14:negativeFillColor rgb="FFFF0000"/>
              <x14:negativeBorderColor rgb="FFFF0000"/>
              <x14:axisColor rgb="FF000000"/>
            </x14:dataBar>
          </x14:cfRule>
          <xm:sqref>F87</xm:sqref>
        </x14:conditionalFormatting>
        <x14:conditionalFormatting xmlns:xm="http://schemas.microsoft.com/office/excel/2006/main">
          <x14:cfRule type="dataBar" id="{A3C90AED-0EB2-4D7A-846F-75F27032253A}">
            <x14:dataBar minLength="0" maxLength="100" border="1" negativeBarBorderColorSameAsPositive="0">
              <x14:cfvo type="autoMin"/>
              <x14:cfvo type="autoMax"/>
              <x14:borderColor rgb="FFFFB628"/>
              <x14:negativeFillColor rgb="FFFF0000"/>
              <x14:negativeBorderColor rgb="FFFF0000"/>
              <x14:axisColor rgb="FF000000"/>
            </x14:dataBar>
          </x14:cfRule>
          <xm:sqref>F88</xm:sqref>
        </x14:conditionalFormatting>
        <x14:conditionalFormatting xmlns:xm="http://schemas.microsoft.com/office/excel/2006/main">
          <x14:cfRule type="dataBar" id="{74AABEDC-E0AD-4BED-926E-FA2139D10372}">
            <x14:dataBar minLength="0" maxLength="100" border="1" negativeBarBorderColorSameAsPositive="0">
              <x14:cfvo type="autoMin"/>
              <x14:cfvo type="autoMax"/>
              <x14:borderColor rgb="FFFFB628"/>
              <x14:negativeFillColor rgb="FFFF0000"/>
              <x14:negativeBorderColor rgb="FFFF0000"/>
              <x14:axisColor rgb="FF000000"/>
            </x14:dataBar>
          </x14:cfRule>
          <xm:sqref>F88</xm:sqref>
        </x14:conditionalFormatting>
        <x14:conditionalFormatting xmlns:xm="http://schemas.microsoft.com/office/excel/2006/main">
          <x14:cfRule type="dataBar" id="{3FB9240A-1813-4117-B34E-0299F7A0E038}">
            <x14:dataBar minLength="0" maxLength="100" border="1" negativeBarBorderColorSameAsPositive="0">
              <x14:cfvo type="autoMin"/>
              <x14:cfvo type="autoMax"/>
              <x14:borderColor rgb="FFFFB628"/>
              <x14:negativeFillColor rgb="FFFF0000"/>
              <x14:negativeBorderColor rgb="FFFF0000"/>
              <x14:axisColor rgb="FF000000"/>
            </x14:dataBar>
          </x14:cfRule>
          <xm:sqref>F80:F84 F86</xm:sqref>
        </x14:conditionalFormatting>
        <x14:conditionalFormatting xmlns:xm="http://schemas.microsoft.com/office/excel/2006/main">
          <x14:cfRule type="dataBar" id="{2EE39DCE-158F-43C9-9F47-DB39CAEF912D}">
            <x14:dataBar minLength="0" maxLength="100" border="1" negativeBarBorderColorSameAsPositive="0">
              <x14:cfvo type="autoMin"/>
              <x14:cfvo type="autoMax"/>
              <x14:borderColor rgb="FFFFB628"/>
              <x14:negativeFillColor rgb="FFFF0000"/>
              <x14:negativeBorderColor rgb="FFFF0000"/>
              <x14:axisColor rgb="FF000000"/>
            </x14:dataBar>
          </x14:cfRule>
          <xm:sqref>F85</xm:sqref>
        </x14:conditionalFormatting>
        <x14:conditionalFormatting xmlns:xm="http://schemas.microsoft.com/office/excel/2006/main">
          <x14:cfRule type="dataBar" id="{10487E9C-5CAC-49A0-8C70-FD873AF38A78}">
            <x14:dataBar minLength="0" maxLength="100" border="1" negativeBarBorderColorSameAsPositive="0">
              <x14:cfvo type="autoMin"/>
              <x14:cfvo type="autoMax"/>
              <x14:borderColor rgb="FFFFB628"/>
              <x14:negativeFillColor rgb="FFFF0000"/>
              <x14:negativeBorderColor rgb="FFFF0000"/>
              <x14:axisColor rgb="FF000000"/>
            </x14:dataBar>
          </x14:cfRule>
          <xm:sqref>F85</xm:sqref>
        </x14:conditionalFormatting>
        <x14:conditionalFormatting xmlns:xm="http://schemas.microsoft.com/office/excel/2006/main">
          <x14:cfRule type="dataBar" id="{0F847C68-B9EB-4A09-9734-33DB7B571DE8}">
            <x14:dataBar minLength="0" maxLength="100" border="1" negativeBarBorderColorSameAsPositive="0">
              <x14:cfvo type="autoMin"/>
              <x14:cfvo type="autoMax"/>
              <x14:borderColor rgb="FFFFB628"/>
              <x14:negativeFillColor rgb="FFFF0000"/>
              <x14:negativeBorderColor rgb="FFFF0000"/>
              <x14:axisColor rgb="FF000000"/>
            </x14:dataBar>
          </x14:cfRule>
          <xm:sqref>F95:F97 F103</xm:sqref>
        </x14:conditionalFormatting>
        <x14:conditionalFormatting xmlns:xm="http://schemas.microsoft.com/office/excel/2006/main">
          <x14:cfRule type="dataBar" id="{6D1532DC-F13D-4685-9EC1-8294A86A2527}">
            <x14:dataBar minLength="0" maxLength="100" border="1" negativeBarBorderColorSameAsPositive="0">
              <x14:cfvo type="autoMin"/>
              <x14:cfvo type="autoMax"/>
              <x14:borderColor rgb="FFFFB628"/>
              <x14:negativeFillColor rgb="FFFF0000"/>
              <x14:negativeBorderColor rgb="FFFF0000"/>
              <x14:axisColor rgb="FF000000"/>
            </x14:dataBar>
          </x14:cfRule>
          <xm:sqref>F79:F89</xm:sqref>
        </x14:conditionalFormatting>
        <x14:conditionalFormatting xmlns:xm="http://schemas.microsoft.com/office/excel/2006/main">
          <x14:cfRule type="dataBar" id="{34689926-AB85-4EFD-A4CD-53E87EB95ECA}">
            <x14:dataBar minLength="0" maxLength="100" border="1" negativeBarBorderColorSameAsPositive="0">
              <x14:cfvo type="autoMin"/>
              <x14:cfvo type="autoMax"/>
              <x14:borderColor rgb="FFFFB628"/>
              <x14:negativeFillColor rgb="FFFF0000"/>
              <x14:negativeBorderColor rgb="FFFF0000"/>
              <x14:axisColor rgb="FF000000"/>
            </x14:dataBar>
          </x14:cfRule>
          <xm:sqref>F114</xm:sqref>
        </x14:conditionalFormatting>
        <x14:conditionalFormatting xmlns:xm="http://schemas.microsoft.com/office/excel/2006/main">
          <x14:cfRule type="dataBar" id="{284BA284-4928-4B9C-8459-6CDA43C72EE1}">
            <x14:dataBar minLength="0" maxLength="100" border="1" negativeBarBorderColorSameAsPositive="0">
              <x14:cfvo type="autoMin"/>
              <x14:cfvo type="autoMax"/>
              <x14:borderColor rgb="FFFFB628"/>
              <x14:negativeFillColor rgb="FFFF0000"/>
              <x14:negativeBorderColor rgb="FFFF0000"/>
              <x14:axisColor rgb="FF000000"/>
            </x14:dataBar>
          </x14:cfRule>
          <xm:sqref>F109:F117</xm:sqref>
        </x14:conditionalFormatting>
        <x14:conditionalFormatting xmlns:xm="http://schemas.microsoft.com/office/excel/2006/main">
          <x14:cfRule type="dataBar" id="{F34EB54C-8946-44DD-8972-2067E86E6577}">
            <x14:dataBar minLength="0" maxLength="100" border="1" negativeBarBorderColorSameAsPositive="0">
              <x14:cfvo type="autoMin"/>
              <x14:cfvo type="autoMax"/>
              <x14:borderColor rgb="FFFFB628"/>
              <x14:negativeFillColor rgb="FFFF0000"/>
              <x14:negativeBorderColor rgb="FFFF0000"/>
              <x14:axisColor rgb="FF000000"/>
            </x14:dataBar>
          </x14:cfRule>
          <xm:sqref>F109:F111 F117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BBE4F-D6BA-43CA-BA5F-DF24F7F0F589}">
  <dimension ref="B1:AO146"/>
  <sheetViews>
    <sheetView workbookViewId="0"/>
  </sheetViews>
  <sheetFormatPr defaultRowHeight="14.4" x14ac:dyDescent="0.3"/>
  <cols>
    <col min="2" max="2" width="8.88671875" customWidth="1"/>
    <col min="3" max="3" width="18.109375" customWidth="1"/>
    <col min="4" max="4" width="14.33203125" customWidth="1"/>
    <col min="5" max="5" width="18.21875" customWidth="1"/>
    <col min="6" max="6" width="21" customWidth="1"/>
    <col min="7" max="7" width="9.6640625" customWidth="1"/>
    <col min="8" max="8" width="22.6640625" customWidth="1"/>
    <col min="9" max="9" width="15.6640625" customWidth="1"/>
    <col min="10" max="10" width="17.88671875" customWidth="1"/>
    <col min="11" max="12" width="10" customWidth="1"/>
    <col min="13" max="13" width="8.88671875" customWidth="1"/>
    <col min="14" max="14" width="12.88671875" customWidth="1"/>
    <col min="15" max="15" width="10.5546875" customWidth="1"/>
    <col min="16" max="16" width="7.77734375" customWidth="1"/>
    <col min="17" max="17" width="9.6640625" customWidth="1"/>
    <col min="18" max="18" width="10.6640625" customWidth="1"/>
    <col min="19" max="19" width="9.88671875" customWidth="1"/>
    <col min="20" max="20" width="11.21875" customWidth="1"/>
    <col min="21" max="21" width="10.88671875" customWidth="1"/>
    <col min="22" max="22" width="10.5546875" customWidth="1"/>
    <col min="24" max="24" width="11" customWidth="1"/>
    <col min="25" max="25" width="10.77734375" customWidth="1"/>
    <col min="26" max="26" width="9.77734375" customWidth="1"/>
    <col min="27" max="28" width="10.77734375" customWidth="1"/>
    <col min="29" max="29" width="10.77734375" bestFit="1" customWidth="1"/>
    <col min="30" max="30" width="10.109375" customWidth="1"/>
    <col min="31" max="31" width="10.5546875" customWidth="1"/>
    <col min="32" max="32" width="10.44140625" customWidth="1"/>
    <col min="33" max="33" width="10.88671875" customWidth="1"/>
    <col min="34" max="34" width="9.44140625" customWidth="1"/>
    <col min="35" max="35" width="9.88671875" customWidth="1"/>
    <col min="36" max="36" width="10.44140625" customWidth="1"/>
    <col min="37" max="37" width="10.109375" customWidth="1"/>
    <col min="38" max="38" width="10.88671875" customWidth="1"/>
    <col min="39" max="39" width="10.6640625" customWidth="1"/>
    <col min="40" max="41" width="10.44140625" customWidth="1"/>
    <col min="42" max="42" width="9.88671875" customWidth="1"/>
    <col min="43" max="43" width="10.109375" customWidth="1"/>
    <col min="49" max="49" width="9.77734375" customWidth="1"/>
    <col min="53" max="53" width="11.44140625" customWidth="1"/>
    <col min="57" max="57" width="9.88671875" customWidth="1"/>
    <col min="59" max="59" width="9.77734375" customWidth="1"/>
    <col min="63" max="63" width="9.77734375" customWidth="1"/>
    <col min="65" max="65" width="9.88671875" customWidth="1"/>
    <col min="66" max="66" width="11.33203125" customWidth="1"/>
    <col min="67" max="67" width="11.5546875" customWidth="1"/>
    <col min="68" max="68" width="12.6640625" customWidth="1"/>
    <col min="69" max="69" width="15.33203125" customWidth="1"/>
    <col min="70" max="70" width="12" customWidth="1"/>
    <col min="71" max="71" width="11.6640625" customWidth="1"/>
    <col min="72" max="72" width="10.6640625" customWidth="1"/>
    <col min="73" max="73" width="11.5546875" customWidth="1"/>
    <col min="74" max="74" width="14" customWidth="1"/>
    <col min="75" max="75" width="11.5546875" customWidth="1"/>
  </cols>
  <sheetData>
    <row r="1" spans="2:41" ht="15" thickBot="1" x14ac:dyDescent="0.35"/>
    <row r="2" spans="2:41" ht="15" thickBot="1" x14ac:dyDescent="0.35">
      <c r="B2" s="337" t="s">
        <v>5</v>
      </c>
      <c r="C2" s="338"/>
      <c r="D2" s="338"/>
      <c r="E2" s="338"/>
      <c r="F2" s="338"/>
      <c r="G2" s="338"/>
      <c r="H2" s="338"/>
      <c r="I2" s="338"/>
      <c r="J2" s="339"/>
      <c r="L2" s="252" t="s">
        <v>98</v>
      </c>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6"/>
    </row>
    <row r="3" spans="2:41" ht="14.4" customHeight="1" thickBot="1" x14ac:dyDescent="0.35">
      <c r="B3" s="340"/>
      <c r="C3" s="341"/>
      <c r="D3" s="341"/>
      <c r="E3" s="341"/>
      <c r="F3" s="341"/>
      <c r="G3" s="341"/>
      <c r="H3" s="341"/>
      <c r="I3" s="341"/>
      <c r="J3" s="342"/>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row>
    <row r="4" spans="2:41" ht="14.4" customHeight="1" thickBot="1" x14ac:dyDescent="0.35">
      <c r="B4" s="340"/>
      <c r="C4" s="341"/>
      <c r="D4" s="341"/>
      <c r="E4" s="341"/>
      <c r="F4" s="341"/>
      <c r="G4" s="341"/>
      <c r="H4" s="341"/>
      <c r="I4" s="341"/>
      <c r="J4" s="342"/>
      <c r="K4" s="37"/>
      <c r="L4" s="382" t="s">
        <v>145</v>
      </c>
      <c r="M4" s="382"/>
      <c r="N4" s="382"/>
      <c r="O4" s="382"/>
      <c r="P4" s="382"/>
      <c r="Q4" s="382"/>
      <c r="R4" s="382" t="s">
        <v>99</v>
      </c>
      <c r="S4" s="382"/>
      <c r="T4" s="382"/>
      <c r="U4" s="382"/>
      <c r="V4" s="382"/>
      <c r="W4" s="382"/>
      <c r="X4" s="382" t="s">
        <v>57</v>
      </c>
      <c r="Y4" s="382"/>
      <c r="Z4" s="382"/>
      <c r="AA4" s="382"/>
      <c r="AB4" s="382"/>
      <c r="AC4" s="382"/>
      <c r="AD4" s="382" t="s">
        <v>146</v>
      </c>
      <c r="AE4" s="383"/>
      <c r="AF4" s="383"/>
      <c r="AG4" s="383"/>
      <c r="AH4" s="383"/>
      <c r="AI4" s="383"/>
      <c r="AJ4" s="382" t="s">
        <v>147</v>
      </c>
      <c r="AK4" s="383"/>
      <c r="AL4" s="383"/>
      <c r="AM4" s="383"/>
      <c r="AN4" s="383"/>
      <c r="AO4" s="383"/>
    </row>
    <row r="5" spans="2:41" ht="15" customHeight="1" thickBot="1" x14ac:dyDescent="0.35">
      <c r="B5" s="343"/>
      <c r="C5" s="344"/>
      <c r="D5" s="344"/>
      <c r="E5" s="344"/>
      <c r="F5" s="344"/>
      <c r="G5" s="344"/>
      <c r="H5" s="344"/>
      <c r="I5" s="344"/>
      <c r="J5" s="345"/>
      <c r="K5" s="39"/>
      <c r="L5" s="382"/>
      <c r="M5" s="382"/>
      <c r="N5" s="382"/>
      <c r="O5" s="382"/>
      <c r="P5" s="382"/>
      <c r="Q5" s="382"/>
      <c r="R5" s="382"/>
      <c r="S5" s="382"/>
      <c r="T5" s="382"/>
      <c r="U5" s="382"/>
      <c r="V5" s="382"/>
      <c r="W5" s="382"/>
      <c r="X5" s="382"/>
      <c r="Y5" s="382"/>
      <c r="Z5" s="382"/>
      <c r="AA5" s="382"/>
      <c r="AB5" s="382"/>
      <c r="AC5" s="382"/>
      <c r="AD5" s="383"/>
      <c r="AE5" s="383"/>
      <c r="AF5" s="383"/>
      <c r="AG5" s="383"/>
      <c r="AH5" s="383"/>
      <c r="AI5" s="383"/>
      <c r="AJ5" s="383"/>
      <c r="AK5" s="383"/>
      <c r="AL5" s="383"/>
      <c r="AM5" s="383"/>
      <c r="AN5" s="383"/>
      <c r="AO5" s="383"/>
    </row>
    <row r="6" spans="2:41" ht="15" customHeight="1" thickBot="1" x14ac:dyDescent="0.35">
      <c r="K6" s="39"/>
      <c r="L6" s="382"/>
      <c r="M6" s="382"/>
      <c r="N6" s="382"/>
      <c r="O6" s="382"/>
      <c r="P6" s="382"/>
      <c r="Q6" s="382"/>
      <c r="R6" s="382"/>
      <c r="S6" s="382"/>
      <c r="T6" s="382"/>
      <c r="U6" s="382"/>
      <c r="V6" s="382"/>
      <c r="W6" s="382"/>
      <c r="X6" s="382"/>
      <c r="Y6" s="382"/>
      <c r="Z6" s="382"/>
      <c r="AA6" s="382"/>
      <c r="AB6" s="382"/>
      <c r="AC6" s="382"/>
      <c r="AD6" s="383"/>
      <c r="AE6" s="383"/>
      <c r="AF6" s="383"/>
      <c r="AG6" s="383"/>
      <c r="AH6" s="383"/>
      <c r="AI6" s="383"/>
      <c r="AJ6" s="383"/>
      <c r="AK6" s="383"/>
      <c r="AL6" s="383"/>
      <c r="AM6" s="383"/>
      <c r="AN6" s="383"/>
      <c r="AO6" s="383"/>
    </row>
    <row r="7" spans="2:41" ht="15" thickBot="1" x14ac:dyDescent="0.35">
      <c r="C7" s="19" t="s">
        <v>2</v>
      </c>
      <c r="D7" s="20" t="s">
        <v>0</v>
      </c>
      <c r="E7" s="21" t="s">
        <v>1</v>
      </c>
      <c r="F7" s="21" t="s">
        <v>4</v>
      </c>
      <c r="G7" s="353" t="s">
        <v>104</v>
      </c>
      <c r="H7" s="354"/>
      <c r="I7" s="353" t="s">
        <v>105</v>
      </c>
      <c r="J7" s="312"/>
      <c r="L7" s="384" t="s">
        <v>38</v>
      </c>
      <c r="M7" s="384"/>
      <c r="N7" s="384"/>
      <c r="O7" s="384" t="s">
        <v>39</v>
      </c>
      <c r="P7" s="384"/>
      <c r="Q7" s="384"/>
      <c r="R7" s="422" t="s">
        <v>38</v>
      </c>
      <c r="S7" s="384"/>
      <c r="T7" s="384"/>
      <c r="U7" s="384" t="s">
        <v>39</v>
      </c>
      <c r="V7" s="384"/>
      <c r="W7" s="384"/>
      <c r="X7" s="384" t="s">
        <v>38</v>
      </c>
      <c r="Y7" s="384"/>
      <c r="Z7" s="384"/>
      <c r="AA7" s="384" t="s">
        <v>39</v>
      </c>
      <c r="AB7" s="384"/>
      <c r="AC7" s="384"/>
      <c r="AD7" s="384" t="s">
        <v>38</v>
      </c>
      <c r="AE7" s="384"/>
      <c r="AF7" s="384"/>
      <c r="AG7" s="384" t="s">
        <v>39</v>
      </c>
      <c r="AH7" s="384"/>
      <c r="AI7" s="384"/>
      <c r="AJ7" s="384" t="s">
        <v>38</v>
      </c>
      <c r="AK7" s="384"/>
      <c r="AL7" s="384"/>
      <c r="AM7" s="384" t="s">
        <v>39</v>
      </c>
      <c r="AN7" s="384"/>
      <c r="AO7" s="384"/>
    </row>
    <row r="8" spans="2:41" x14ac:dyDescent="0.3">
      <c r="B8" s="167">
        <v>1</v>
      </c>
      <c r="C8" s="13"/>
      <c r="D8" s="169" t="s">
        <v>7</v>
      </c>
      <c r="E8" s="169" t="s">
        <v>13</v>
      </c>
      <c r="F8" s="169" t="s">
        <v>103</v>
      </c>
      <c r="G8" s="379" t="s">
        <v>36</v>
      </c>
      <c r="H8" s="380"/>
      <c r="I8" s="379" t="s">
        <v>36</v>
      </c>
      <c r="J8" s="381"/>
      <c r="L8" s="295" t="s">
        <v>77</v>
      </c>
      <c r="M8" s="291"/>
      <c r="N8" s="360"/>
      <c r="O8" s="395" t="s">
        <v>74</v>
      </c>
      <c r="P8" s="396"/>
      <c r="Q8" s="428"/>
      <c r="R8" s="295" t="s">
        <v>49</v>
      </c>
      <c r="S8" s="291"/>
      <c r="T8" s="360"/>
      <c r="U8" s="295" t="s">
        <v>48</v>
      </c>
      <c r="V8" s="291"/>
      <c r="W8" s="360"/>
      <c r="X8" s="295" t="s">
        <v>58</v>
      </c>
      <c r="Y8" s="291"/>
      <c r="Z8" s="360"/>
      <c r="AA8" s="295" t="s">
        <v>48</v>
      </c>
      <c r="AB8" s="291"/>
      <c r="AC8" s="360"/>
      <c r="AD8" s="295" t="s">
        <v>87</v>
      </c>
      <c r="AE8" s="291"/>
      <c r="AF8" s="360"/>
      <c r="AG8" s="295" t="s">
        <v>86</v>
      </c>
      <c r="AH8" s="291"/>
      <c r="AI8" s="360"/>
      <c r="AJ8" s="380" t="s">
        <v>96</v>
      </c>
      <c r="AK8" s="291"/>
      <c r="AL8" s="360"/>
      <c r="AM8" s="429" t="s">
        <v>95</v>
      </c>
      <c r="AN8" s="396"/>
      <c r="AO8" s="428"/>
    </row>
    <row r="9" spans="2:41" x14ac:dyDescent="0.3">
      <c r="B9" s="14">
        <v>2</v>
      </c>
      <c r="C9" s="6"/>
      <c r="D9" s="170" t="s">
        <v>7</v>
      </c>
      <c r="E9" s="170" t="s">
        <v>13</v>
      </c>
      <c r="F9" s="170" t="s">
        <v>103</v>
      </c>
      <c r="G9" s="356" t="s">
        <v>36</v>
      </c>
      <c r="H9" s="357"/>
      <c r="I9" s="356" t="s">
        <v>35</v>
      </c>
      <c r="J9" s="269"/>
      <c r="L9" s="385" t="s">
        <v>81</v>
      </c>
      <c r="M9" s="349"/>
      <c r="N9" s="350"/>
      <c r="O9" s="385" t="s">
        <v>77</v>
      </c>
      <c r="P9" s="349"/>
      <c r="Q9" s="350"/>
      <c r="R9" s="385" t="s">
        <v>49</v>
      </c>
      <c r="S9" s="349"/>
      <c r="T9" s="350"/>
      <c r="U9" s="385" t="s">
        <v>54</v>
      </c>
      <c r="V9" s="349"/>
      <c r="W9" s="350"/>
      <c r="X9" s="385" t="s">
        <v>59</v>
      </c>
      <c r="Y9" s="349"/>
      <c r="Z9" s="350"/>
      <c r="AA9" s="385" t="s">
        <v>58</v>
      </c>
      <c r="AB9" s="349"/>
      <c r="AC9" s="350"/>
      <c r="AD9" s="385" t="s">
        <v>88</v>
      </c>
      <c r="AE9" s="349"/>
      <c r="AF9" s="350"/>
      <c r="AG9" s="385" t="s">
        <v>87</v>
      </c>
      <c r="AH9" s="349"/>
      <c r="AI9" s="350"/>
      <c r="AJ9" s="357" t="s">
        <v>96</v>
      </c>
      <c r="AK9" s="349"/>
      <c r="AL9" s="350"/>
      <c r="AM9" s="357" t="s">
        <v>97</v>
      </c>
      <c r="AN9" s="349"/>
      <c r="AO9" s="350"/>
    </row>
    <row r="10" spans="2:41" x14ac:dyDescent="0.3">
      <c r="B10" s="15">
        <v>3</v>
      </c>
      <c r="C10" s="5"/>
      <c r="D10" s="166" t="s">
        <v>8</v>
      </c>
      <c r="E10" s="166" t="s">
        <v>14</v>
      </c>
      <c r="F10" s="166" t="s">
        <v>103</v>
      </c>
      <c r="G10" s="358" t="s">
        <v>34</v>
      </c>
      <c r="H10" s="359"/>
      <c r="I10" s="358" t="s">
        <v>34</v>
      </c>
      <c r="J10" s="275"/>
      <c r="L10" s="270" t="s">
        <v>78</v>
      </c>
      <c r="M10" s="271"/>
      <c r="N10" s="273"/>
      <c r="O10" s="270" t="s">
        <v>74</v>
      </c>
      <c r="P10" s="271"/>
      <c r="Q10" s="273"/>
      <c r="R10" s="270" t="s">
        <v>49</v>
      </c>
      <c r="S10" s="271"/>
      <c r="T10" s="273"/>
      <c r="U10" s="270" t="s">
        <v>48</v>
      </c>
      <c r="V10" s="271"/>
      <c r="W10" s="273"/>
      <c r="X10" s="270" t="s">
        <v>58</v>
      </c>
      <c r="Y10" s="271"/>
      <c r="Z10" s="273"/>
      <c r="AA10" s="270" t="s">
        <v>48</v>
      </c>
      <c r="AB10" s="271"/>
      <c r="AC10" s="273"/>
      <c r="AD10" s="270" t="s">
        <v>87</v>
      </c>
      <c r="AE10" s="271"/>
      <c r="AF10" s="273"/>
      <c r="AG10" s="270" t="s">
        <v>86</v>
      </c>
      <c r="AH10" s="271"/>
      <c r="AI10" s="273"/>
      <c r="AJ10" s="359" t="s">
        <v>96</v>
      </c>
      <c r="AK10" s="271"/>
      <c r="AL10" s="273"/>
      <c r="AM10" s="359" t="s">
        <v>96</v>
      </c>
      <c r="AN10" s="271"/>
      <c r="AO10" s="273"/>
    </row>
    <row r="11" spans="2:41" x14ac:dyDescent="0.3">
      <c r="B11" s="14">
        <v>4</v>
      </c>
      <c r="C11" s="6"/>
      <c r="D11" s="170" t="s">
        <v>7</v>
      </c>
      <c r="E11" s="170" t="s">
        <v>13</v>
      </c>
      <c r="F11" s="170" t="s">
        <v>103</v>
      </c>
      <c r="G11" s="356" t="s">
        <v>36</v>
      </c>
      <c r="H11" s="357"/>
      <c r="I11" s="356" t="s">
        <v>36</v>
      </c>
      <c r="J11" s="269"/>
      <c r="L11" s="385" t="s">
        <v>77</v>
      </c>
      <c r="M11" s="349"/>
      <c r="N11" s="350"/>
      <c r="O11" s="385" t="s">
        <v>74</v>
      </c>
      <c r="P11" s="349"/>
      <c r="Q11" s="350"/>
      <c r="R11" s="385" t="s">
        <v>49</v>
      </c>
      <c r="S11" s="349"/>
      <c r="T11" s="350"/>
      <c r="U11" s="385" t="s">
        <v>48</v>
      </c>
      <c r="V11" s="349"/>
      <c r="W11" s="350"/>
      <c r="X11" s="385" t="s">
        <v>58</v>
      </c>
      <c r="Y11" s="349"/>
      <c r="Z11" s="350"/>
      <c r="AA11" s="385" t="s">
        <v>48</v>
      </c>
      <c r="AB11" s="349"/>
      <c r="AC11" s="350"/>
      <c r="AD11" s="385" t="s">
        <v>87</v>
      </c>
      <c r="AE11" s="349"/>
      <c r="AF11" s="350"/>
      <c r="AG11" s="385" t="s">
        <v>86</v>
      </c>
      <c r="AH11" s="349"/>
      <c r="AI11" s="350"/>
      <c r="AJ11" s="357" t="s">
        <v>95</v>
      </c>
      <c r="AK11" s="349"/>
      <c r="AL11" s="350"/>
      <c r="AM11" s="357" t="s">
        <v>96</v>
      </c>
      <c r="AN11" s="349"/>
      <c r="AO11" s="350"/>
    </row>
    <row r="12" spans="2:41" x14ac:dyDescent="0.3">
      <c r="B12" s="15">
        <v>5</v>
      </c>
      <c r="C12" s="5"/>
      <c r="D12" s="166" t="s">
        <v>7</v>
      </c>
      <c r="E12" s="166" t="s">
        <v>13</v>
      </c>
      <c r="F12" s="166" t="s">
        <v>106</v>
      </c>
      <c r="G12" s="358" t="s">
        <v>36</v>
      </c>
      <c r="H12" s="359"/>
      <c r="I12" s="358" t="s">
        <v>36</v>
      </c>
      <c r="J12" s="275"/>
      <c r="L12" s="270" t="s">
        <v>76</v>
      </c>
      <c r="M12" s="271"/>
      <c r="N12" s="273"/>
      <c r="O12" s="270" t="s">
        <v>74</v>
      </c>
      <c r="P12" s="271"/>
      <c r="Q12" s="273"/>
      <c r="R12" s="270" t="s">
        <v>83</v>
      </c>
      <c r="S12" s="271"/>
      <c r="T12" s="273"/>
      <c r="U12" s="270" t="s">
        <v>48</v>
      </c>
      <c r="V12" s="271"/>
      <c r="W12" s="273"/>
      <c r="X12" s="270" t="s">
        <v>58</v>
      </c>
      <c r="Y12" s="271"/>
      <c r="Z12" s="273"/>
      <c r="AA12" s="270" t="s">
        <v>48</v>
      </c>
      <c r="AB12" s="271"/>
      <c r="AC12" s="273"/>
      <c r="AD12" s="270" t="s">
        <v>87</v>
      </c>
      <c r="AE12" s="271"/>
      <c r="AF12" s="273"/>
      <c r="AG12" s="270" t="s">
        <v>86</v>
      </c>
      <c r="AH12" s="271"/>
      <c r="AI12" s="273"/>
      <c r="AJ12" s="359" t="s">
        <v>97</v>
      </c>
      <c r="AK12" s="271"/>
      <c r="AL12" s="273"/>
      <c r="AM12" s="359" t="s">
        <v>97</v>
      </c>
      <c r="AN12" s="271"/>
      <c r="AO12" s="273"/>
    </row>
    <row r="13" spans="2:41" x14ac:dyDescent="0.3">
      <c r="B13" s="14">
        <v>6</v>
      </c>
      <c r="C13" s="6"/>
      <c r="D13" s="170" t="s">
        <v>8</v>
      </c>
      <c r="E13" s="170" t="s">
        <v>13</v>
      </c>
      <c r="F13" s="170" t="s">
        <v>103</v>
      </c>
      <c r="G13" s="356" t="s">
        <v>36</v>
      </c>
      <c r="H13" s="357"/>
      <c r="I13" s="356" t="s">
        <v>36</v>
      </c>
      <c r="J13" s="269"/>
      <c r="L13" s="385" t="s">
        <v>81</v>
      </c>
      <c r="M13" s="349"/>
      <c r="N13" s="350"/>
      <c r="O13" s="385" t="s">
        <v>81</v>
      </c>
      <c r="P13" s="349"/>
      <c r="Q13" s="350"/>
      <c r="R13" s="385" t="s">
        <v>52</v>
      </c>
      <c r="S13" s="349"/>
      <c r="T13" s="350"/>
      <c r="U13" s="385" t="s">
        <v>83</v>
      </c>
      <c r="V13" s="349"/>
      <c r="W13" s="350"/>
      <c r="X13" s="385" t="s">
        <v>59</v>
      </c>
      <c r="Y13" s="349"/>
      <c r="Z13" s="350"/>
      <c r="AA13" s="385" t="s">
        <v>59</v>
      </c>
      <c r="AB13" s="349"/>
      <c r="AC13" s="350"/>
      <c r="AD13" s="385" t="s">
        <v>90</v>
      </c>
      <c r="AE13" s="349"/>
      <c r="AF13" s="350"/>
      <c r="AG13" s="385" t="s">
        <v>89</v>
      </c>
      <c r="AH13" s="349"/>
      <c r="AI13" s="350"/>
      <c r="AJ13" s="357" t="s">
        <v>96</v>
      </c>
      <c r="AK13" s="349"/>
      <c r="AL13" s="350"/>
      <c r="AM13" s="357" t="s">
        <v>95</v>
      </c>
      <c r="AN13" s="349"/>
      <c r="AO13" s="350"/>
    </row>
    <row r="14" spans="2:41" x14ac:dyDescent="0.3">
      <c r="B14" s="15">
        <v>7</v>
      </c>
      <c r="C14" s="5"/>
      <c r="D14" s="166" t="s">
        <v>7</v>
      </c>
      <c r="E14" s="166" t="s">
        <v>13</v>
      </c>
      <c r="F14" s="166" t="s">
        <v>107</v>
      </c>
      <c r="G14" s="358" t="s">
        <v>36</v>
      </c>
      <c r="H14" s="359"/>
      <c r="I14" s="358" t="s">
        <v>36</v>
      </c>
      <c r="J14" s="275"/>
      <c r="L14" s="270" t="s">
        <v>77</v>
      </c>
      <c r="M14" s="271"/>
      <c r="N14" s="273"/>
      <c r="O14" s="270" t="s">
        <v>74</v>
      </c>
      <c r="P14" s="271"/>
      <c r="Q14" s="273"/>
      <c r="R14" s="270" t="s">
        <v>82</v>
      </c>
      <c r="S14" s="271"/>
      <c r="T14" s="273"/>
      <c r="U14" s="270" t="s">
        <v>48</v>
      </c>
      <c r="V14" s="271"/>
      <c r="W14" s="273"/>
      <c r="X14" s="270" t="s">
        <v>58</v>
      </c>
      <c r="Y14" s="271"/>
      <c r="Z14" s="273"/>
      <c r="AA14" s="270" t="s">
        <v>48</v>
      </c>
      <c r="AB14" s="271"/>
      <c r="AC14" s="273"/>
      <c r="AD14" s="270" t="s">
        <v>87</v>
      </c>
      <c r="AE14" s="271"/>
      <c r="AF14" s="273"/>
      <c r="AG14" s="270" t="s">
        <v>86</v>
      </c>
      <c r="AH14" s="271"/>
      <c r="AI14" s="273"/>
      <c r="AJ14" s="359" t="s">
        <v>97</v>
      </c>
      <c r="AK14" s="271"/>
      <c r="AL14" s="273"/>
      <c r="AM14" s="359" t="s">
        <v>93</v>
      </c>
      <c r="AN14" s="271"/>
      <c r="AO14" s="273"/>
    </row>
    <row r="15" spans="2:41" x14ac:dyDescent="0.3">
      <c r="B15" s="14">
        <v>8</v>
      </c>
      <c r="C15" s="107" t="s">
        <v>109</v>
      </c>
      <c r="D15" s="170" t="s">
        <v>7</v>
      </c>
      <c r="E15" s="170" t="s">
        <v>14</v>
      </c>
      <c r="F15" s="170" t="s">
        <v>108</v>
      </c>
      <c r="G15" s="356" t="s">
        <v>34</v>
      </c>
      <c r="H15" s="357"/>
      <c r="I15" s="356" t="s">
        <v>34</v>
      </c>
      <c r="J15" s="269"/>
      <c r="L15" s="385" t="s">
        <v>81</v>
      </c>
      <c r="M15" s="349"/>
      <c r="N15" s="350"/>
      <c r="O15" s="385" t="s">
        <v>81</v>
      </c>
      <c r="P15" s="349"/>
      <c r="Q15" s="350"/>
      <c r="R15" s="385" t="s">
        <v>51</v>
      </c>
      <c r="S15" s="349"/>
      <c r="T15" s="350"/>
      <c r="U15" s="385" t="s">
        <v>51</v>
      </c>
      <c r="V15" s="349"/>
      <c r="W15" s="350"/>
      <c r="X15" s="385" t="s">
        <v>59</v>
      </c>
      <c r="Y15" s="349"/>
      <c r="Z15" s="350"/>
      <c r="AA15" s="385" t="s">
        <v>59</v>
      </c>
      <c r="AB15" s="349"/>
      <c r="AC15" s="350"/>
      <c r="AD15" s="385" t="s">
        <v>90</v>
      </c>
      <c r="AE15" s="349"/>
      <c r="AF15" s="350"/>
      <c r="AG15" s="385" t="s">
        <v>90</v>
      </c>
      <c r="AH15" s="349"/>
      <c r="AI15" s="350"/>
      <c r="AJ15" s="357" t="s">
        <v>96</v>
      </c>
      <c r="AK15" s="349"/>
      <c r="AL15" s="350"/>
      <c r="AM15" s="357" t="s">
        <v>96</v>
      </c>
      <c r="AN15" s="349"/>
      <c r="AO15" s="350"/>
    </row>
    <row r="16" spans="2:41" x14ac:dyDescent="0.3">
      <c r="B16" s="15">
        <v>9</v>
      </c>
      <c r="C16" s="5" t="s">
        <v>110</v>
      </c>
      <c r="D16" s="166" t="s">
        <v>8</v>
      </c>
      <c r="E16" s="166" t="s">
        <v>17</v>
      </c>
      <c r="F16" s="166" t="s">
        <v>103</v>
      </c>
      <c r="G16" s="358" t="s">
        <v>34</v>
      </c>
      <c r="H16" s="359"/>
      <c r="I16" s="358" t="s">
        <v>34</v>
      </c>
      <c r="J16" s="275"/>
      <c r="L16" s="270" t="s">
        <v>77</v>
      </c>
      <c r="M16" s="271"/>
      <c r="N16" s="273"/>
      <c r="O16" s="270" t="s">
        <v>77</v>
      </c>
      <c r="P16" s="271"/>
      <c r="Q16" s="273"/>
      <c r="R16" s="270" t="s">
        <v>49</v>
      </c>
      <c r="S16" s="271"/>
      <c r="T16" s="273"/>
      <c r="U16" s="270" t="s">
        <v>83</v>
      </c>
      <c r="V16" s="271"/>
      <c r="W16" s="273"/>
      <c r="X16" s="270" t="s">
        <v>58</v>
      </c>
      <c r="Y16" s="271"/>
      <c r="Z16" s="273"/>
      <c r="AA16" s="270" t="s">
        <v>48</v>
      </c>
      <c r="AB16" s="271"/>
      <c r="AC16" s="273"/>
      <c r="AD16" s="270" t="s">
        <v>87</v>
      </c>
      <c r="AE16" s="271"/>
      <c r="AF16" s="273"/>
      <c r="AG16" s="270" t="s">
        <v>86</v>
      </c>
      <c r="AH16" s="271"/>
      <c r="AI16" s="273"/>
      <c r="AJ16" s="359" t="s">
        <v>96</v>
      </c>
      <c r="AK16" s="271"/>
      <c r="AL16" s="273"/>
      <c r="AM16" s="359" t="s">
        <v>94</v>
      </c>
      <c r="AN16" s="271"/>
      <c r="AO16" s="273"/>
    </row>
    <row r="17" spans="2:41" x14ac:dyDescent="0.3">
      <c r="B17" s="14">
        <v>10</v>
      </c>
      <c r="C17" s="6" t="s">
        <v>111</v>
      </c>
      <c r="D17" s="170" t="s">
        <v>8</v>
      </c>
      <c r="E17" s="170" t="s">
        <v>18</v>
      </c>
      <c r="F17" s="170" t="s">
        <v>103</v>
      </c>
      <c r="G17" s="386" t="s">
        <v>112</v>
      </c>
      <c r="H17" s="357"/>
      <c r="I17" s="356" t="s">
        <v>112</v>
      </c>
      <c r="J17" s="269"/>
      <c r="L17" s="385" t="s">
        <v>74</v>
      </c>
      <c r="M17" s="349"/>
      <c r="N17" s="350"/>
      <c r="O17" s="385" t="s">
        <v>74</v>
      </c>
      <c r="P17" s="349"/>
      <c r="Q17" s="350"/>
      <c r="R17" s="385" t="s">
        <v>48</v>
      </c>
      <c r="S17" s="349"/>
      <c r="T17" s="350"/>
      <c r="U17" s="385" t="s">
        <v>48</v>
      </c>
      <c r="V17" s="349"/>
      <c r="W17" s="350"/>
      <c r="X17" s="385" t="s">
        <v>48</v>
      </c>
      <c r="Y17" s="349"/>
      <c r="Z17" s="350"/>
      <c r="AA17" s="385" t="s">
        <v>48</v>
      </c>
      <c r="AB17" s="349"/>
      <c r="AC17" s="350"/>
      <c r="AD17" s="385" t="s">
        <v>86</v>
      </c>
      <c r="AE17" s="349"/>
      <c r="AF17" s="350"/>
      <c r="AG17" s="385" t="s">
        <v>86</v>
      </c>
      <c r="AH17" s="349"/>
      <c r="AI17" s="350"/>
      <c r="AJ17" s="357" t="s">
        <v>95</v>
      </c>
      <c r="AK17" s="349"/>
      <c r="AL17" s="350"/>
      <c r="AM17" s="357" t="s">
        <v>95</v>
      </c>
      <c r="AN17" s="349"/>
      <c r="AO17" s="350"/>
    </row>
    <row r="18" spans="2:41" x14ac:dyDescent="0.3">
      <c r="B18" s="15">
        <v>11</v>
      </c>
      <c r="C18" s="5" t="s">
        <v>113</v>
      </c>
      <c r="D18" s="166" t="s">
        <v>7</v>
      </c>
      <c r="E18" s="166" t="s">
        <v>17</v>
      </c>
      <c r="F18" s="166" t="s">
        <v>103</v>
      </c>
      <c r="G18" s="358" t="s">
        <v>34</v>
      </c>
      <c r="H18" s="359"/>
      <c r="I18" s="358" t="s">
        <v>34</v>
      </c>
      <c r="J18" s="275"/>
      <c r="L18" s="270" t="s">
        <v>77</v>
      </c>
      <c r="M18" s="271"/>
      <c r="N18" s="273"/>
      <c r="O18" s="270" t="s">
        <v>77</v>
      </c>
      <c r="P18" s="271"/>
      <c r="Q18" s="273"/>
      <c r="R18" s="270" t="s">
        <v>54</v>
      </c>
      <c r="S18" s="271"/>
      <c r="T18" s="273"/>
      <c r="U18" s="270" t="s">
        <v>54</v>
      </c>
      <c r="V18" s="271"/>
      <c r="W18" s="273"/>
      <c r="X18" s="270" t="s">
        <v>58</v>
      </c>
      <c r="Y18" s="271"/>
      <c r="Z18" s="273"/>
      <c r="AA18" s="270" t="s">
        <v>58</v>
      </c>
      <c r="AB18" s="271"/>
      <c r="AC18" s="273"/>
      <c r="AD18" s="270" t="s">
        <v>88</v>
      </c>
      <c r="AE18" s="271"/>
      <c r="AF18" s="273"/>
      <c r="AG18" s="270" t="s">
        <v>88</v>
      </c>
      <c r="AH18" s="271"/>
      <c r="AI18" s="273"/>
      <c r="AJ18" s="359" t="s">
        <v>97</v>
      </c>
      <c r="AK18" s="271"/>
      <c r="AL18" s="273"/>
      <c r="AM18" s="359" t="s">
        <v>97</v>
      </c>
      <c r="AN18" s="271"/>
      <c r="AO18" s="273"/>
    </row>
    <row r="19" spans="2:41" x14ac:dyDescent="0.3">
      <c r="B19" s="14">
        <v>12</v>
      </c>
      <c r="C19" s="6"/>
      <c r="D19" s="170" t="s">
        <v>7</v>
      </c>
      <c r="E19" s="170" t="s">
        <v>14</v>
      </c>
      <c r="F19" s="170" t="s">
        <v>103</v>
      </c>
      <c r="G19" s="356" t="s">
        <v>34</v>
      </c>
      <c r="H19" s="357"/>
      <c r="I19" s="356" t="s">
        <v>34</v>
      </c>
      <c r="J19" s="269"/>
      <c r="L19" s="385" t="s">
        <v>76</v>
      </c>
      <c r="M19" s="349"/>
      <c r="N19" s="350"/>
      <c r="O19" s="385" t="s">
        <v>77</v>
      </c>
      <c r="P19" s="349"/>
      <c r="Q19" s="350"/>
      <c r="R19" s="385" t="s">
        <v>82</v>
      </c>
      <c r="S19" s="349"/>
      <c r="T19" s="350"/>
      <c r="U19" s="385" t="s">
        <v>49</v>
      </c>
      <c r="V19" s="349"/>
      <c r="W19" s="350"/>
      <c r="X19" s="385" t="s">
        <v>48</v>
      </c>
      <c r="Y19" s="349"/>
      <c r="Z19" s="350"/>
      <c r="AA19" s="385" t="s">
        <v>58</v>
      </c>
      <c r="AB19" s="349"/>
      <c r="AC19" s="350"/>
      <c r="AD19" s="385" t="s">
        <v>87</v>
      </c>
      <c r="AE19" s="349"/>
      <c r="AF19" s="350"/>
      <c r="AG19" s="385" t="s">
        <v>88</v>
      </c>
      <c r="AH19" s="349"/>
      <c r="AI19" s="350"/>
      <c r="AJ19" s="357" t="s">
        <v>97</v>
      </c>
      <c r="AK19" s="349"/>
      <c r="AL19" s="350"/>
      <c r="AM19" s="357" t="s">
        <v>96</v>
      </c>
      <c r="AN19" s="349"/>
      <c r="AO19" s="350"/>
    </row>
    <row r="20" spans="2:41" x14ac:dyDescent="0.3">
      <c r="B20" s="15">
        <v>13</v>
      </c>
      <c r="C20" s="5"/>
      <c r="D20" s="166" t="s">
        <v>8</v>
      </c>
      <c r="E20" s="166" t="s">
        <v>14</v>
      </c>
      <c r="F20" s="166" t="s">
        <v>114</v>
      </c>
      <c r="G20" s="358" t="s">
        <v>34</v>
      </c>
      <c r="H20" s="359"/>
      <c r="I20" s="358" t="s">
        <v>34</v>
      </c>
      <c r="J20" s="275"/>
      <c r="L20" s="270" t="s">
        <v>76</v>
      </c>
      <c r="M20" s="271"/>
      <c r="N20" s="273"/>
      <c r="O20" s="270" t="s">
        <v>78</v>
      </c>
      <c r="P20" s="271"/>
      <c r="Q20" s="273"/>
      <c r="R20" s="270" t="s">
        <v>82</v>
      </c>
      <c r="S20" s="271"/>
      <c r="T20" s="273"/>
      <c r="U20" s="270" t="s">
        <v>50</v>
      </c>
      <c r="V20" s="271"/>
      <c r="W20" s="273"/>
      <c r="X20" s="270" t="s">
        <v>58</v>
      </c>
      <c r="Y20" s="271"/>
      <c r="Z20" s="273"/>
      <c r="AA20" s="270" t="s">
        <v>58</v>
      </c>
      <c r="AB20" s="271"/>
      <c r="AC20" s="273"/>
      <c r="AD20" s="270" t="s">
        <v>87</v>
      </c>
      <c r="AE20" s="271"/>
      <c r="AF20" s="273"/>
      <c r="AG20" s="270" t="s">
        <v>87</v>
      </c>
      <c r="AH20" s="271"/>
      <c r="AI20" s="273"/>
      <c r="AJ20" s="359" t="s">
        <v>96</v>
      </c>
      <c r="AK20" s="271"/>
      <c r="AL20" s="273"/>
      <c r="AM20" s="359" t="s">
        <v>96</v>
      </c>
      <c r="AN20" s="271"/>
      <c r="AO20" s="273"/>
    </row>
    <row r="21" spans="2:41" x14ac:dyDescent="0.3">
      <c r="B21" s="14">
        <v>14</v>
      </c>
      <c r="C21" s="6" t="s">
        <v>115</v>
      </c>
      <c r="D21" s="170" t="s">
        <v>7</v>
      </c>
      <c r="E21" s="170" t="s">
        <v>13</v>
      </c>
      <c r="F21" s="170" t="s">
        <v>103</v>
      </c>
      <c r="G21" s="356" t="s">
        <v>35</v>
      </c>
      <c r="H21" s="357"/>
      <c r="I21" s="356" t="s">
        <v>35</v>
      </c>
      <c r="J21" s="269"/>
      <c r="L21" s="385" t="s">
        <v>74</v>
      </c>
      <c r="M21" s="349"/>
      <c r="N21" s="350"/>
      <c r="O21" s="385" t="s">
        <v>74</v>
      </c>
      <c r="P21" s="349"/>
      <c r="Q21" s="350"/>
      <c r="R21" s="385" t="s">
        <v>48</v>
      </c>
      <c r="S21" s="349"/>
      <c r="T21" s="350"/>
      <c r="U21" s="385" t="s">
        <v>48</v>
      </c>
      <c r="V21" s="349"/>
      <c r="W21" s="350"/>
      <c r="X21" s="385" t="s">
        <v>48</v>
      </c>
      <c r="Y21" s="349"/>
      <c r="Z21" s="350"/>
      <c r="AA21" s="385" t="s">
        <v>48</v>
      </c>
      <c r="AB21" s="349"/>
      <c r="AC21" s="350"/>
      <c r="AD21" s="385" t="s">
        <v>86</v>
      </c>
      <c r="AE21" s="349"/>
      <c r="AF21" s="350"/>
      <c r="AG21" s="385" t="s">
        <v>86</v>
      </c>
      <c r="AH21" s="349"/>
      <c r="AI21" s="350"/>
      <c r="AJ21" s="357" t="s">
        <v>96</v>
      </c>
      <c r="AK21" s="349"/>
      <c r="AL21" s="350"/>
      <c r="AM21" s="357" t="s">
        <v>94</v>
      </c>
      <c r="AN21" s="349"/>
      <c r="AO21" s="350"/>
    </row>
    <row r="22" spans="2:41" x14ac:dyDescent="0.3">
      <c r="B22" s="15">
        <v>15</v>
      </c>
      <c r="C22" s="5" t="s">
        <v>116</v>
      </c>
      <c r="D22" s="166" t="s">
        <v>7</v>
      </c>
      <c r="E22" s="166" t="s">
        <v>18</v>
      </c>
      <c r="F22" s="166" t="s">
        <v>117</v>
      </c>
      <c r="G22" s="358" t="s">
        <v>34</v>
      </c>
      <c r="H22" s="359"/>
      <c r="I22" s="358" t="s">
        <v>34</v>
      </c>
      <c r="J22" s="275"/>
      <c r="L22" s="270" t="s">
        <v>80</v>
      </c>
      <c r="M22" s="271"/>
      <c r="N22" s="273"/>
      <c r="O22" s="270" t="s">
        <v>80</v>
      </c>
      <c r="P22" s="271"/>
      <c r="Q22" s="273"/>
      <c r="R22" s="270" t="s">
        <v>51</v>
      </c>
      <c r="S22" s="271"/>
      <c r="T22" s="273"/>
      <c r="U22" s="270" t="s">
        <v>51</v>
      </c>
      <c r="V22" s="271"/>
      <c r="W22" s="273"/>
      <c r="X22" s="270" t="s">
        <v>59</v>
      </c>
      <c r="Y22" s="271"/>
      <c r="Z22" s="273"/>
      <c r="AA22" s="270" t="s">
        <v>59</v>
      </c>
      <c r="AB22" s="271"/>
      <c r="AC22" s="273"/>
      <c r="AD22" s="270" t="s">
        <v>90</v>
      </c>
      <c r="AE22" s="271"/>
      <c r="AF22" s="273"/>
      <c r="AG22" s="270" t="s">
        <v>90</v>
      </c>
      <c r="AH22" s="271"/>
      <c r="AI22" s="273"/>
      <c r="AJ22" s="359" t="s">
        <v>96</v>
      </c>
      <c r="AK22" s="271"/>
      <c r="AL22" s="273"/>
      <c r="AM22" s="359" t="s">
        <v>93</v>
      </c>
      <c r="AN22" s="271"/>
      <c r="AO22" s="273"/>
    </row>
    <row r="23" spans="2:41" x14ac:dyDescent="0.3">
      <c r="B23" s="14">
        <v>16</v>
      </c>
      <c r="C23" s="6"/>
      <c r="D23" s="170" t="s">
        <v>8</v>
      </c>
      <c r="E23" s="170" t="s">
        <v>14</v>
      </c>
      <c r="F23" s="170" t="s">
        <v>103</v>
      </c>
      <c r="G23" s="356" t="s">
        <v>118</v>
      </c>
      <c r="H23" s="357"/>
      <c r="I23" s="356" t="s">
        <v>118</v>
      </c>
      <c r="J23" s="269"/>
      <c r="L23" s="385" t="s">
        <v>74</v>
      </c>
      <c r="M23" s="349"/>
      <c r="N23" s="350"/>
      <c r="O23" s="385" t="s">
        <v>74</v>
      </c>
      <c r="P23" s="349"/>
      <c r="Q23" s="350"/>
      <c r="R23" s="385" t="s">
        <v>48</v>
      </c>
      <c r="S23" s="349"/>
      <c r="T23" s="350"/>
      <c r="U23" s="385" t="s">
        <v>48</v>
      </c>
      <c r="V23" s="349"/>
      <c r="W23" s="350"/>
      <c r="X23" s="385" t="s">
        <v>48</v>
      </c>
      <c r="Y23" s="349"/>
      <c r="Z23" s="350"/>
      <c r="AA23" s="385" t="s">
        <v>48</v>
      </c>
      <c r="AB23" s="349"/>
      <c r="AC23" s="350"/>
      <c r="AD23" s="385" t="s">
        <v>86</v>
      </c>
      <c r="AE23" s="349"/>
      <c r="AF23" s="350"/>
      <c r="AG23" s="385" t="s">
        <v>86</v>
      </c>
      <c r="AH23" s="349"/>
      <c r="AI23" s="350"/>
      <c r="AJ23" s="357" t="s">
        <v>93</v>
      </c>
      <c r="AK23" s="349"/>
      <c r="AL23" s="350"/>
      <c r="AM23" s="357" t="s">
        <v>93</v>
      </c>
      <c r="AN23" s="349"/>
      <c r="AO23" s="350"/>
    </row>
    <row r="24" spans="2:41" x14ac:dyDescent="0.3">
      <c r="B24" s="15">
        <v>17</v>
      </c>
      <c r="C24" s="5"/>
      <c r="D24" s="166" t="s">
        <v>8</v>
      </c>
      <c r="E24" s="166" t="s">
        <v>16</v>
      </c>
      <c r="F24" s="166" t="s">
        <v>103</v>
      </c>
      <c r="G24" s="358" t="s">
        <v>34</v>
      </c>
      <c r="H24" s="359"/>
      <c r="I24" s="358" t="s">
        <v>34</v>
      </c>
      <c r="J24" s="275"/>
      <c r="L24" s="270" t="s">
        <v>74</v>
      </c>
      <c r="M24" s="271"/>
      <c r="N24" s="273"/>
      <c r="O24" s="270" t="s">
        <v>74</v>
      </c>
      <c r="P24" s="271"/>
      <c r="Q24" s="273"/>
      <c r="R24" s="270" t="s">
        <v>48</v>
      </c>
      <c r="S24" s="271"/>
      <c r="T24" s="273"/>
      <c r="U24" s="270" t="s">
        <v>48</v>
      </c>
      <c r="V24" s="271"/>
      <c r="W24" s="273"/>
      <c r="X24" s="270" t="s">
        <v>48</v>
      </c>
      <c r="Y24" s="271"/>
      <c r="Z24" s="273"/>
      <c r="AA24" s="270" t="s">
        <v>48</v>
      </c>
      <c r="AB24" s="271"/>
      <c r="AC24" s="273"/>
      <c r="AD24" s="270" t="s">
        <v>86</v>
      </c>
      <c r="AE24" s="271"/>
      <c r="AF24" s="273"/>
      <c r="AG24" s="270" t="s">
        <v>86</v>
      </c>
      <c r="AH24" s="271"/>
      <c r="AI24" s="273"/>
      <c r="AJ24" s="359" t="s">
        <v>97</v>
      </c>
      <c r="AK24" s="271"/>
      <c r="AL24" s="273"/>
      <c r="AM24" s="359" t="s">
        <v>97</v>
      </c>
      <c r="AN24" s="271"/>
      <c r="AO24" s="273"/>
    </row>
    <row r="25" spans="2:41" x14ac:dyDescent="0.3">
      <c r="B25" s="14">
        <v>18</v>
      </c>
      <c r="C25" s="6"/>
      <c r="D25" s="170" t="s">
        <v>7</v>
      </c>
      <c r="E25" s="170" t="s">
        <v>16</v>
      </c>
      <c r="F25" s="170" t="s">
        <v>114</v>
      </c>
      <c r="G25" s="356" t="s">
        <v>34</v>
      </c>
      <c r="H25" s="357"/>
      <c r="I25" s="356" t="s">
        <v>34</v>
      </c>
      <c r="J25" s="269"/>
      <c r="L25" s="385" t="s">
        <v>74</v>
      </c>
      <c r="M25" s="349"/>
      <c r="N25" s="350"/>
      <c r="O25" s="385" t="s">
        <v>74</v>
      </c>
      <c r="P25" s="349"/>
      <c r="Q25" s="350"/>
      <c r="R25" s="385" t="s">
        <v>48</v>
      </c>
      <c r="S25" s="349"/>
      <c r="T25" s="350"/>
      <c r="U25" s="385" t="s">
        <v>48</v>
      </c>
      <c r="V25" s="349"/>
      <c r="W25" s="350"/>
      <c r="X25" s="385" t="s">
        <v>48</v>
      </c>
      <c r="Y25" s="349"/>
      <c r="Z25" s="350"/>
      <c r="AA25" s="385" t="s">
        <v>48</v>
      </c>
      <c r="AB25" s="349"/>
      <c r="AC25" s="350"/>
      <c r="AD25" s="385" t="s">
        <v>86</v>
      </c>
      <c r="AE25" s="349"/>
      <c r="AF25" s="350"/>
      <c r="AG25" s="385" t="s">
        <v>86</v>
      </c>
      <c r="AH25" s="349"/>
      <c r="AI25" s="350"/>
      <c r="AJ25" s="357" t="s">
        <v>95</v>
      </c>
      <c r="AK25" s="349"/>
      <c r="AL25" s="350"/>
      <c r="AM25" s="357" t="s">
        <v>95</v>
      </c>
      <c r="AN25" s="349"/>
      <c r="AO25" s="350"/>
    </row>
    <row r="26" spans="2:41" x14ac:dyDescent="0.3">
      <c r="B26" s="15">
        <v>19</v>
      </c>
      <c r="C26" s="5"/>
      <c r="D26" s="166" t="s">
        <v>7</v>
      </c>
      <c r="E26" s="166" t="s">
        <v>13</v>
      </c>
      <c r="F26" s="166" t="s">
        <v>103</v>
      </c>
      <c r="G26" s="358" t="s">
        <v>36</v>
      </c>
      <c r="H26" s="359"/>
      <c r="I26" s="358" t="s">
        <v>36</v>
      </c>
      <c r="J26" s="275"/>
      <c r="L26" s="270" t="s">
        <v>78</v>
      </c>
      <c r="M26" s="271"/>
      <c r="N26" s="273"/>
      <c r="O26" s="270" t="s">
        <v>74</v>
      </c>
      <c r="P26" s="271"/>
      <c r="Q26" s="273"/>
      <c r="R26" s="270" t="s">
        <v>51</v>
      </c>
      <c r="S26" s="271"/>
      <c r="T26" s="273"/>
      <c r="U26" s="270" t="s">
        <v>48</v>
      </c>
      <c r="V26" s="271"/>
      <c r="W26" s="273"/>
      <c r="X26" s="270" t="s">
        <v>58</v>
      </c>
      <c r="Y26" s="271"/>
      <c r="Z26" s="273"/>
      <c r="AA26" s="270" t="s">
        <v>48</v>
      </c>
      <c r="AB26" s="271"/>
      <c r="AC26" s="273"/>
      <c r="AD26" s="270" t="s">
        <v>88</v>
      </c>
      <c r="AE26" s="271"/>
      <c r="AF26" s="273"/>
      <c r="AG26" s="270" t="s">
        <v>86</v>
      </c>
      <c r="AH26" s="271"/>
      <c r="AI26" s="273"/>
      <c r="AJ26" s="359" t="s">
        <v>95</v>
      </c>
      <c r="AK26" s="271"/>
      <c r="AL26" s="273"/>
      <c r="AM26" s="359" t="s">
        <v>94</v>
      </c>
      <c r="AN26" s="271"/>
      <c r="AO26" s="273"/>
    </row>
    <row r="27" spans="2:41" x14ac:dyDescent="0.3">
      <c r="B27" s="14">
        <v>20</v>
      </c>
      <c r="C27" s="6"/>
      <c r="D27" s="170" t="s">
        <v>8</v>
      </c>
      <c r="E27" s="170" t="s">
        <v>13</v>
      </c>
      <c r="F27" s="170" t="s">
        <v>107</v>
      </c>
      <c r="G27" s="356" t="s">
        <v>36</v>
      </c>
      <c r="H27" s="357"/>
      <c r="I27" s="356" t="s">
        <v>36</v>
      </c>
      <c r="J27" s="269"/>
      <c r="L27" s="385" t="s">
        <v>79</v>
      </c>
      <c r="M27" s="349"/>
      <c r="N27" s="350"/>
      <c r="O27" s="385" t="s">
        <v>79</v>
      </c>
      <c r="P27" s="349"/>
      <c r="Q27" s="350"/>
      <c r="R27" s="385" t="s">
        <v>51</v>
      </c>
      <c r="S27" s="349"/>
      <c r="T27" s="350"/>
      <c r="U27" s="385" t="s">
        <v>83</v>
      </c>
      <c r="V27" s="349"/>
      <c r="W27" s="350"/>
      <c r="X27" s="385" t="s">
        <v>59</v>
      </c>
      <c r="Y27" s="349"/>
      <c r="Z27" s="350"/>
      <c r="AA27" s="385" t="s">
        <v>58</v>
      </c>
      <c r="AB27" s="349"/>
      <c r="AC27" s="350"/>
      <c r="AD27" s="385" t="s">
        <v>89</v>
      </c>
      <c r="AE27" s="349"/>
      <c r="AF27" s="350"/>
      <c r="AG27" s="385" t="s">
        <v>89</v>
      </c>
      <c r="AH27" s="349"/>
      <c r="AI27" s="350"/>
      <c r="AJ27" s="357" t="s">
        <v>96</v>
      </c>
      <c r="AK27" s="349"/>
      <c r="AL27" s="350"/>
      <c r="AM27" s="357" t="s">
        <v>95</v>
      </c>
      <c r="AN27" s="349"/>
      <c r="AO27" s="350"/>
    </row>
    <row r="28" spans="2:41" x14ac:dyDescent="0.3">
      <c r="B28" s="15">
        <v>21</v>
      </c>
      <c r="C28" s="5" t="s">
        <v>120</v>
      </c>
      <c r="D28" s="166" t="s">
        <v>7</v>
      </c>
      <c r="E28" s="166" t="s">
        <v>13</v>
      </c>
      <c r="F28" s="166" t="s">
        <v>119</v>
      </c>
      <c r="G28" s="358" t="s">
        <v>36</v>
      </c>
      <c r="H28" s="359"/>
      <c r="I28" s="358" t="s">
        <v>36</v>
      </c>
      <c r="J28" s="275"/>
      <c r="L28" s="270" t="s">
        <v>79</v>
      </c>
      <c r="M28" s="271"/>
      <c r="N28" s="273"/>
      <c r="O28" s="270" t="s">
        <v>74</v>
      </c>
      <c r="P28" s="271"/>
      <c r="Q28" s="273"/>
      <c r="R28" s="270" t="s">
        <v>51</v>
      </c>
      <c r="S28" s="271"/>
      <c r="T28" s="273"/>
      <c r="U28" s="270" t="s">
        <v>83</v>
      </c>
      <c r="V28" s="271"/>
      <c r="W28" s="273"/>
      <c r="X28" s="270" t="s">
        <v>58</v>
      </c>
      <c r="Y28" s="271"/>
      <c r="Z28" s="273"/>
      <c r="AA28" s="270" t="s">
        <v>48</v>
      </c>
      <c r="AB28" s="271"/>
      <c r="AC28" s="273"/>
      <c r="AD28" s="270" t="s">
        <v>89</v>
      </c>
      <c r="AE28" s="271"/>
      <c r="AF28" s="273"/>
      <c r="AG28" s="270" t="s">
        <v>88</v>
      </c>
      <c r="AH28" s="271"/>
      <c r="AI28" s="273"/>
      <c r="AJ28" s="359" t="s">
        <v>95</v>
      </c>
      <c r="AK28" s="271"/>
      <c r="AL28" s="273"/>
      <c r="AM28" s="359" t="s">
        <v>93</v>
      </c>
      <c r="AN28" s="271"/>
      <c r="AO28" s="273"/>
    </row>
    <row r="29" spans="2:41" x14ac:dyDescent="0.3">
      <c r="B29" s="14">
        <v>22</v>
      </c>
      <c r="C29" s="6"/>
      <c r="D29" s="170" t="s">
        <v>8</v>
      </c>
      <c r="E29" s="170" t="s">
        <v>13</v>
      </c>
      <c r="F29" s="170" t="s">
        <v>107</v>
      </c>
      <c r="G29" s="356" t="s">
        <v>36</v>
      </c>
      <c r="H29" s="357"/>
      <c r="I29" s="356" t="s">
        <v>36</v>
      </c>
      <c r="J29" s="269"/>
      <c r="L29" s="385" t="s">
        <v>77</v>
      </c>
      <c r="M29" s="349"/>
      <c r="N29" s="350"/>
      <c r="O29" s="385" t="s">
        <v>74</v>
      </c>
      <c r="P29" s="349"/>
      <c r="Q29" s="350"/>
      <c r="R29" s="385" t="s">
        <v>51</v>
      </c>
      <c r="S29" s="349"/>
      <c r="T29" s="350"/>
      <c r="U29" s="385" t="s">
        <v>48</v>
      </c>
      <c r="V29" s="349"/>
      <c r="W29" s="350"/>
      <c r="X29" s="385" t="s">
        <v>59</v>
      </c>
      <c r="Y29" s="349"/>
      <c r="Z29" s="350"/>
      <c r="AA29" s="385" t="s">
        <v>48</v>
      </c>
      <c r="AB29" s="349"/>
      <c r="AC29" s="350"/>
      <c r="AD29" s="385" t="s">
        <v>89</v>
      </c>
      <c r="AE29" s="349"/>
      <c r="AF29" s="350"/>
      <c r="AG29" s="385" t="s">
        <v>86</v>
      </c>
      <c r="AH29" s="349"/>
      <c r="AI29" s="350"/>
      <c r="AJ29" s="357" t="s">
        <v>96</v>
      </c>
      <c r="AK29" s="349"/>
      <c r="AL29" s="350"/>
      <c r="AM29" s="357" t="s">
        <v>94</v>
      </c>
      <c r="AN29" s="349"/>
      <c r="AO29" s="350"/>
    </row>
    <row r="30" spans="2:41" x14ac:dyDescent="0.3">
      <c r="B30" s="15">
        <v>23</v>
      </c>
      <c r="C30" s="5" t="s">
        <v>121</v>
      </c>
      <c r="D30" s="166" t="s">
        <v>8</v>
      </c>
      <c r="E30" s="166" t="s">
        <v>13</v>
      </c>
      <c r="F30" s="166" t="s">
        <v>119</v>
      </c>
      <c r="G30" s="358" t="s">
        <v>36</v>
      </c>
      <c r="H30" s="359"/>
      <c r="I30" s="358" t="s">
        <v>36</v>
      </c>
      <c r="J30" s="275"/>
      <c r="L30" s="270" t="s">
        <v>81</v>
      </c>
      <c r="M30" s="271"/>
      <c r="N30" s="273"/>
      <c r="O30" s="270" t="s">
        <v>74</v>
      </c>
      <c r="P30" s="271"/>
      <c r="Q30" s="273"/>
      <c r="R30" s="270" t="s">
        <v>82</v>
      </c>
      <c r="S30" s="271"/>
      <c r="T30" s="273"/>
      <c r="U30" s="270" t="s">
        <v>48</v>
      </c>
      <c r="V30" s="271"/>
      <c r="W30" s="273"/>
      <c r="X30" s="270" t="s">
        <v>58</v>
      </c>
      <c r="Y30" s="271"/>
      <c r="Z30" s="273"/>
      <c r="AA30" s="270" t="s">
        <v>48</v>
      </c>
      <c r="AB30" s="271"/>
      <c r="AC30" s="273"/>
      <c r="AD30" s="270" t="s">
        <v>87</v>
      </c>
      <c r="AE30" s="271"/>
      <c r="AF30" s="273"/>
      <c r="AG30" s="270" t="s">
        <v>86</v>
      </c>
      <c r="AH30" s="271"/>
      <c r="AI30" s="273"/>
      <c r="AJ30" s="359" t="s">
        <v>96</v>
      </c>
      <c r="AK30" s="271"/>
      <c r="AL30" s="273"/>
      <c r="AM30" s="359" t="s">
        <v>93</v>
      </c>
      <c r="AN30" s="271"/>
      <c r="AO30" s="273"/>
    </row>
    <row r="31" spans="2:41" x14ac:dyDescent="0.3">
      <c r="B31" s="14">
        <v>24</v>
      </c>
      <c r="C31" s="6" t="s">
        <v>122</v>
      </c>
      <c r="D31" s="170" t="s">
        <v>7</v>
      </c>
      <c r="E31" s="170" t="s">
        <v>13</v>
      </c>
      <c r="F31" s="170" t="s">
        <v>123</v>
      </c>
      <c r="G31" s="356" t="s">
        <v>36</v>
      </c>
      <c r="H31" s="357"/>
      <c r="I31" s="356" t="s">
        <v>36</v>
      </c>
      <c r="J31" s="269"/>
      <c r="L31" s="385" t="s">
        <v>79</v>
      </c>
      <c r="M31" s="349"/>
      <c r="N31" s="350"/>
      <c r="O31" s="385" t="s">
        <v>79</v>
      </c>
      <c r="P31" s="349"/>
      <c r="Q31" s="350"/>
      <c r="R31" s="385" t="s">
        <v>51</v>
      </c>
      <c r="S31" s="349"/>
      <c r="T31" s="350"/>
      <c r="U31" s="385" t="s">
        <v>51</v>
      </c>
      <c r="V31" s="349"/>
      <c r="W31" s="350"/>
      <c r="X31" s="385" t="s">
        <v>59</v>
      </c>
      <c r="Y31" s="349"/>
      <c r="Z31" s="350"/>
      <c r="AA31" s="385" t="s">
        <v>59</v>
      </c>
      <c r="AB31" s="349"/>
      <c r="AC31" s="350"/>
      <c r="AD31" s="385" t="s">
        <v>89</v>
      </c>
      <c r="AE31" s="349"/>
      <c r="AF31" s="350"/>
      <c r="AG31" s="385" t="s">
        <v>89</v>
      </c>
      <c r="AH31" s="349"/>
      <c r="AI31" s="350"/>
      <c r="AJ31" s="357" t="s">
        <v>96</v>
      </c>
      <c r="AK31" s="349"/>
      <c r="AL31" s="350"/>
      <c r="AM31" s="357" t="s">
        <v>95</v>
      </c>
      <c r="AN31" s="349"/>
      <c r="AO31" s="350"/>
    </row>
    <row r="32" spans="2:41" x14ac:dyDescent="0.3">
      <c r="B32" s="15">
        <v>25</v>
      </c>
      <c r="C32" s="5"/>
      <c r="D32" s="166" t="s">
        <v>7</v>
      </c>
      <c r="E32" s="166" t="s">
        <v>13</v>
      </c>
      <c r="F32" s="166" t="s">
        <v>124</v>
      </c>
      <c r="G32" s="358" t="s">
        <v>36</v>
      </c>
      <c r="H32" s="359"/>
      <c r="I32" s="358" t="s">
        <v>36</v>
      </c>
      <c r="J32" s="275"/>
      <c r="L32" s="270" t="s">
        <v>74</v>
      </c>
      <c r="M32" s="271"/>
      <c r="N32" s="273"/>
      <c r="O32" s="270" t="s">
        <v>74</v>
      </c>
      <c r="P32" s="271"/>
      <c r="Q32" s="273"/>
      <c r="R32" s="270" t="s">
        <v>48</v>
      </c>
      <c r="S32" s="271"/>
      <c r="T32" s="273"/>
      <c r="U32" s="270" t="s">
        <v>48</v>
      </c>
      <c r="V32" s="271"/>
      <c r="W32" s="273"/>
      <c r="X32" s="270" t="s">
        <v>48</v>
      </c>
      <c r="Y32" s="271"/>
      <c r="Z32" s="273"/>
      <c r="AA32" s="270" t="s">
        <v>48</v>
      </c>
      <c r="AB32" s="271"/>
      <c r="AC32" s="273"/>
      <c r="AD32" s="270" t="s">
        <v>86</v>
      </c>
      <c r="AE32" s="271"/>
      <c r="AF32" s="273"/>
      <c r="AG32" s="270" t="s">
        <v>86</v>
      </c>
      <c r="AH32" s="271"/>
      <c r="AI32" s="273"/>
      <c r="AJ32" s="359" t="s">
        <v>95</v>
      </c>
      <c r="AK32" s="271"/>
      <c r="AL32" s="273"/>
      <c r="AM32" s="359" t="s">
        <v>95</v>
      </c>
      <c r="AN32" s="271"/>
      <c r="AO32" s="273"/>
    </row>
    <row r="33" spans="2:41" x14ac:dyDescent="0.3">
      <c r="B33" s="14">
        <v>26</v>
      </c>
      <c r="C33" s="6"/>
      <c r="D33" s="170" t="s">
        <v>7</v>
      </c>
      <c r="E33" s="170" t="s">
        <v>13</v>
      </c>
      <c r="F33" s="170" t="s">
        <v>126</v>
      </c>
      <c r="G33" s="356" t="s">
        <v>36</v>
      </c>
      <c r="H33" s="357"/>
      <c r="I33" s="356" t="s">
        <v>36</v>
      </c>
      <c r="J33" s="269"/>
      <c r="L33" s="385" t="s">
        <v>81</v>
      </c>
      <c r="M33" s="349"/>
      <c r="N33" s="350"/>
      <c r="O33" s="385" t="s">
        <v>81</v>
      </c>
      <c r="P33" s="349"/>
      <c r="Q33" s="350"/>
      <c r="R33" s="385" t="s">
        <v>51</v>
      </c>
      <c r="S33" s="349"/>
      <c r="T33" s="350"/>
      <c r="U33" s="385" t="s">
        <v>50</v>
      </c>
      <c r="V33" s="349"/>
      <c r="W33" s="350"/>
      <c r="X33" s="385" t="s">
        <v>59</v>
      </c>
      <c r="Y33" s="349"/>
      <c r="Z33" s="350"/>
      <c r="AA33" s="385" t="s">
        <v>58</v>
      </c>
      <c r="AB33" s="349"/>
      <c r="AC33" s="350"/>
      <c r="AD33" s="385" t="s">
        <v>88</v>
      </c>
      <c r="AE33" s="349"/>
      <c r="AF33" s="350"/>
      <c r="AG33" s="385" t="s">
        <v>88</v>
      </c>
      <c r="AH33" s="349"/>
      <c r="AI33" s="350"/>
      <c r="AJ33" s="357" t="s">
        <v>95</v>
      </c>
      <c r="AK33" s="349"/>
      <c r="AL33" s="350"/>
      <c r="AM33" s="357" t="s">
        <v>97</v>
      </c>
      <c r="AN33" s="349"/>
      <c r="AO33" s="350"/>
    </row>
    <row r="34" spans="2:41" x14ac:dyDescent="0.3">
      <c r="B34" s="15">
        <v>27</v>
      </c>
      <c r="C34" s="5"/>
      <c r="D34" s="166" t="s">
        <v>7</v>
      </c>
      <c r="E34" s="166" t="s">
        <v>13</v>
      </c>
      <c r="F34" s="166" t="s">
        <v>119</v>
      </c>
      <c r="G34" s="358" t="s">
        <v>36</v>
      </c>
      <c r="H34" s="359"/>
      <c r="I34" s="358" t="s">
        <v>36</v>
      </c>
      <c r="J34" s="275"/>
      <c r="L34" s="270" t="s">
        <v>81</v>
      </c>
      <c r="M34" s="271"/>
      <c r="N34" s="273"/>
      <c r="O34" s="270" t="s">
        <v>81</v>
      </c>
      <c r="P34" s="271"/>
      <c r="Q34" s="273"/>
      <c r="R34" s="270" t="s">
        <v>51</v>
      </c>
      <c r="S34" s="271"/>
      <c r="T34" s="273"/>
      <c r="U34" s="270" t="s">
        <v>51</v>
      </c>
      <c r="V34" s="271"/>
      <c r="W34" s="273"/>
      <c r="X34" s="270" t="s">
        <v>59</v>
      </c>
      <c r="Y34" s="271"/>
      <c r="Z34" s="273"/>
      <c r="AA34" s="270" t="s">
        <v>84</v>
      </c>
      <c r="AB34" s="271"/>
      <c r="AC34" s="273"/>
      <c r="AD34" s="270" t="s">
        <v>89</v>
      </c>
      <c r="AE34" s="271"/>
      <c r="AF34" s="273"/>
      <c r="AG34" s="270" t="s">
        <v>90</v>
      </c>
      <c r="AH34" s="271"/>
      <c r="AI34" s="273"/>
      <c r="AJ34" s="359" t="s">
        <v>95</v>
      </c>
      <c r="AK34" s="271"/>
      <c r="AL34" s="273"/>
      <c r="AM34" s="359" t="s">
        <v>95</v>
      </c>
      <c r="AN34" s="271"/>
      <c r="AO34" s="273"/>
    </row>
    <row r="35" spans="2:41" x14ac:dyDescent="0.3">
      <c r="B35" s="14">
        <v>28</v>
      </c>
      <c r="C35" s="6"/>
      <c r="D35" s="170" t="s">
        <v>8</v>
      </c>
      <c r="E35" s="170" t="s">
        <v>15</v>
      </c>
      <c r="F35" s="170" t="s">
        <v>125</v>
      </c>
      <c r="G35" s="356" t="s">
        <v>34</v>
      </c>
      <c r="H35" s="357"/>
      <c r="I35" s="356" t="s">
        <v>34</v>
      </c>
      <c r="J35" s="269"/>
      <c r="L35" s="385" t="s">
        <v>80</v>
      </c>
      <c r="M35" s="349"/>
      <c r="N35" s="350"/>
      <c r="O35" s="385" t="s">
        <v>80</v>
      </c>
      <c r="P35" s="349"/>
      <c r="Q35" s="350"/>
      <c r="R35" s="385" t="s">
        <v>51</v>
      </c>
      <c r="S35" s="349"/>
      <c r="T35" s="350"/>
      <c r="U35" s="385" t="s">
        <v>51</v>
      </c>
      <c r="V35" s="349"/>
      <c r="W35" s="350"/>
      <c r="X35" s="385" t="s">
        <v>59</v>
      </c>
      <c r="Y35" s="349"/>
      <c r="Z35" s="350"/>
      <c r="AA35" s="385" t="s">
        <v>59</v>
      </c>
      <c r="AB35" s="349"/>
      <c r="AC35" s="350"/>
      <c r="AD35" s="385" t="s">
        <v>90</v>
      </c>
      <c r="AE35" s="349"/>
      <c r="AF35" s="350"/>
      <c r="AG35" s="385" t="s">
        <v>90</v>
      </c>
      <c r="AH35" s="349"/>
      <c r="AI35" s="350"/>
      <c r="AJ35" s="357" t="s">
        <v>96</v>
      </c>
      <c r="AK35" s="349"/>
      <c r="AL35" s="350"/>
      <c r="AM35" s="357" t="s">
        <v>96</v>
      </c>
      <c r="AN35" s="349"/>
      <c r="AO35" s="350"/>
    </row>
    <row r="36" spans="2:41" x14ac:dyDescent="0.3">
      <c r="B36" s="15">
        <v>29</v>
      </c>
      <c r="C36" s="5" t="s">
        <v>127</v>
      </c>
      <c r="D36" s="166" t="s">
        <v>8</v>
      </c>
      <c r="E36" s="166" t="s">
        <v>14</v>
      </c>
      <c r="F36" s="166" t="s">
        <v>107</v>
      </c>
      <c r="G36" s="358" t="s">
        <v>34</v>
      </c>
      <c r="H36" s="359"/>
      <c r="I36" s="358" t="s">
        <v>34</v>
      </c>
      <c r="J36" s="275"/>
      <c r="L36" s="270" t="s">
        <v>80</v>
      </c>
      <c r="M36" s="271"/>
      <c r="N36" s="273"/>
      <c r="O36" s="270" t="s">
        <v>74</v>
      </c>
      <c r="P36" s="271"/>
      <c r="Q36" s="273"/>
      <c r="R36" s="270" t="s">
        <v>83</v>
      </c>
      <c r="S36" s="271"/>
      <c r="T36" s="273"/>
      <c r="U36" s="270" t="s">
        <v>83</v>
      </c>
      <c r="V36" s="271"/>
      <c r="W36" s="273"/>
      <c r="X36" s="270" t="s">
        <v>58</v>
      </c>
      <c r="Y36" s="271"/>
      <c r="Z36" s="273"/>
      <c r="AA36" s="270" t="s">
        <v>48</v>
      </c>
      <c r="AB36" s="271"/>
      <c r="AC36" s="273"/>
      <c r="AD36" s="270" t="s">
        <v>90</v>
      </c>
      <c r="AE36" s="271"/>
      <c r="AF36" s="273"/>
      <c r="AG36" s="270" t="s">
        <v>90</v>
      </c>
      <c r="AH36" s="271"/>
      <c r="AI36" s="273"/>
      <c r="AJ36" s="359" t="s">
        <v>95</v>
      </c>
      <c r="AK36" s="271"/>
      <c r="AL36" s="273"/>
      <c r="AM36" s="359" t="s">
        <v>97</v>
      </c>
      <c r="AN36" s="271"/>
      <c r="AO36" s="273"/>
    </row>
    <row r="37" spans="2:41" x14ac:dyDescent="0.3">
      <c r="B37" s="14">
        <v>30</v>
      </c>
      <c r="C37" s="116" t="s">
        <v>128</v>
      </c>
      <c r="D37" s="170" t="s">
        <v>8</v>
      </c>
      <c r="E37" s="170" t="s">
        <v>13</v>
      </c>
      <c r="F37" s="170" t="s">
        <v>107</v>
      </c>
      <c r="G37" s="356" t="s">
        <v>34</v>
      </c>
      <c r="H37" s="357"/>
      <c r="I37" s="356" t="s">
        <v>34</v>
      </c>
      <c r="J37" s="269"/>
      <c r="L37" s="385" t="s">
        <v>77</v>
      </c>
      <c r="M37" s="349"/>
      <c r="N37" s="350"/>
      <c r="O37" s="385" t="s">
        <v>74</v>
      </c>
      <c r="P37" s="349"/>
      <c r="Q37" s="350"/>
      <c r="R37" s="385" t="s">
        <v>51</v>
      </c>
      <c r="S37" s="349"/>
      <c r="T37" s="350"/>
      <c r="U37" s="385" t="s">
        <v>48</v>
      </c>
      <c r="V37" s="349"/>
      <c r="W37" s="350"/>
      <c r="X37" s="385" t="s">
        <v>58</v>
      </c>
      <c r="Y37" s="349"/>
      <c r="Z37" s="350"/>
      <c r="AA37" s="385" t="s">
        <v>48</v>
      </c>
      <c r="AB37" s="349"/>
      <c r="AC37" s="350"/>
      <c r="AD37" s="385" t="s">
        <v>88</v>
      </c>
      <c r="AE37" s="349"/>
      <c r="AF37" s="350"/>
      <c r="AG37" s="385" t="s">
        <v>86</v>
      </c>
      <c r="AH37" s="349"/>
      <c r="AI37" s="350"/>
      <c r="AJ37" s="357" t="s">
        <v>95</v>
      </c>
      <c r="AK37" s="349"/>
      <c r="AL37" s="350"/>
      <c r="AM37" s="357" t="s">
        <v>94</v>
      </c>
      <c r="AN37" s="349"/>
      <c r="AO37" s="350"/>
    </row>
    <row r="38" spans="2:41" x14ac:dyDescent="0.3">
      <c r="B38" s="15">
        <v>31</v>
      </c>
      <c r="C38" s="5"/>
      <c r="D38" s="166" t="s">
        <v>8</v>
      </c>
      <c r="E38" s="166" t="s">
        <v>13</v>
      </c>
      <c r="F38" s="166" t="s">
        <v>107</v>
      </c>
      <c r="G38" s="358" t="s">
        <v>118</v>
      </c>
      <c r="H38" s="359"/>
      <c r="I38" s="358" t="s">
        <v>34</v>
      </c>
      <c r="J38" s="275"/>
      <c r="L38" s="270" t="s">
        <v>77</v>
      </c>
      <c r="M38" s="271"/>
      <c r="N38" s="273"/>
      <c r="O38" s="270" t="s">
        <v>74</v>
      </c>
      <c r="P38" s="271"/>
      <c r="Q38" s="273"/>
      <c r="R38" s="270" t="s">
        <v>83</v>
      </c>
      <c r="S38" s="271"/>
      <c r="T38" s="273"/>
      <c r="U38" s="270" t="s">
        <v>48</v>
      </c>
      <c r="V38" s="271"/>
      <c r="W38" s="273"/>
      <c r="X38" s="270" t="s">
        <v>59</v>
      </c>
      <c r="Y38" s="271"/>
      <c r="Z38" s="273"/>
      <c r="AA38" s="270" t="s">
        <v>48</v>
      </c>
      <c r="AB38" s="271"/>
      <c r="AC38" s="273"/>
      <c r="AD38" s="270" t="s">
        <v>88</v>
      </c>
      <c r="AE38" s="271"/>
      <c r="AF38" s="273"/>
      <c r="AG38" s="270" t="s">
        <v>86</v>
      </c>
      <c r="AH38" s="271"/>
      <c r="AI38" s="273"/>
      <c r="AJ38" s="359" t="s">
        <v>94</v>
      </c>
      <c r="AK38" s="271"/>
      <c r="AL38" s="273"/>
      <c r="AM38" s="359" t="s">
        <v>97</v>
      </c>
      <c r="AN38" s="271"/>
      <c r="AO38" s="273"/>
    </row>
    <row r="39" spans="2:41" x14ac:dyDescent="0.3">
      <c r="B39" s="14">
        <v>32</v>
      </c>
      <c r="C39" s="6"/>
      <c r="D39" s="170" t="s">
        <v>7</v>
      </c>
      <c r="E39" s="170" t="s">
        <v>18</v>
      </c>
      <c r="F39" s="170" t="s">
        <v>108</v>
      </c>
      <c r="G39" s="356" t="s">
        <v>112</v>
      </c>
      <c r="H39" s="357"/>
      <c r="I39" s="356" t="s">
        <v>118</v>
      </c>
      <c r="J39" s="269"/>
      <c r="K39" s="119"/>
      <c r="L39" s="385" t="s">
        <v>74</v>
      </c>
      <c r="M39" s="349"/>
      <c r="N39" s="350"/>
      <c r="O39" s="385" t="s">
        <v>74</v>
      </c>
      <c r="P39" s="349"/>
      <c r="Q39" s="350"/>
      <c r="R39" s="385" t="s">
        <v>48</v>
      </c>
      <c r="S39" s="349"/>
      <c r="T39" s="350"/>
      <c r="U39" s="385" t="s">
        <v>48</v>
      </c>
      <c r="V39" s="349"/>
      <c r="W39" s="350"/>
      <c r="X39" s="385" t="s">
        <v>48</v>
      </c>
      <c r="Y39" s="349"/>
      <c r="Z39" s="350"/>
      <c r="AA39" s="385" t="s">
        <v>48</v>
      </c>
      <c r="AB39" s="349"/>
      <c r="AC39" s="350"/>
      <c r="AD39" s="385" t="s">
        <v>86</v>
      </c>
      <c r="AE39" s="349"/>
      <c r="AF39" s="350"/>
      <c r="AG39" s="385" t="s">
        <v>86</v>
      </c>
      <c r="AH39" s="349"/>
      <c r="AI39" s="350"/>
      <c r="AJ39" s="357" t="s">
        <v>95</v>
      </c>
      <c r="AK39" s="349"/>
      <c r="AL39" s="350"/>
      <c r="AM39" s="357" t="s">
        <v>95</v>
      </c>
      <c r="AN39" s="349"/>
      <c r="AO39" s="350"/>
    </row>
    <row r="40" spans="2:41" x14ac:dyDescent="0.3">
      <c r="B40" s="15">
        <v>33</v>
      </c>
      <c r="C40" s="5"/>
      <c r="D40" s="166" t="s">
        <v>8</v>
      </c>
      <c r="E40" s="166" t="s">
        <v>15</v>
      </c>
      <c r="F40" s="166" t="s">
        <v>125</v>
      </c>
      <c r="G40" s="358" t="s">
        <v>118</v>
      </c>
      <c r="H40" s="359"/>
      <c r="I40" s="358" t="s">
        <v>34</v>
      </c>
      <c r="J40" s="275"/>
      <c r="L40" s="270" t="s">
        <v>74</v>
      </c>
      <c r="M40" s="271"/>
      <c r="N40" s="273"/>
      <c r="O40" s="270" t="s">
        <v>74</v>
      </c>
      <c r="P40" s="271"/>
      <c r="Q40" s="273"/>
      <c r="R40" s="270" t="s">
        <v>48</v>
      </c>
      <c r="S40" s="271"/>
      <c r="T40" s="273"/>
      <c r="U40" s="270" t="s">
        <v>48</v>
      </c>
      <c r="V40" s="271"/>
      <c r="W40" s="273"/>
      <c r="X40" s="270" t="s">
        <v>48</v>
      </c>
      <c r="Y40" s="271"/>
      <c r="Z40" s="273"/>
      <c r="AA40" s="270" t="s">
        <v>48</v>
      </c>
      <c r="AB40" s="271"/>
      <c r="AC40" s="273"/>
      <c r="AD40" s="270" t="s">
        <v>86</v>
      </c>
      <c r="AE40" s="271"/>
      <c r="AF40" s="273"/>
      <c r="AG40" s="270" t="s">
        <v>86</v>
      </c>
      <c r="AH40" s="271"/>
      <c r="AI40" s="273"/>
      <c r="AJ40" s="359" t="s">
        <v>95</v>
      </c>
      <c r="AK40" s="271"/>
      <c r="AL40" s="273"/>
      <c r="AM40" s="359" t="s">
        <v>95</v>
      </c>
      <c r="AN40" s="271"/>
      <c r="AO40" s="273"/>
    </row>
    <row r="41" spans="2:41" x14ac:dyDescent="0.3">
      <c r="B41" s="14">
        <v>34</v>
      </c>
      <c r="C41" s="6"/>
      <c r="D41" s="170" t="s">
        <v>8</v>
      </c>
      <c r="E41" s="170" t="s">
        <v>15</v>
      </c>
      <c r="F41" s="170" t="s">
        <v>117</v>
      </c>
      <c r="G41" s="356" t="s">
        <v>35</v>
      </c>
      <c r="H41" s="357"/>
      <c r="I41" s="356" t="s">
        <v>118</v>
      </c>
      <c r="J41" s="269"/>
      <c r="L41" s="385" t="s">
        <v>77</v>
      </c>
      <c r="M41" s="349"/>
      <c r="N41" s="350"/>
      <c r="O41" s="385" t="s">
        <v>74</v>
      </c>
      <c r="P41" s="349"/>
      <c r="Q41" s="350"/>
      <c r="R41" s="385" t="s">
        <v>50</v>
      </c>
      <c r="S41" s="349"/>
      <c r="T41" s="350"/>
      <c r="U41" s="385" t="s">
        <v>48</v>
      </c>
      <c r="V41" s="349"/>
      <c r="W41" s="350"/>
      <c r="X41" s="385" t="s">
        <v>58</v>
      </c>
      <c r="Y41" s="349"/>
      <c r="Z41" s="350"/>
      <c r="AA41" s="385" t="s">
        <v>48</v>
      </c>
      <c r="AB41" s="349"/>
      <c r="AC41" s="350"/>
      <c r="AD41" s="385" t="s">
        <v>87</v>
      </c>
      <c r="AE41" s="349"/>
      <c r="AF41" s="350"/>
      <c r="AG41" s="385" t="s">
        <v>86</v>
      </c>
      <c r="AH41" s="349"/>
      <c r="AI41" s="350"/>
      <c r="AJ41" s="357" t="s">
        <v>96</v>
      </c>
      <c r="AK41" s="349"/>
      <c r="AL41" s="350"/>
      <c r="AM41" s="357" t="s">
        <v>95</v>
      </c>
      <c r="AN41" s="349"/>
      <c r="AO41" s="350"/>
    </row>
    <row r="42" spans="2:41" x14ac:dyDescent="0.3">
      <c r="B42" s="15">
        <v>35</v>
      </c>
      <c r="C42" s="5"/>
      <c r="D42" s="166" t="s">
        <v>8</v>
      </c>
      <c r="E42" s="166" t="s">
        <v>17</v>
      </c>
      <c r="F42" s="166" t="s">
        <v>119</v>
      </c>
      <c r="G42" s="358" t="s">
        <v>112</v>
      </c>
      <c r="H42" s="359"/>
      <c r="I42" s="358" t="s">
        <v>35</v>
      </c>
      <c r="J42" s="275"/>
      <c r="L42" s="270" t="s">
        <v>74</v>
      </c>
      <c r="M42" s="271"/>
      <c r="N42" s="273"/>
      <c r="O42" s="270" t="s">
        <v>76</v>
      </c>
      <c r="P42" s="271"/>
      <c r="Q42" s="273"/>
      <c r="R42" s="270" t="s">
        <v>48</v>
      </c>
      <c r="S42" s="271"/>
      <c r="T42" s="273"/>
      <c r="U42" s="270" t="s">
        <v>82</v>
      </c>
      <c r="V42" s="271"/>
      <c r="W42" s="273"/>
      <c r="X42" s="270" t="s">
        <v>48</v>
      </c>
      <c r="Y42" s="271"/>
      <c r="Z42" s="273"/>
      <c r="AA42" s="270" t="s">
        <v>58</v>
      </c>
      <c r="AB42" s="271"/>
      <c r="AC42" s="273"/>
      <c r="AD42" s="270" t="s">
        <v>86</v>
      </c>
      <c r="AE42" s="271"/>
      <c r="AF42" s="273"/>
      <c r="AG42" s="270" t="s">
        <v>87</v>
      </c>
      <c r="AH42" s="271"/>
      <c r="AI42" s="273"/>
      <c r="AJ42" s="359" t="s">
        <v>95</v>
      </c>
      <c r="AK42" s="271"/>
      <c r="AL42" s="273"/>
      <c r="AM42" s="359" t="s">
        <v>95</v>
      </c>
      <c r="AN42" s="271"/>
      <c r="AO42" s="273"/>
    </row>
    <row r="43" spans="2:41" x14ac:dyDescent="0.3">
      <c r="B43" s="14">
        <v>36</v>
      </c>
      <c r="C43" s="6"/>
      <c r="D43" s="6"/>
      <c r="E43" s="6"/>
      <c r="F43" s="6"/>
      <c r="G43" s="356"/>
      <c r="H43" s="357"/>
      <c r="I43" s="356"/>
      <c r="J43" s="269"/>
      <c r="L43" s="385"/>
      <c r="M43" s="349"/>
      <c r="N43" s="350"/>
      <c r="O43" s="385"/>
      <c r="P43" s="349"/>
      <c r="Q43" s="350"/>
      <c r="R43" s="385"/>
      <c r="S43" s="349"/>
      <c r="T43" s="350"/>
      <c r="U43" s="385"/>
      <c r="V43" s="349"/>
      <c r="W43" s="350"/>
      <c r="X43" s="385"/>
      <c r="Y43" s="349"/>
      <c r="Z43" s="350"/>
      <c r="AA43" s="385"/>
      <c r="AB43" s="349"/>
      <c r="AC43" s="350"/>
      <c r="AD43" s="385"/>
      <c r="AE43" s="349"/>
      <c r="AF43" s="350"/>
      <c r="AG43" s="385"/>
      <c r="AH43" s="349"/>
      <c r="AI43" s="350"/>
      <c r="AJ43" s="357"/>
      <c r="AK43" s="349"/>
      <c r="AL43" s="350"/>
      <c r="AM43" s="357"/>
      <c r="AN43" s="349"/>
      <c r="AO43" s="350"/>
    </row>
    <row r="44" spans="2:41" x14ac:dyDescent="0.3">
      <c r="B44" s="15">
        <v>37</v>
      </c>
      <c r="C44" s="5"/>
      <c r="D44" s="5"/>
      <c r="E44" s="5"/>
      <c r="F44" s="5"/>
      <c r="G44" s="358"/>
      <c r="H44" s="359"/>
      <c r="I44" s="358"/>
      <c r="J44" s="275"/>
      <c r="L44" s="270"/>
      <c r="M44" s="271"/>
      <c r="N44" s="273"/>
      <c r="O44" s="270"/>
      <c r="P44" s="271"/>
      <c r="Q44" s="273"/>
      <c r="R44" s="270"/>
      <c r="S44" s="271"/>
      <c r="T44" s="273"/>
      <c r="U44" s="270"/>
      <c r="V44" s="271"/>
      <c r="W44" s="273"/>
      <c r="X44" s="270"/>
      <c r="Y44" s="271"/>
      <c r="Z44" s="273"/>
      <c r="AA44" s="270"/>
      <c r="AB44" s="271"/>
      <c r="AC44" s="273"/>
      <c r="AD44" s="270"/>
      <c r="AE44" s="271"/>
      <c r="AF44" s="273"/>
      <c r="AG44" s="270"/>
      <c r="AH44" s="271"/>
      <c r="AI44" s="273"/>
      <c r="AJ44" s="359"/>
      <c r="AK44" s="271"/>
      <c r="AL44" s="273"/>
      <c r="AM44" s="359"/>
      <c r="AN44" s="271"/>
      <c r="AO44" s="273"/>
    </row>
    <row r="45" spans="2:41" x14ac:dyDescent="0.3">
      <c r="B45" s="14">
        <v>38</v>
      </c>
      <c r="C45" s="6"/>
      <c r="D45" s="6"/>
      <c r="E45" s="6"/>
      <c r="F45" s="6"/>
      <c r="G45" s="356"/>
      <c r="H45" s="357"/>
      <c r="I45" s="356"/>
      <c r="J45" s="269"/>
      <c r="L45" s="385"/>
      <c r="M45" s="349"/>
      <c r="N45" s="350"/>
      <c r="O45" s="385"/>
      <c r="P45" s="349"/>
      <c r="Q45" s="350"/>
      <c r="R45" s="385"/>
      <c r="S45" s="349"/>
      <c r="T45" s="350"/>
      <c r="U45" s="385"/>
      <c r="V45" s="349"/>
      <c r="W45" s="350"/>
      <c r="X45" s="385"/>
      <c r="Y45" s="349"/>
      <c r="Z45" s="350"/>
      <c r="AA45" s="385"/>
      <c r="AB45" s="349"/>
      <c r="AC45" s="350"/>
      <c r="AD45" s="385"/>
      <c r="AE45" s="349"/>
      <c r="AF45" s="350"/>
      <c r="AG45" s="385"/>
      <c r="AH45" s="349"/>
      <c r="AI45" s="350"/>
      <c r="AJ45" s="357"/>
      <c r="AK45" s="349"/>
      <c r="AL45" s="350"/>
      <c r="AM45" s="357"/>
      <c r="AN45" s="349"/>
      <c r="AO45" s="350"/>
    </row>
    <row r="46" spans="2:41" x14ac:dyDescent="0.3">
      <c r="B46" s="15">
        <v>39</v>
      </c>
      <c r="C46" s="5"/>
      <c r="D46" s="5"/>
      <c r="E46" s="5"/>
      <c r="F46" s="5"/>
      <c r="G46" s="358"/>
      <c r="H46" s="359"/>
      <c r="I46" s="358"/>
      <c r="J46" s="275"/>
      <c r="L46" s="270"/>
      <c r="M46" s="271"/>
      <c r="N46" s="273"/>
      <c r="O46" s="270"/>
      <c r="P46" s="271"/>
      <c r="Q46" s="273"/>
      <c r="R46" s="270"/>
      <c r="S46" s="271"/>
      <c r="T46" s="273"/>
      <c r="U46" s="270"/>
      <c r="V46" s="271"/>
      <c r="W46" s="273"/>
      <c r="X46" s="270"/>
      <c r="Y46" s="271"/>
      <c r="Z46" s="273"/>
      <c r="AA46" s="270"/>
      <c r="AB46" s="271"/>
      <c r="AC46" s="273"/>
      <c r="AD46" s="270"/>
      <c r="AE46" s="271"/>
      <c r="AF46" s="273"/>
      <c r="AG46" s="270"/>
      <c r="AH46" s="271"/>
      <c r="AI46" s="273"/>
      <c r="AJ46" s="359"/>
      <c r="AK46" s="271"/>
      <c r="AL46" s="273"/>
      <c r="AM46" s="359"/>
      <c r="AN46" s="271"/>
      <c r="AO46" s="273"/>
    </row>
    <row r="47" spans="2:41" x14ac:dyDescent="0.3">
      <c r="B47" s="14">
        <v>40</v>
      </c>
      <c r="C47" s="6"/>
      <c r="D47" s="6"/>
      <c r="E47" s="6"/>
      <c r="F47" s="6"/>
      <c r="G47" s="356"/>
      <c r="H47" s="357"/>
      <c r="I47" s="356"/>
      <c r="J47" s="269"/>
      <c r="L47" s="385"/>
      <c r="M47" s="349"/>
      <c r="N47" s="350"/>
      <c r="O47" s="385"/>
      <c r="P47" s="349"/>
      <c r="Q47" s="350"/>
      <c r="R47" s="385"/>
      <c r="S47" s="349"/>
      <c r="T47" s="350"/>
      <c r="U47" s="385"/>
      <c r="V47" s="349"/>
      <c r="W47" s="350"/>
      <c r="X47" s="385"/>
      <c r="Y47" s="349"/>
      <c r="Z47" s="350"/>
      <c r="AA47" s="385"/>
      <c r="AB47" s="349"/>
      <c r="AC47" s="350"/>
      <c r="AD47" s="385"/>
      <c r="AE47" s="349"/>
      <c r="AF47" s="350"/>
      <c r="AG47" s="385"/>
      <c r="AH47" s="349"/>
      <c r="AI47" s="350"/>
      <c r="AJ47" s="357"/>
      <c r="AK47" s="349"/>
      <c r="AL47" s="350"/>
      <c r="AM47" s="357"/>
      <c r="AN47" s="349"/>
      <c r="AO47" s="350"/>
    </row>
    <row r="48" spans="2:41" x14ac:dyDescent="0.3">
      <c r="B48" s="15">
        <v>41</v>
      </c>
      <c r="C48" s="5"/>
      <c r="D48" s="5"/>
      <c r="E48" s="5"/>
      <c r="F48" s="5"/>
      <c r="G48" s="358"/>
      <c r="H48" s="359"/>
      <c r="I48" s="358"/>
      <c r="J48" s="275"/>
      <c r="L48" s="270"/>
      <c r="M48" s="271"/>
      <c r="N48" s="273"/>
      <c r="O48" s="270"/>
      <c r="P48" s="271"/>
      <c r="Q48" s="273"/>
      <c r="R48" s="270"/>
      <c r="S48" s="271"/>
      <c r="T48" s="273"/>
      <c r="U48" s="270"/>
      <c r="V48" s="271"/>
      <c r="W48" s="273"/>
      <c r="X48" s="270"/>
      <c r="Y48" s="271"/>
      <c r="Z48" s="273"/>
      <c r="AA48" s="270"/>
      <c r="AB48" s="271"/>
      <c r="AC48" s="273"/>
      <c r="AD48" s="270"/>
      <c r="AE48" s="271"/>
      <c r="AF48" s="273"/>
      <c r="AG48" s="270"/>
      <c r="AH48" s="271"/>
      <c r="AI48" s="273"/>
      <c r="AJ48" s="359"/>
      <c r="AK48" s="271"/>
      <c r="AL48" s="273"/>
      <c r="AM48" s="359"/>
      <c r="AN48" s="271"/>
      <c r="AO48" s="273"/>
    </row>
    <row r="49" spans="2:41" x14ac:dyDescent="0.3">
      <c r="B49" s="14">
        <v>42</v>
      </c>
      <c r="C49" s="6"/>
      <c r="D49" s="6"/>
      <c r="E49" s="6"/>
      <c r="F49" s="6"/>
      <c r="G49" s="356"/>
      <c r="H49" s="357"/>
      <c r="I49" s="356"/>
      <c r="J49" s="269"/>
      <c r="L49" s="385"/>
      <c r="M49" s="349"/>
      <c r="N49" s="350"/>
      <c r="O49" s="385"/>
      <c r="P49" s="349"/>
      <c r="Q49" s="350"/>
      <c r="R49" s="385"/>
      <c r="S49" s="349"/>
      <c r="T49" s="350"/>
      <c r="U49" s="385"/>
      <c r="V49" s="349"/>
      <c r="W49" s="350"/>
      <c r="X49" s="385"/>
      <c r="Y49" s="349"/>
      <c r="Z49" s="350"/>
      <c r="AA49" s="385"/>
      <c r="AB49" s="349"/>
      <c r="AC49" s="350"/>
      <c r="AD49" s="385"/>
      <c r="AE49" s="349"/>
      <c r="AF49" s="350"/>
      <c r="AG49" s="385"/>
      <c r="AH49" s="349"/>
      <c r="AI49" s="350"/>
      <c r="AJ49" s="357"/>
      <c r="AK49" s="349"/>
      <c r="AL49" s="350"/>
      <c r="AM49" s="357"/>
      <c r="AN49" s="349"/>
      <c r="AO49" s="350"/>
    </row>
    <row r="50" spans="2:41" x14ac:dyDescent="0.3">
      <c r="B50" s="15">
        <v>43</v>
      </c>
      <c r="C50" s="5"/>
      <c r="D50" s="5"/>
      <c r="E50" s="5"/>
      <c r="F50" s="5"/>
      <c r="G50" s="358"/>
      <c r="H50" s="359"/>
      <c r="I50" s="358"/>
      <c r="J50" s="275"/>
      <c r="L50" s="270"/>
      <c r="M50" s="271"/>
      <c r="N50" s="273"/>
      <c r="O50" s="270"/>
      <c r="P50" s="271"/>
      <c r="Q50" s="273"/>
      <c r="R50" s="270"/>
      <c r="S50" s="271"/>
      <c r="T50" s="273"/>
      <c r="U50" s="270"/>
      <c r="V50" s="271"/>
      <c r="W50" s="273"/>
      <c r="X50" s="270"/>
      <c r="Y50" s="271"/>
      <c r="Z50" s="273"/>
      <c r="AA50" s="270"/>
      <c r="AB50" s="271"/>
      <c r="AC50" s="273"/>
      <c r="AD50" s="270"/>
      <c r="AE50" s="271"/>
      <c r="AF50" s="273"/>
      <c r="AG50" s="270"/>
      <c r="AH50" s="271"/>
      <c r="AI50" s="273"/>
      <c r="AJ50" s="359"/>
      <c r="AK50" s="271"/>
      <c r="AL50" s="273"/>
      <c r="AM50" s="359"/>
      <c r="AN50" s="271"/>
      <c r="AO50" s="273"/>
    </row>
    <row r="51" spans="2:41" x14ac:dyDescent="0.3">
      <c r="B51" s="14">
        <v>44</v>
      </c>
      <c r="C51" s="6"/>
      <c r="D51" s="6"/>
      <c r="E51" s="6"/>
      <c r="F51" s="6"/>
      <c r="G51" s="356"/>
      <c r="H51" s="357"/>
      <c r="I51" s="356"/>
      <c r="J51" s="269"/>
      <c r="L51" s="385"/>
      <c r="M51" s="349"/>
      <c r="N51" s="350"/>
      <c r="O51" s="385"/>
      <c r="P51" s="349"/>
      <c r="Q51" s="350"/>
      <c r="R51" s="385"/>
      <c r="S51" s="349"/>
      <c r="T51" s="350"/>
      <c r="U51" s="385"/>
      <c r="V51" s="349"/>
      <c r="W51" s="350"/>
      <c r="X51" s="385"/>
      <c r="Y51" s="349"/>
      <c r="Z51" s="350"/>
      <c r="AA51" s="385"/>
      <c r="AB51" s="349"/>
      <c r="AC51" s="350"/>
      <c r="AD51" s="385"/>
      <c r="AE51" s="349"/>
      <c r="AF51" s="350"/>
      <c r="AG51" s="385"/>
      <c r="AH51" s="349"/>
      <c r="AI51" s="350"/>
      <c r="AJ51" s="357"/>
      <c r="AK51" s="349"/>
      <c r="AL51" s="350"/>
      <c r="AM51" s="357"/>
      <c r="AN51" s="349"/>
      <c r="AO51" s="350"/>
    </row>
    <row r="52" spans="2:41" x14ac:dyDescent="0.3">
      <c r="B52" s="15">
        <v>45</v>
      </c>
      <c r="C52" s="5"/>
      <c r="D52" s="5"/>
      <c r="E52" s="5"/>
      <c r="F52" s="5"/>
      <c r="G52" s="358"/>
      <c r="H52" s="359"/>
      <c r="I52" s="358"/>
      <c r="J52" s="275"/>
      <c r="L52" s="270"/>
      <c r="M52" s="271"/>
      <c r="N52" s="273"/>
      <c r="O52" s="270"/>
      <c r="P52" s="271"/>
      <c r="Q52" s="273"/>
      <c r="R52" s="270"/>
      <c r="S52" s="271"/>
      <c r="T52" s="273"/>
      <c r="U52" s="270"/>
      <c r="V52" s="271"/>
      <c r="W52" s="273"/>
      <c r="X52" s="270"/>
      <c r="Y52" s="271"/>
      <c r="Z52" s="273"/>
      <c r="AA52" s="270"/>
      <c r="AB52" s="271"/>
      <c r="AC52" s="273"/>
      <c r="AD52" s="270"/>
      <c r="AE52" s="271"/>
      <c r="AF52" s="273"/>
      <c r="AG52" s="270"/>
      <c r="AH52" s="271"/>
      <c r="AI52" s="273"/>
      <c r="AJ52" s="359"/>
      <c r="AK52" s="271"/>
      <c r="AL52" s="273"/>
      <c r="AM52" s="359"/>
      <c r="AN52" s="271"/>
      <c r="AO52" s="273"/>
    </row>
    <row r="53" spans="2:41" x14ac:dyDescent="0.3">
      <c r="B53" s="14">
        <v>46</v>
      </c>
      <c r="C53" s="6"/>
      <c r="D53" s="6"/>
      <c r="E53" s="6"/>
      <c r="F53" s="6"/>
      <c r="G53" s="356"/>
      <c r="H53" s="357"/>
      <c r="I53" s="356"/>
      <c r="J53" s="269"/>
      <c r="L53" s="385"/>
      <c r="M53" s="349"/>
      <c r="N53" s="350"/>
      <c r="O53" s="385"/>
      <c r="P53" s="349"/>
      <c r="Q53" s="350"/>
      <c r="R53" s="385"/>
      <c r="S53" s="349"/>
      <c r="T53" s="350"/>
      <c r="U53" s="385"/>
      <c r="V53" s="349"/>
      <c r="W53" s="350"/>
      <c r="X53" s="385"/>
      <c r="Y53" s="349"/>
      <c r="Z53" s="350"/>
      <c r="AA53" s="385"/>
      <c r="AB53" s="349"/>
      <c r="AC53" s="350"/>
      <c r="AD53" s="385"/>
      <c r="AE53" s="349"/>
      <c r="AF53" s="350"/>
      <c r="AG53" s="385"/>
      <c r="AH53" s="349"/>
      <c r="AI53" s="350"/>
      <c r="AJ53" s="357"/>
      <c r="AK53" s="349"/>
      <c r="AL53" s="350"/>
      <c r="AM53" s="357"/>
      <c r="AN53" s="349"/>
      <c r="AO53" s="350"/>
    </row>
    <row r="54" spans="2:41" x14ac:dyDescent="0.3">
      <c r="B54" s="15">
        <v>47</v>
      </c>
      <c r="C54" s="5"/>
      <c r="D54" s="5"/>
      <c r="E54" s="5"/>
      <c r="F54" s="5"/>
      <c r="G54" s="358"/>
      <c r="H54" s="359"/>
      <c r="I54" s="358"/>
      <c r="J54" s="275"/>
      <c r="L54" s="270"/>
      <c r="M54" s="271"/>
      <c r="N54" s="273"/>
      <c r="O54" s="270"/>
      <c r="P54" s="271"/>
      <c r="Q54" s="273"/>
      <c r="R54" s="270"/>
      <c r="S54" s="271"/>
      <c r="T54" s="273"/>
      <c r="U54" s="270"/>
      <c r="V54" s="271"/>
      <c r="W54" s="273"/>
      <c r="X54" s="270"/>
      <c r="Y54" s="271"/>
      <c r="Z54" s="273"/>
      <c r="AA54" s="270"/>
      <c r="AB54" s="271"/>
      <c r="AC54" s="273"/>
      <c r="AD54" s="270"/>
      <c r="AE54" s="271"/>
      <c r="AF54" s="273"/>
      <c r="AG54" s="270"/>
      <c r="AH54" s="271"/>
      <c r="AI54" s="273"/>
      <c r="AJ54" s="359"/>
      <c r="AK54" s="271"/>
      <c r="AL54" s="273"/>
      <c r="AM54" s="359"/>
      <c r="AN54" s="271"/>
      <c r="AO54" s="273"/>
    </row>
    <row r="55" spans="2:41" x14ac:dyDescent="0.3">
      <c r="B55" s="14">
        <v>48</v>
      </c>
      <c r="C55" s="6"/>
      <c r="D55" s="6"/>
      <c r="E55" s="6"/>
      <c r="F55" s="6"/>
      <c r="G55" s="356"/>
      <c r="H55" s="357"/>
      <c r="I55" s="356"/>
      <c r="J55" s="269"/>
      <c r="L55" s="385"/>
      <c r="M55" s="349"/>
      <c r="N55" s="350"/>
      <c r="O55" s="385"/>
      <c r="P55" s="349"/>
      <c r="Q55" s="350"/>
      <c r="R55" s="385"/>
      <c r="S55" s="349"/>
      <c r="T55" s="350"/>
      <c r="U55" s="385"/>
      <c r="V55" s="349"/>
      <c r="W55" s="350"/>
      <c r="X55" s="385"/>
      <c r="Y55" s="349"/>
      <c r="Z55" s="350"/>
      <c r="AA55" s="385"/>
      <c r="AB55" s="349"/>
      <c r="AC55" s="350"/>
      <c r="AD55" s="385"/>
      <c r="AE55" s="349"/>
      <c r="AF55" s="350"/>
      <c r="AG55" s="385"/>
      <c r="AH55" s="349"/>
      <c r="AI55" s="350"/>
      <c r="AJ55" s="357"/>
      <c r="AK55" s="349"/>
      <c r="AL55" s="350"/>
      <c r="AM55" s="357"/>
      <c r="AN55" s="349"/>
      <c r="AO55" s="350"/>
    </row>
    <row r="56" spans="2:41" x14ac:dyDescent="0.3">
      <c r="B56" s="15">
        <v>49</v>
      </c>
      <c r="C56" s="5"/>
      <c r="D56" s="5"/>
      <c r="E56" s="5"/>
      <c r="F56" s="5"/>
      <c r="G56" s="358"/>
      <c r="H56" s="359"/>
      <c r="I56" s="358"/>
      <c r="J56" s="275"/>
      <c r="L56" s="270"/>
      <c r="M56" s="271"/>
      <c r="N56" s="273"/>
      <c r="O56" s="270"/>
      <c r="P56" s="271"/>
      <c r="Q56" s="273"/>
      <c r="R56" s="270"/>
      <c r="S56" s="271"/>
      <c r="T56" s="273"/>
      <c r="U56" s="270"/>
      <c r="V56" s="271"/>
      <c r="W56" s="273"/>
      <c r="X56" s="270"/>
      <c r="Y56" s="271"/>
      <c r="Z56" s="273"/>
      <c r="AA56" s="270"/>
      <c r="AB56" s="271"/>
      <c r="AC56" s="273"/>
      <c r="AD56" s="270"/>
      <c r="AE56" s="271"/>
      <c r="AF56" s="273"/>
      <c r="AG56" s="270"/>
      <c r="AH56" s="271"/>
      <c r="AI56" s="273"/>
      <c r="AJ56" s="359"/>
      <c r="AK56" s="271"/>
      <c r="AL56" s="273"/>
      <c r="AM56" s="359"/>
      <c r="AN56" s="271"/>
      <c r="AO56" s="273"/>
    </row>
    <row r="57" spans="2:41" ht="15" thickBot="1" x14ac:dyDescent="0.35">
      <c r="B57" s="168">
        <v>50</v>
      </c>
      <c r="C57" s="18"/>
      <c r="D57" s="18"/>
      <c r="E57" s="18"/>
      <c r="F57" s="18"/>
      <c r="G57" s="393"/>
      <c r="H57" s="394"/>
      <c r="I57" s="393"/>
      <c r="J57" s="283"/>
      <c r="L57" s="387"/>
      <c r="M57" s="351"/>
      <c r="N57" s="352"/>
      <c r="O57" s="387"/>
      <c r="P57" s="351"/>
      <c r="Q57" s="352"/>
      <c r="R57" s="387"/>
      <c r="S57" s="351"/>
      <c r="T57" s="352"/>
      <c r="U57" s="387"/>
      <c r="V57" s="351"/>
      <c r="W57" s="352"/>
      <c r="X57" s="387"/>
      <c r="Y57" s="351"/>
      <c r="Z57" s="352"/>
      <c r="AA57" s="387"/>
      <c r="AB57" s="351"/>
      <c r="AC57" s="352"/>
      <c r="AD57" s="387"/>
      <c r="AE57" s="351"/>
      <c r="AF57" s="352"/>
      <c r="AG57" s="387"/>
      <c r="AH57" s="351"/>
      <c r="AI57" s="352"/>
      <c r="AJ57" s="394"/>
      <c r="AK57" s="351"/>
      <c r="AL57" s="352"/>
      <c r="AM57" s="387"/>
      <c r="AN57" s="351"/>
      <c r="AO57" s="352"/>
    </row>
    <row r="58" spans="2:41" x14ac:dyDescent="0.3">
      <c r="M58" s="38"/>
    </row>
    <row r="59" spans="2:41" ht="15" thickBot="1" x14ac:dyDescent="0.35">
      <c r="M59" s="38"/>
      <c r="N59" s="10"/>
      <c r="O59" s="10"/>
      <c r="P59" s="10"/>
      <c r="Q59" s="10"/>
      <c r="R59" s="10"/>
      <c r="S59" s="10"/>
      <c r="T59" s="10"/>
      <c r="U59" s="10"/>
      <c r="V59" s="10"/>
      <c r="AA59" s="3"/>
    </row>
    <row r="60" spans="2:41" ht="15" thickBot="1" x14ac:dyDescent="0.35">
      <c r="B60" s="284" t="s">
        <v>6</v>
      </c>
      <c r="C60" s="10"/>
      <c r="D60" s="23" t="s">
        <v>0</v>
      </c>
      <c r="E60" s="24" t="s">
        <v>9</v>
      </c>
      <c r="F60" s="24" t="s">
        <v>10</v>
      </c>
      <c r="G60" s="131" t="s">
        <v>129</v>
      </c>
      <c r="H60" s="37"/>
      <c r="I60" s="158"/>
      <c r="J60" s="37"/>
      <c r="M60" s="38"/>
      <c r="N60" s="310" t="s">
        <v>148</v>
      </c>
      <c r="O60" s="388"/>
      <c r="P60" s="388"/>
      <c r="Q60" s="388"/>
      <c r="R60" s="388"/>
      <c r="S60" s="388"/>
      <c r="T60" s="388"/>
      <c r="U60" s="388"/>
      <c r="V60" s="389"/>
      <c r="W60" s="159"/>
      <c r="X60" s="38"/>
    </row>
    <row r="61" spans="2:41" ht="15" thickBot="1" x14ac:dyDescent="0.35">
      <c r="B61" s="285"/>
      <c r="C61" s="8"/>
      <c r="D61" s="49" t="s">
        <v>7</v>
      </c>
      <c r="E61" s="154">
        <f>COUNTIF(Gender,"Male")</f>
        <v>18</v>
      </c>
      <c r="F61" s="94">
        <f>E$61/SUM(E61:E62)</f>
        <v>0.51428571428571423</v>
      </c>
      <c r="G61" s="117">
        <f>RANK(F61,$F$61:$F$62,0)</f>
        <v>1</v>
      </c>
      <c r="H61" s="39"/>
      <c r="I61" s="158"/>
      <c r="J61" s="39"/>
      <c r="N61" s="300" t="s">
        <v>75</v>
      </c>
      <c r="O61" s="301"/>
      <c r="P61" s="302"/>
      <c r="Q61" s="310" t="s">
        <v>9</v>
      </c>
      <c r="R61" s="311"/>
      <c r="S61" s="310" t="s">
        <v>10</v>
      </c>
      <c r="T61" s="312"/>
      <c r="U61" s="310" t="s">
        <v>129</v>
      </c>
      <c r="V61" s="312"/>
      <c r="W61" s="37"/>
    </row>
    <row r="62" spans="2:41" ht="15" thickBot="1" x14ac:dyDescent="0.35">
      <c r="B62" s="286"/>
      <c r="C62" s="8"/>
      <c r="D62" s="50" t="s">
        <v>8</v>
      </c>
      <c r="E62" s="148">
        <f>COUNTIF(Gender,"Female")</f>
        <v>17</v>
      </c>
      <c r="F62" s="133">
        <f>E$62/SUM(E61:E62)</f>
        <v>0.48571428571428571</v>
      </c>
      <c r="G62" s="149">
        <f>RANK(F62,$F$61:$F$62,0)</f>
        <v>2</v>
      </c>
      <c r="H62" s="39"/>
      <c r="I62" s="39"/>
      <c r="J62" s="39"/>
      <c r="N62" s="303"/>
      <c r="O62" s="304"/>
      <c r="P62" s="305"/>
      <c r="Q62" s="81" t="s">
        <v>38</v>
      </c>
      <c r="R62" s="82" t="s">
        <v>39</v>
      </c>
      <c r="S62" s="82" t="s">
        <v>38</v>
      </c>
      <c r="T62" s="83" t="s">
        <v>39</v>
      </c>
      <c r="U62" s="82" t="s">
        <v>38</v>
      </c>
      <c r="V62" s="180" t="s">
        <v>39</v>
      </c>
      <c r="W62" s="186"/>
    </row>
    <row r="63" spans="2:41" ht="15" thickBot="1" x14ac:dyDescent="0.35">
      <c r="B63" s="34"/>
      <c r="C63" s="8"/>
      <c r="D63" s="32"/>
      <c r="E63" s="33"/>
      <c r="F63" s="2"/>
      <c r="N63" s="390" t="s">
        <v>40</v>
      </c>
      <c r="O63" s="391"/>
      <c r="P63" s="391"/>
      <c r="Q63" s="391"/>
      <c r="R63" s="391"/>
      <c r="S63" s="391"/>
      <c r="T63" s="391"/>
      <c r="U63" s="391"/>
      <c r="V63" s="391"/>
      <c r="W63" s="186"/>
      <c r="X63" s="38"/>
    </row>
    <row r="64" spans="2:41" ht="15" thickBot="1" x14ac:dyDescent="0.35">
      <c r="C64" s="27"/>
      <c r="D64" s="127" t="s">
        <v>11</v>
      </c>
      <c r="E64" s="128">
        <f>E61+E62</f>
        <v>35</v>
      </c>
      <c r="F64" s="129">
        <f>SUM(F61:F62)</f>
        <v>1</v>
      </c>
      <c r="N64" s="313" t="s">
        <v>74</v>
      </c>
      <c r="O64" s="314"/>
      <c r="P64" s="314"/>
      <c r="Q64" s="155">
        <f>COUNTIF($L$8:$N$57,"School/Work at home")</f>
        <v>9</v>
      </c>
      <c r="R64" s="155">
        <f>COUNTIF($O$8:$Q$57,"School/Work at home")</f>
        <v>21</v>
      </c>
      <c r="S64" s="85">
        <f>Q64/SUM(Q64:Q70)</f>
        <v>0.25714285714285712</v>
      </c>
      <c r="T64" s="85">
        <f>R64/SUM(R64:R70)</f>
        <v>0.6</v>
      </c>
      <c r="U64" s="13">
        <f>RANK(S64,$S$64:$S$70,0)</f>
        <v>1</v>
      </c>
      <c r="V64" s="196">
        <f>RANK(T64,$T$64:$T$70,0)</f>
        <v>1</v>
      </c>
      <c r="W64" s="8"/>
      <c r="X64" s="8"/>
    </row>
    <row r="65" spans="4:24" ht="15" thickBot="1" x14ac:dyDescent="0.35">
      <c r="D65" s="126" t="s">
        <v>131</v>
      </c>
      <c r="E65" s="392" t="str">
        <f>INDEX($D$61:$D$62,MATCH(SMALL($F$61:$F$62,1),$F$61:$F$62,0))</f>
        <v>Female</v>
      </c>
      <c r="F65" s="392"/>
      <c r="G65" s="65" cm="1">
        <f t="array" ref="G65">INDEX($F$61:$F$62,MATCH(E65,$D$61:$D$62,0),0)</f>
        <v>0.48571428571428571</v>
      </c>
      <c r="N65" s="270" t="s">
        <v>76</v>
      </c>
      <c r="O65" s="271"/>
      <c r="P65" s="271"/>
      <c r="Q65" s="155">
        <f>COUNTIF($L$8:$N$57,"Less than 1 km")</f>
        <v>3</v>
      </c>
      <c r="R65" s="155">
        <f>COUNTIF($O$8:$Q$57,"Less than 1 km")</f>
        <v>1</v>
      </c>
      <c r="S65" s="87">
        <f>Q65/SUM(Q64:Q70)</f>
        <v>8.5714285714285715E-2</v>
      </c>
      <c r="T65" s="87">
        <f>R65/SUM(R64:R70)</f>
        <v>2.8571428571428571E-2</v>
      </c>
      <c r="U65" s="5">
        <f t="shared" ref="U65:U70" si="0">RANK(S65,$S$64:$S$70,0)</f>
        <v>4</v>
      </c>
      <c r="V65" s="16">
        <f t="shared" ref="V65:V70" si="1">RANK(T65,$T$64:$T$70,0)</f>
        <v>6</v>
      </c>
      <c r="W65" s="8"/>
      <c r="X65" s="8"/>
    </row>
    <row r="66" spans="4:24" ht="15" thickBot="1" x14ac:dyDescent="0.35">
      <c r="D66" s="126" t="s">
        <v>130</v>
      </c>
      <c r="E66" s="392" t="str">
        <f>INDEX($D$61:$D$62,MATCH(LARGE($F$61:$F$62,1),$F$61:$F$62,0))</f>
        <v>Male</v>
      </c>
      <c r="F66" s="392"/>
      <c r="G66" s="65" cm="1">
        <f t="array" ref="G66">INDEX($F$61:$F$62,MATCH(E66,$D$61:$D$62,0),0)</f>
        <v>0.51428571428571423</v>
      </c>
      <c r="I66" s="158"/>
      <c r="N66" s="306" t="s">
        <v>77</v>
      </c>
      <c r="O66" s="271"/>
      <c r="P66" s="271"/>
      <c r="Q66" s="155">
        <f>COUNTIF($L$8:$N$57,"1 km to 5 km")</f>
        <v>9</v>
      </c>
      <c r="R66" s="155">
        <f>COUNTIF($O$8:$Q$57,"1 km to 5 km")</f>
        <v>4</v>
      </c>
      <c r="S66" s="87">
        <f>Q66/SUM(Q64:Q70)</f>
        <v>0.25714285714285712</v>
      </c>
      <c r="T66" s="87">
        <f>R66/SUM(R64:R70)</f>
        <v>0.11428571428571428</v>
      </c>
      <c r="U66" s="5">
        <f t="shared" si="0"/>
        <v>1</v>
      </c>
      <c r="V66" s="16">
        <f t="shared" si="1"/>
        <v>2</v>
      </c>
      <c r="W66" s="8"/>
      <c r="X66" s="8"/>
    </row>
    <row r="67" spans="4:24" ht="15" thickBot="1" x14ac:dyDescent="0.35">
      <c r="H67" s="3"/>
      <c r="I67" s="158"/>
      <c r="N67" s="270" t="s">
        <v>78</v>
      </c>
      <c r="O67" s="271"/>
      <c r="P67" s="271"/>
      <c r="Q67" s="155">
        <f>COUNTIF($L$8:$N$57,"6 km to 10 km")</f>
        <v>2</v>
      </c>
      <c r="R67" s="155">
        <f>COUNTIF($O$8:$Q$57,"6 km to 10 km")</f>
        <v>1</v>
      </c>
      <c r="S67" s="87">
        <f>Q67/SUM(Q64:Q70)</f>
        <v>5.7142857142857141E-2</v>
      </c>
      <c r="T67" s="87">
        <f>R67/SUM(R64:R70)</f>
        <v>2.8571428571428571E-2</v>
      </c>
      <c r="U67" s="5">
        <f t="shared" si="0"/>
        <v>7</v>
      </c>
      <c r="V67" s="16">
        <f t="shared" si="1"/>
        <v>6</v>
      </c>
      <c r="W67" s="8"/>
      <c r="X67" s="8"/>
    </row>
    <row r="68" spans="4:24" ht="15" thickBot="1" x14ac:dyDescent="0.35">
      <c r="D68" s="23" t="s">
        <v>1</v>
      </c>
      <c r="E68" s="24" t="s">
        <v>9</v>
      </c>
      <c r="F68" s="24" t="s">
        <v>10</v>
      </c>
      <c r="G68" s="131" t="s">
        <v>129</v>
      </c>
      <c r="N68" s="270" t="s">
        <v>79</v>
      </c>
      <c r="O68" s="271"/>
      <c r="P68" s="271"/>
      <c r="Q68" s="155">
        <f>COUNTIF($L$8:$N$57,"11 km to 15 km")</f>
        <v>3</v>
      </c>
      <c r="R68" s="155">
        <f>COUNTIF($O$8:$Q$57,"11 km to 15 km")</f>
        <v>2</v>
      </c>
      <c r="S68" s="87">
        <f>Q68/SUM(Q64:Q70)</f>
        <v>8.5714285714285715E-2</v>
      </c>
      <c r="T68" s="87">
        <f>R68/SUM(R64:R70)</f>
        <v>5.7142857142857141E-2</v>
      </c>
      <c r="U68" s="5">
        <f t="shared" si="0"/>
        <v>4</v>
      </c>
      <c r="V68" s="16">
        <f t="shared" si="1"/>
        <v>4</v>
      </c>
      <c r="W68" s="8"/>
      <c r="X68" s="8"/>
    </row>
    <row r="69" spans="4:24" ht="15" thickBot="1" x14ac:dyDescent="0.35">
      <c r="D69" s="153" t="s">
        <v>12</v>
      </c>
      <c r="E69" s="154">
        <f>COUNTIF(Age,"18 or lower")</f>
        <v>0</v>
      </c>
      <c r="F69" s="130">
        <f>E$69/SUM(E69:E76)</f>
        <v>0</v>
      </c>
      <c r="G69" s="156">
        <f t="shared" ref="G69:G76" si="2">RANK(F69,$F$69:$F$76,0)</f>
        <v>7</v>
      </c>
      <c r="N69" s="270" t="s">
        <v>80</v>
      </c>
      <c r="O69" s="271"/>
      <c r="P69" s="271"/>
      <c r="Q69" s="155">
        <f>COUNTIF($L$8:$N$57,"16 km to 20 km")</f>
        <v>3</v>
      </c>
      <c r="R69" s="155">
        <f>COUNTIF($O$8:$Q$57,"16 km to 20 km")</f>
        <v>2</v>
      </c>
      <c r="S69" s="87">
        <f>Q69/SUM(Q64:Q70)</f>
        <v>8.5714285714285715E-2</v>
      </c>
      <c r="T69" s="87">
        <f>R69/SUM(R64:R70)</f>
        <v>5.7142857142857141E-2</v>
      </c>
      <c r="U69" s="5">
        <f t="shared" si="0"/>
        <v>4</v>
      </c>
      <c r="V69" s="16">
        <f t="shared" si="1"/>
        <v>4</v>
      </c>
      <c r="W69" s="8"/>
      <c r="X69" s="8"/>
    </row>
    <row r="70" spans="4:24" ht="15" thickBot="1" x14ac:dyDescent="0.35">
      <c r="D70" s="150" t="s">
        <v>13</v>
      </c>
      <c r="E70" s="151">
        <f>COUNTIF(Age,"19 - 24")</f>
        <v>18</v>
      </c>
      <c r="F70" s="87">
        <f>E$70/SUM(E69:E76)</f>
        <v>0.51428571428571423</v>
      </c>
      <c r="G70" s="147">
        <f t="shared" si="2"/>
        <v>1</v>
      </c>
      <c r="N70" s="277" t="s">
        <v>81</v>
      </c>
      <c r="O70" s="278"/>
      <c r="P70" s="278"/>
      <c r="Q70" s="155">
        <f>COUNTIF($L$8:$N$57,"More than 20 km")</f>
        <v>6</v>
      </c>
      <c r="R70" s="155">
        <f>COUNTIF($O$8:$Q$57,"More than 20 km")</f>
        <v>4</v>
      </c>
      <c r="S70" s="89">
        <f>Q70/SUM(Q64:Q70)</f>
        <v>0.17142857142857143</v>
      </c>
      <c r="T70" s="89">
        <f>R70/SUM(R64:R70)</f>
        <v>0.11428571428571428</v>
      </c>
      <c r="U70" s="201">
        <f t="shared" si="0"/>
        <v>3</v>
      </c>
      <c r="V70" s="204">
        <f t="shared" si="1"/>
        <v>2</v>
      </c>
      <c r="W70" s="8"/>
      <c r="X70" s="8"/>
    </row>
    <row r="71" spans="4:24" ht="15" thickBot="1" x14ac:dyDescent="0.35">
      <c r="D71" s="150" t="s">
        <v>14</v>
      </c>
      <c r="E71" s="151">
        <f>COUNTIF(Age,"25 - 29")</f>
        <v>6</v>
      </c>
      <c r="F71" s="132">
        <f>E$71/SUM(E69:E76)</f>
        <v>0.17142857142857143</v>
      </c>
      <c r="G71" s="152">
        <f t="shared" si="2"/>
        <v>2</v>
      </c>
      <c r="N71" s="397" t="s">
        <v>11</v>
      </c>
      <c r="O71" s="398"/>
      <c r="P71" s="399"/>
      <c r="Q71" s="191">
        <f>SUM(Q64:Q70)</f>
        <v>35</v>
      </c>
      <c r="R71" s="190">
        <f>SUM(R64:R70)</f>
        <v>35</v>
      </c>
      <c r="S71" s="130">
        <f>SUM(S64:S70)</f>
        <v>1</v>
      </c>
      <c r="T71" s="92">
        <f>SUM(T64:T70)</f>
        <v>1</v>
      </c>
      <c r="U71" s="194"/>
      <c r="V71" s="193"/>
      <c r="W71" s="8"/>
      <c r="X71" s="8"/>
    </row>
    <row r="72" spans="4:24" ht="15" thickBot="1" x14ac:dyDescent="0.35">
      <c r="D72" s="42" t="s">
        <v>15</v>
      </c>
      <c r="E72" s="151">
        <f>COUNTIF(Age,"30 - 34")</f>
        <v>3</v>
      </c>
      <c r="F72" s="87">
        <f>E$72/SUM(E69:E76)</f>
        <v>8.5714285714285715E-2</v>
      </c>
      <c r="G72" s="152">
        <f t="shared" si="2"/>
        <v>3</v>
      </c>
      <c r="N72" s="400" t="s">
        <v>99</v>
      </c>
      <c r="O72" s="401"/>
      <c r="P72" s="401"/>
      <c r="Q72" s="401"/>
      <c r="R72" s="401"/>
      <c r="S72" s="401"/>
      <c r="T72" s="401"/>
      <c r="U72" s="401"/>
      <c r="V72" s="402"/>
      <c r="W72" s="144"/>
      <c r="X72" s="144"/>
    </row>
    <row r="73" spans="4:24" ht="15" thickBot="1" x14ac:dyDescent="0.35">
      <c r="D73" s="42" t="s">
        <v>16</v>
      </c>
      <c r="E73" s="151">
        <f>COUNTIF(Age,"35 - 39")</f>
        <v>2</v>
      </c>
      <c r="F73" s="87">
        <f>E$73/SUM(E69:E76)</f>
        <v>5.7142857142857141E-2</v>
      </c>
      <c r="G73" s="152">
        <f t="shared" si="2"/>
        <v>6</v>
      </c>
      <c r="N73" s="395" t="s">
        <v>48</v>
      </c>
      <c r="O73" s="396"/>
      <c r="P73" s="396"/>
      <c r="Q73" s="192">
        <f>COUNTIF($R$8:$T$57,"None")</f>
        <v>9</v>
      </c>
      <c r="R73" s="183">
        <f>COUNTIF($U$8:$W$57,"None")</f>
        <v>19</v>
      </c>
      <c r="S73" s="132">
        <f>Q73/SUM(Q73:Q81)</f>
        <v>0.25714285714285712</v>
      </c>
      <c r="T73" s="94">
        <f>R73/SUM(R73:R81)</f>
        <v>0.54285714285714282</v>
      </c>
      <c r="U73" s="13">
        <f>RANK(S73,$S$73:$S$81,0)</f>
        <v>2</v>
      </c>
      <c r="V73" s="196">
        <f t="shared" ref="V73:V81" si="3">RANK(T73,$T$73:$T$81,0)</f>
        <v>1</v>
      </c>
      <c r="W73" s="8"/>
      <c r="X73" s="8"/>
    </row>
    <row r="74" spans="4:24" ht="15" thickBot="1" x14ac:dyDescent="0.35">
      <c r="D74" s="42" t="s">
        <v>17</v>
      </c>
      <c r="E74" s="151">
        <f>COUNTIF(Age,"40 - 44")</f>
        <v>3</v>
      </c>
      <c r="F74" s="87">
        <f>E$74/SUM(E69:E76)</f>
        <v>8.5714285714285715E-2</v>
      </c>
      <c r="G74" s="147">
        <f t="shared" si="2"/>
        <v>3</v>
      </c>
      <c r="N74" s="306" t="s">
        <v>82</v>
      </c>
      <c r="O74" s="271"/>
      <c r="P74" s="271"/>
      <c r="Q74" s="161">
        <f>COUNTIF($R$8:$T$57,"Just Walking")</f>
        <v>4</v>
      </c>
      <c r="R74" s="160">
        <f>COUNTIF($U$8:$W$57,"Just Walking")</f>
        <v>1</v>
      </c>
      <c r="S74" s="87">
        <f>Q74/SUM(Q73:Q81)</f>
        <v>0.11428571428571428</v>
      </c>
      <c r="T74" s="87">
        <f>R74/SUM(R73:R81)</f>
        <v>2.8571428571428571E-2</v>
      </c>
      <c r="U74" s="5">
        <f t="shared" ref="U74:U81" si="4">RANK(S74,$S$73:$S$81,0)</f>
        <v>4</v>
      </c>
      <c r="V74" s="197">
        <f t="shared" si="3"/>
        <v>6</v>
      </c>
      <c r="W74" s="8"/>
      <c r="X74" s="8"/>
    </row>
    <row r="75" spans="4:24" ht="15" thickBot="1" x14ac:dyDescent="0.35">
      <c r="D75" s="42" t="s">
        <v>18</v>
      </c>
      <c r="E75" s="151">
        <f>COUNTIF(Age,"45 - 49")</f>
        <v>3</v>
      </c>
      <c r="F75" s="132">
        <f>E$75/SUM(E69:E76)</f>
        <v>8.5714285714285715E-2</v>
      </c>
      <c r="G75" s="152">
        <f t="shared" si="2"/>
        <v>3</v>
      </c>
      <c r="N75" s="270" t="s">
        <v>54</v>
      </c>
      <c r="O75" s="271"/>
      <c r="P75" s="271"/>
      <c r="Q75" s="161">
        <f>COUNTIF($R$8:$T$57,"Bike")</f>
        <v>1</v>
      </c>
      <c r="R75" s="160">
        <f>COUNTIF($U$8:$W$57,"Bike")</f>
        <v>2</v>
      </c>
      <c r="S75" s="87">
        <f>Q75/SUM(Q73:Q81)</f>
        <v>2.8571428571428571E-2</v>
      </c>
      <c r="T75" s="87">
        <f>R75/SUM(R73:R81)</f>
        <v>5.7142857142857141E-2</v>
      </c>
      <c r="U75" s="5">
        <f t="shared" si="4"/>
        <v>6</v>
      </c>
      <c r="V75" s="197">
        <f t="shared" si="3"/>
        <v>4</v>
      </c>
      <c r="W75" s="8"/>
      <c r="X75" s="8"/>
    </row>
    <row r="76" spans="4:24" ht="15" thickBot="1" x14ac:dyDescent="0.35">
      <c r="D76" s="43" t="s">
        <v>19</v>
      </c>
      <c r="E76" s="148">
        <f>COUNTIF(Age,"50 and above")</f>
        <v>0</v>
      </c>
      <c r="F76" s="142">
        <f>E$76/SUM(E69:E76)</f>
        <v>0</v>
      </c>
      <c r="G76" s="149">
        <f t="shared" si="2"/>
        <v>7</v>
      </c>
      <c r="N76" s="270" t="s">
        <v>49</v>
      </c>
      <c r="O76" s="271"/>
      <c r="P76" s="271"/>
      <c r="Q76" s="161">
        <f>COUNTIF($R$8:$T$57,"Tricycle")</f>
        <v>5</v>
      </c>
      <c r="R76" s="160">
        <f>COUNTIF($U$8:$W$57,"Tricycle")</f>
        <v>1</v>
      </c>
      <c r="S76" s="87">
        <f>Q76/SUM(Q73:Q81)</f>
        <v>0.14285714285714285</v>
      </c>
      <c r="T76" s="87">
        <f>R76/SUM(R73:R81)</f>
        <v>2.8571428571428571E-2</v>
      </c>
      <c r="U76" s="5">
        <f t="shared" si="4"/>
        <v>3</v>
      </c>
      <c r="V76" s="197">
        <f t="shared" si="3"/>
        <v>6</v>
      </c>
      <c r="W76" s="8"/>
      <c r="X76" s="8"/>
    </row>
    <row r="77" spans="4:24" ht="15" thickBot="1" x14ac:dyDescent="0.35">
      <c r="D77" s="32"/>
      <c r="E77" s="33"/>
      <c r="F77" s="33"/>
      <c r="N77" s="270" t="s">
        <v>50</v>
      </c>
      <c r="O77" s="271"/>
      <c r="P77" s="271"/>
      <c r="Q77" s="161">
        <f>COUNTIF($R$8:$T$57,"Motorcycle")</f>
        <v>1</v>
      </c>
      <c r="R77" s="160">
        <f>COUNTIF($U$8:$W$57,"Motorcycle")</f>
        <v>2</v>
      </c>
      <c r="S77" s="87">
        <f>Q77/SUM(Q73:Q81)</f>
        <v>2.8571428571428571E-2</v>
      </c>
      <c r="T77" s="87">
        <f>R77/SUM(R73:R81)</f>
        <v>5.7142857142857141E-2</v>
      </c>
      <c r="U77" s="5">
        <f t="shared" si="4"/>
        <v>6</v>
      </c>
      <c r="V77" s="197">
        <f t="shared" si="3"/>
        <v>4</v>
      </c>
      <c r="W77" s="8"/>
      <c r="X77" s="8"/>
    </row>
    <row r="78" spans="4:24" ht="15" thickBot="1" x14ac:dyDescent="0.35">
      <c r="D78" s="123" t="s">
        <v>11</v>
      </c>
      <c r="E78" s="124">
        <f>SUM(E$69:E$76)</f>
        <v>35</v>
      </c>
      <c r="F78" s="125">
        <f>SUM(F$69:F$76)</f>
        <v>1</v>
      </c>
      <c r="I78" s="158"/>
      <c r="N78" s="270" t="s">
        <v>83</v>
      </c>
      <c r="O78" s="271"/>
      <c r="P78" s="271"/>
      <c r="Q78" s="161">
        <f>COUNTIF($R$8:$T$57,"Private Car")</f>
        <v>3</v>
      </c>
      <c r="R78" s="160">
        <f>COUNTIF($U$8:$W$57,"Private Car")</f>
        <v>5</v>
      </c>
      <c r="S78" s="87">
        <f>Q78/SUM(Q73:Q81)</f>
        <v>8.5714285714285715E-2</v>
      </c>
      <c r="T78" s="87">
        <f>R78/SUM(R73:R81)</f>
        <v>0.14285714285714285</v>
      </c>
      <c r="U78" s="195">
        <f t="shared" si="4"/>
        <v>5</v>
      </c>
      <c r="V78" s="187">
        <f t="shared" si="3"/>
        <v>2</v>
      </c>
      <c r="W78" s="8"/>
      <c r="X78" s="8"/>
    </row>
    <row r="79" spans="4:24" ht="15" thickBot="1" x14ac:dyDescent="0.35">
      <c r="D79" s="126" t="s">
        <v>131</v>
      </c>
      <c r="E79" s="406" t="str" cm="1">
        <f t="array" ref="E79">_xlfn.TEXTJOIN(", ",TRUE,IF($F$69:$F$76=SMALL($F$69:$F$76,1),$D$69:$D$76,""))</f>
        <v>18 or lower, 50 and above</v>
      </c>
      <c r="F79" s="406"/>
      <c r="G79" s="65">
        <f>INDEX($F$69:$F$76,MATCH(SMALL($F$69:$F$76,1),$F$69:$F$76,0))</f>
        <v>0</v>
      </c>
      <c r="I79" s="158"/>
      <c r="N79" s="296" t="s">
        <v>51</v>
      </c>
      <c r="O79" s="297"/>
      <c r="P79" s="297"/>
      <c r="Q79" s="161">
        <f>COUNTIF($R$8:$T$57,"Jeepney")</f>
        <v>11</v>
      </c>
      <c r="R79" s="160">
        <f>COUNTIF($U$8:$W$57,"Jeepney")</f>
        <v>5</v>
      </c>
      <c r="S79" s="87">
        <f>Q79/SUM(Q73:Q81)</f>
        <v>0.31428571428571428</v>
      </c>
      <c r="T79" s="87">
        <f>R79/SUM(R73:R81)</f>
        <v>0.14285714285714285</v>
      </c>
      <c r="U79" s="5">
        <f t="shared" si="4"/>
        <v>1</v>
      </c>
      <c r="V79" s="197">
        <f t="shared" si="3"/>
        <v>2</v>
      </c>
      <c r="W79" s="8"/>
      <c r="X79" s="8"/>
    </row>
    <row r="80" spans="4:24" ht="15" thickBot="1" x14ac:dyDescent="0.35">
      <c r="D80" s="126" t="s">
        <v>130</v>
      </c>
      <c r="E80" s="406" t="str" cm="1">
        <f t="array" ref="E80">_xlfn.TEXTJOIN(", ",TRUE,IF($F$69:$F$76=LARGE($F$69:$F$76,1),$D$69:$D$76,""))</f>
        <v>19 - 24</v>
      </c>
      <c r="F80" s="406"/>
      <c r="G80" s="122">
        <f>INDEX($F$69:$F$76,MATCH(LARGE($F$69:$F$76,1),$F$69:$F$76,0))</f>
        <v>0.51428571428571423</v>
      </c>
      <c r="N80" s="296" t="s">
        <v>52</v>
      </c>
      <c r="O80" s="297"/>
      <c r="P80" s="297"/>
      <c r="Q80" s="161">
        <f>COUNTIF($R$8:$T$57,"Bus")</f>
        <v>1</v>
      </c>
      <c r="R80" s="160">
        <f>COUNTIF($U$8:$W$57,"Bus")</f>
        <v>0</v>
      </c>
      <c r="S80" s="87">
        <f>Q80/SUM(Q73:Q81)</f>
        <v>2.8571428571428571E-2</v>
      </c>
      <c r="T80" s="87">
        <f>R80/SUM(R73:R81)</f>
        <v>0</v>
      </c>
      <c r="U80" s="5">
        <f t="shared" si="4"/>
        <v>6</v>
      </c>
      <c r="V80" s="197">
        <f t="shared" si="3"/>
        <v>8</v>
      </c>
      <c r="W80" s="8"/>
      <c r="X80" s="8"/>
    </row>
    <row r="81" spans="4:24" ht="15" thickBot="1" x14ac:dyDescent="0.35">
      <c r="N81" s="298" t="s">
        <v>53</v>
      </c>
      <c r="O81" s="299"/>
      <c r="P81" s="299"/>
      <c r="Q81" s="161">
        <f>COUNTIF($R$8:$T$57,"Others")</f>
        <v>0</v>
      </c>
      <c r="R81" s="160">
        <f>COUNTIF($U$8:$W$57,"Others")</f>
        <v>0</v>
      </c>
      <c r="S81" s="89">
        <f>Q81/SUM(Q73:Q81)</f>
        <v>0</v>
      </c>
      <c r="T81" s="89">
        <f>R81/SUM(R73:R81)</f>
        <v>0</v>
      </c>
      <c r="U81" s="195">
        <f t="shared" si="4"/>
        <v>9</v>
      </c>
      <c r="V81" s="187">
        <f t="shared" si="3"/>
        <v>8</v>
      </c>
      <c r="W81" s="8"/>
      <c r="X81" s="8"/>
    </row>
    <row r="82" spans="4:24" ht="29.4" thickBot="1" x14ac:dyDescent="0.35">
      <c r="D82" s="48" t="s">
        <v>30</v>
      </c>
      <c r="E82" s="24" t="s">
        <v>9</v>
      </c>
      <c r="F82" s="136" t="s">
        <v>10</v>
      </c>
      <c r="G82" s="137" t="s">
        <v>129</v>
      </c>
      <c r="N82" s="397" t="s">
        <v>11</v>
      </c>
      <c r="O82" s="398"/>
      <c r="P82" s="399"/>
      <c r="Q82" s="189">
        <f>SUM(Q73:Q81)</f>
        <v>35</v>
      </c>
      <c r="R82" s="190">
        <f>SUM(R73:R81)</f>
        <v>35</v>
      </c>
      <c r="S82" s="130">
        <f>SUM(S73:S81)</f>
        <v>1</v>
      </c>
      <c r="T82" s="92">
        <f>SUM(T73:T81)</f>
        <v>1</v>
      </c>
      <c r="U82" s="203"/>
      <c r="V82" s="193"/>
      <c r="W82" s="8"/>
      <c r="X82" s="8"/>
    </row>
    <row r="83" spans="4:24" ht="15" thickBot="1" x14ac:dyDescent="0.35">
      <c r="D83" s="49" t="s">
        <v>119</v>
      </c>
      <c r="E83" s="154">
        <f>COUNTIF(Residence,"Alitagtag")</f>
        <v>4</v>
      </c>
      <c r="F83" s="94">
        <f t="shared" ref="F83:F93" si="5">E83/SUM($E$83:$E$93)</f>
        <v>0.11428571428571428</v>
      </c>
      <c r="G83" s="156">
        <f t="shared" ref="G83:G93" si="6">RANK(F83,$F$83:$F$93,0)</f>
        <v>3</v>
      </c>
      <c r="N83" s="425" t="s">
        <v>57</v>
      </c>
      <c r="O83" s="426"/>
      <c r="P83" s="426"/>
      <c r="Q83" s="426"/>
      <c r="R83" s="426"/>
      <c r="S83" s="426"/>
      <c r="T83" s="426"/>
      <c r="U83" s="426"/>
      <c r="V83" s="427"/>
      <c r="W83" s="34"/>
      <c r="X83" s="34"/>
    </row>
    <row r="84" spans="4:24" ht="15" thickBot="1" x14ac:dyDescent="0.35">
      <c r="D84" s="51" t="s">
        <v>107</v>
      </c>
      <c r="E84" s="151">
        <f>COUNTIF(Residence,"Batangas City")</f>
        <v>6</v>
      </c>
      <c r="F84" s="87">
        <f t="shared" si="5"/>
        <v>0.17142857142857143</v>
      </c>
      <c r="G84" s="135">
        <f t="shared" si="6"/>
        <v>2</v>
      </c>
      <c r="N84" s="395" t="s">
        <v>48</v>
      </c>
      <c r="O84" s="396"/>
      <c r="P84" s="396"/>
      <c r="Q84" s="183">
        <f>COUNTIF($X$8:$Z$57,"None")</f>
        <v>10</v>
      </c>
      <c r="R84" s="183">
        <f>COUNTIF($AA$8:$AC$57,"None")</f>
        <v>22</v>
      </c>
      <c r="S84" s="132">
        <f>Q84/SUM(Q84:Q87)</f>
        <v>0.2857142857142857</v>
      </c>
      <c r="T84" s="94">
        <f>R84/SUM(R84:R87)</f>
        <v>0.62857142857142856</v>
      </c>
      <c r="U84" s="13">
        <f>RANK(S84,$S$84:$S$87,0)</f>
        <v>3</v>
      </c>
      <c r="V84" s="196">
        <f>RANK(T84,$T$84:$T$87,0)</f>
        <v>1</v>
      </c>
      <c r="W84" s="8"/>
      <c r="X84" s="8"/>
    </row>
    <row r="85" spans="4:24" ht="15" thickBot="1" x14ac:dyDescent="0.35">
      <c r="D85" s="51" t="s">
        <v>108</v>
      </c>
      <c r="E85" s="105">
        <f>COUNTIF(Residence,"Cuenca")</f>
        <v>2</v>
      </c>
      <c r="F85" s="87">
        <f t="shared" si="5"/>
        <v>5.7142857142857141E-2</v>
      </c>
      <c r="G85" s="11">
        <f t="shared" si="6"/>
        <v>4</v>
      </c>
      <c r="N85" s="270" t="s">
        <v>58</v>
      </c>
      <c r="O85" s="271"/>
      <c r="P85" s="271"/>
      <c r="Q85" s="169">
        <f>COUNTIF($X$8:$Z$57,"1 full trip")</f>
        <v>14</v>
      </c>
      <c r="R85" s="169">
        <f>COUNTIF($AA$8:$AC$57,"1 full trip")</f>
        <v>7</v>
      </c>
      <c r="S85" s="87">
        <f>Q85/SUM(Q84:Q87)</f>
        <v>0.4</v>
      </c>
      <c r="T85" s="87">
        <f>R85/SUM(R84:R87)</f>
        <v>0.2</v>
      </c>
      <c r="U85" s="5">
        <f>RANK(S85,$S$84:$S$87,0)</f>
        <v>1</v>
      </c>
      <c r="V85" s="197">
        <f>RANK(T85,$T$84:$T$87,0)</f>
        <v>2</v>
      </c>
      <c r="W85" s="8"/>
      <c r="X85" s="8"/>
    </row>
    <row r="86" spans="4:24" ht="15" thickBot="1" x14ac:dyDescent="0.35">
      <c r="D86" s="51" t="s">
        <v>114</v>
      </c>
      <c r="E86" s="105">
        <f>COUNTIF(Residence,"Ibaan")</f>
        <v>2</v>
      </c>
      <c r="F86" s="87">
        <f t="shared" si="5"/>
        <v>5.7142857142857141E-2</v>
      </c>
      <c r="G86" s="152">
        <f t="shared" si="6"/>
        <v>4</v>
      </c>
      <c r="N86" s="270" t="s">
        <v>59</v>
      </c>
      <c r="O86" s="271"/>
      <c r="P86" s="271"/>
      <c r="Q86" s="169">
        <f>COUNTIF($X$8:$Z$57,"2-3 trips")</f>
        <v>11</v>
      </c>
      <c r="R86" s="169">
        <f>COUNTIF($AA$8:$AC$57,"2-3 trips")</f>
        <v>5</v>
      </c>
      <c r="S86" s="87">
        <f>Q86/SUM(Q84:Q87)</f>
        <v>0.31428571428571428</v>
      </c>
      <c r="T86" s="87">
        <f>R86/SUM(R84:R87)</f>
        <v>0.14285714285714285</v>
      </c>
      <c r="U86" s="5">
        <f>RANK(S86,$S$84:$S$87,0)</f>
        <v>2</v>
      </c>
      <c r="V86" s="197">
        <f>RANK(T86,$T$84:$T$87,0)</f>
        <v>3</v>
      </c>
      <c r="W86" s="8"/>
      <c r="X86" s="8"/>
    </row>
    <row r="87" spans="4:24" ht="15" thickBot="1" x14ac:dyDescent="0.35">
      <c r="D87" s="52" t="s">
        <v>103</v>
      </c>
      <c r="E87" s="105">
        <f>COUNTIF(Residence,"Lipa City")</f>
        <v>13</v>
      </c>
      <c r="F87" s="87">
        <f t="shared" si="5"/>
        <v>0.37142857142857144</v>
      </c>
      <c r="G87" s="157">
        <f t="shared" si="6"/>
        <v>1</v>
      </c>
      <c r="H87" s="120"/>
      <c r="N87" s="277" t="s">
        <v>84</v>
      </c>
      <c r="O87" s="278"/>
      <c r="P87" s="278"/>
      <c r="Q87" s="169">
        <f>COUNTIF($X$8:$Z$57,"More than 4 trips")</f>
        <v>0</v>
      </c>
      <c r="R87" s="169">
        <f>COUNTIF($AA$8:$AC$57,"More than 4 trips")</f>
        <v>1</v>
      </c>
      <c r="S87" s="89">
        <f>Q87/SUM(Q84:Q87)</f>
        <v>0</v>
      </c>
      <c r="T87" s="89">
        <f>R87/SUM(R84:R87)</f>
        <v>2.8571428571428571E-2</v>
      </c>
      <c r="U87" s="202">
        <f>RANK(S87,$S$84:$S$87,0)</f>
        <v>4</v>
      </c>
      <c r="V87" s="188">
        <f>RANK(T87,$T$84:$T$87,0)</f>
        <v>4</v>
      </c>
      <c r="W87" s="8"/>
      <c r="X87" s="8"/>
    </row>
    <row r="88" spans="4:24" ht="15" thickBot="1" x14ac:dyDescent="0.35">
      <c r="D88" s="52" t="s">
        <v>117</v>
      </c>
      <c r="E88" s="151">
        <f>COUNTIF(Residence,"Rosario")</f>
        <v>2</v>
      </c>
      <c r="F88" s="87">
        <f t="shared" si="5"/>
        <v>5.7142857142857141E-2</v>
      </c>
      <c r="G88" s="11">
        <f t="shared" si="6"/>
        <v>4</v>
      </c>
      <c r="N88" s="397" t="s">
        <v>11</v>
      </c>
      <c r="O88" s="398"/>
      <c r="P88" s="399"/>
      <c r="Q88" s="189">
        <f>SUM(Q84:Q87)</f>
        <v>35</v>
      </c>
      <c r="R88" s="190">
        <f>SUM(R84:R87)</f>
        <v>35</v>
      </c>
      <c r="S88" s="130">
        <f>SUM(S84:S87)</f>
        <v>1</v>
      </c>
      <c r="T88" s="92">
        <f>SUM(T84:T87)</f>
        <v>0.99999999999999989</v>
      </c>
      <c r="U88" s="202"/>
      <c r="V88" s="187"/>
      <c r="W88" s="8"/>
      <c r="X88" s="8"/>
    </row>
    <row r="89" spans="4:24" ht="14.4" customHeight="1" thickBot="1" x14ac:dyDescent="0.35">
      <c r="D89" s="51" t="s">
        <v>126</v>
      </c>
      <c r="E89" s="105">
        <f>COUNTIF(Residence,"San Jose")</f>
        <v>1</v>
      </c>
      <c r="F89" s="87">
        <f t="shared" si="5"/>
        <v>2.8571428571428571E-2</v>
      </c>
      <c r="G89" s="152">
        <f t="shared" si="6"/>
        <v>8</v>
      </c>
      <c r="N89" s="403" t="s">
        <v>85</v>
      </c>
      <c r="O89" s="404"/>
      <c r="P89" s="404"/>
      <c r="Q89" s="404"/>
      <c r="R89" s="404"/>
      <c r="S89" s="404"/>
      <c r="T89" s="404"/>
      <c r="U89" s="404"/>
      <c r="V89" s="405"/>
      <c r="W89" s="37"/>
      <c r="X89" s="37"/>
    </row>
    <row r="90" spans="4:24" ht="15" thickBot="1" x14ac:dyDescent="0.35">
      <c r="D90" s="51" t="s">
        <v>106</v>
      </c>
      <c r="E90" s="105">
        <f>COUNTIF(Residence,"San Juan")</f>
        <v>1</v>
      </c>
      <c r="F90" s="132">
        <f t="shared" si="5"/>
        <v>2.8571428571428571E-2</v>
      </c>
      <c r="G90" s="152">
        <f t="shared" si="6"/>
        <v>8</v>
      </c>
      <c r="N90" s="423" t="s">
        <v>86</v>
      </c>
      <c r="O90" s="396"/>
      <c r="P90" s="396"/>
      <c r="Q90" s="183">
        <f>COUNTIF($AD$8:$AF$57,"No travel time")</f>
        <v>9</v>
      </c>
      <c r="R90" s="183">
        <f>COUNTIF($AG$8:$AI$57,"No travel time")</f>
        <v>20</v>
      </c>
      <c r="S90" s="132">
        <f>Q90/SUM(Q90:Q95)</f>
        <v>0.25714285714285712</v>
      </c>
      <c r="T90" s="94">
        <f>R90/SUM(R90:R95)</f>
        <v>0.5714285714285714</v>
      </c>
      <c r="U90" s="200">
        <f t="shared" ref="U90:U95" si="7">RANK(S90,$S$90:$S$95,0)</f>
        <v>2</v>
      </c>
      <c r="V90" s="196">
        <f t="shared" ref="V90:V95" si="8">RANK(T90,$T$90:$T$95,0)</f>
        <v>1</v>
      </c>
      <c r="W90" s="8"/>
      <c r="X90" s="8"/>
    </row>
    <row r="91" spans="4:24" ht="14.4" customHeight="1" thickBot="1" x14ac:dyDescent="0.35">
      <c r="D91" s="51" t="s">
        <v>124</v>
      </c>
      <c r="E91" s="151">
        <f>COUNTIF(Residence,"Santa Teresita")</f>
        <v>1</v>
      </c>
      <c r="F91" s="87">
        <f t="shared" si="5"/>
        <v>2.8571428571428571E-2</v>
      </c>
      <c r="G91" s="152">
        <f t="shared" si="6"/>
        <v>8</v>
      </c>
      <c r="N91" s="270" t="s">
        <v>87</v>
      </c>
      <c r="O91" s="271"/>
      <c r="P91" s="271"/>
      <c r="Q91" s="169">
        <f>COUNTIF($AD$8:$AF$57,"Less than 10 mins")</f>
        <v>10</v>
      </c>
      <c r="R91" s="169">
        <f>COUNTIF($AG$8:$AI$57,"Less than 10 mins")</f>
        <v>3</v>
      </c>
      <c r="S91" s="87">
        <f>Q91/SUM(Q90:Q95)</f>
        <v>0.2857142857142857</v>
      </c>
      <c r="T91" s="87">
        <f>R91/SUM(R90:R95)</f>
        <v>8.5714285714285715E-2</v>
      </c>
      <c r="U91" s="199">
        <f t="shared" si="7"/>
        <v>1</v>
      </c>
      <c r="V91" s="197">
        <f t="shared" si="8"/>
        <v>4</v>
      </c>
      <c r="W91" s="8"/>
      <c r="X91" s="8"/>
    </row>
    <row r="92" spans="4:24" ht="15" thickBot="1" x14ac:dyDescent="0.35">
      <c r="D92" s="51" t="s">
        <v>125</v>
      </c>
      <c r="E92" s="151">
        <f>COUNTIF(Residence,"Tanauan")</f>
        <v>2</v>
      </c>
      <c r="F92" s="132">
        <f t="shared" si="5"/>
        <v>5.7142857142857141E-2</v>
      </c>
      <c r="G92" s="135">
        <f t="shared" si="6"/>
        <v>4</v>
      </c>
      <c r="N92" s="270" t="s">
        <v>88</v>
      </c>
      <c r="O92" s="271"/>
      <c r="P92" s="271"/>
      <c r="Q92" s="169">
        <f>COUNTIF($AD$8:$AF$57,"10 - 30 mins")</f>
        <v>6</v>
      </c>
      <c r="R92" s="169">
        <f>COUNTIF($AG$8:$AI$57,"10 - 30 mins")</f>
        <v>4</v>
      </c>
      <c r="S92" s="87">
        <f>Q92/SUM(Q90:Q95)</f>
        <v>0.17142857142857143</v>
      </c>
      <c r="T92" s="87">
        <f>R92/SUM(R90:R95)</f>
        <v>0.11428571428571428</v>
      </c>
      <c r="U92" s="199">
        <f t="shared" si="7"/>
        <v>3</v>
      </c>
      <c r="V92" s="197">
        <f t="shared" si="8"/>
        <v>3</v>
      </c>
      <c r="W92" s="8"/>
      <c r="X92" s="8"/>
    </row>
    <row r="93" spans="4:24" ht="14.4" customHeight="1" thickBot="1" x14ac:dyDescent="0.35">
      <c r="D93" s="108" t="s">
        <v>123</v>
      </c>
      <c r="E93" s="148">
        <f>COUNTIF(Residence,"Taysan")</f>
        <v>1</v>
      </c>
      <c r="F93" s="121">
        <f t="shared" si="5"/>
        <v>2.8571428571428571E-2</v>
      </c>
      <c r="G93" s="134">
        <f t="shared" si="6"/>
        <v>8</v>
      </c>
      <c r="I93" s="424"/>
      <c r="N93" s="270" t="s">
        <v>89</v>
      </c>
      <c r="O93" s="271"/>
      <c r="P93" s="271"/>
      <c r="Q93" s="169">
        <f>COUNTIF($AD$8:$AF$57,"31 mins to 1 hour")</f>
        <v>5</v>
      </c>
      <c r="R93" s="169">
        <f>COUNTIF($AG$8:$AI$57,"31 mins to 1 hour")</f>
        <v>3</v>
      </c>
      <c r="S93" s="87">
        <f>Q93/SUM(Q90:Q95)</f>
        <v>0.14285714285714285</v>
      </c>
      <c r="T93" s="87">
        <f>R93/SUM(R90:R95)</f>
        <v>8.5714285714285715E-2</v>
      </c>
      <c r="U93" s="199">
        <f t="shared" si="7"/>
        <v>4</v>
      </c>
      <c r="V93" s="197">
        <f t="shared" si="8"/>
        <v>4</v>
      </c>
      <c r="W93" s="8"/>
      <c r="X93" s="8"/>
    </row>
    <row r="94" spans="4:24" ht="15" customHeight="1" thickBot="1" x14ac:dyDescent="0.35">
      <c r="D94" s="32"/>
      <c r="E94" s="109"/>
      <c r="F94" s="33"/>
      <c r="I94" s="424"/>
      <c r="N94" s="270" t="s">
        <v>90</v>
      </c>
      <c r="O94" s="271"/>
      <c r="P94" s="271"/>
      <c r="Q94" s="169">
        <f>COUNTIF($AD$8:$AF$57,"1 - 2 hours")</f>
        <v>5</v>
      </c>
      <c r="R94" s="169">
        <f>COUNTIF($AG$8:$AI$57,"1 - 2 hours")</f>
        <v>5</v>
      </c>
      <c r="S94" s="87">
        <f>Q94/SUM(Q90:Q95)</f>
        <v>0.14285714285714285</v>
      </c>
      <c r="T94" s="87">
        <f>R94/SUM(R90:R95)</f>
        <v>0.14285714285714285</v>
      </c>
      <c r="U94" s="199">
        <f t="shared" si="7"/>
        <v>4</v>
      </c>
      <c r="V94" s="197">
        <f t="shared" si="8"/>
        <v>2</v>
      </c>
      <c r="W94" s="8"/>
      <c r="X94" s="8"/>
    </row>
    <row r="95" spans="4:24" ht="15" thickBot="1" x14ac:dyDescent="0.35">
      <c r="D95" s="127" t="s">
        <v>11</v>
      </c>
      <c r="E95" s="128">
        <f>SUM(E83:E93)</f>
        <v>35</v>
      </c>
      <c r="F95" s="129">
        <f>SUM(F83:F93)</f>
        <v>1</v>
      </c>
      <c r="I95" s="119"/>
      <c r="J95" s="119"/>
      <c r="N95" s="277" t="s">
        <v>91</v>
      </c>
      <c r="O95" s="278"/>
      <c r="P95" s="278"/>
      <c r="Q95" s="169">
        <f>COUNTIF($AD$8:$AF$57,"More than 2 hours")</f>
        <v>0</v>
      </c>
      <c r="R95" s="169">
        <f>COUNTIF($AG$8:$AI$57,"More than 2 hours")</f>
        <v>0</v>
      </c>
      <c r="S95" s="89">
        <f>Q95/SUM(Q90:Q95)</f>
        <v>0</v>
      </c>
      <c r="T95" s="89">
        <f>R95/SUM(R90:R95)</f>
        <v>0</v>
      </c>
      <c r="U95" s="198">
        <f t="shared" si="7"/>
        <v>6</v>
      </c>
      <c r="V95" s="188">
        <f t="shared" si="8"/>
        <v>6</v>
      </c>
      <c r="W95" s="8"/>
      <c r="X95" s="8"/>
    </row>
    <row r="96" spans="4:24" ht="15" thickBot="1" x14ac:dyDescent="0.35">
      <c r="D96" s="126" t="s">
        <v>131</v>
      </c>
      <c r="E96" s="392" t="str" cm="1">
        <f t="array" ref="E96">_xlfn.TEXTJOIN(", ",TRUE,IF($F$83:$F$93=SMALL($F$83:$F$93,1),$D$83:$D$93,""))</f>
        <v>San Jose, San Juan, Santa Teresita, Taysan</v>
      </c>
      <c r="F96" s="392"/>
      <c r="G96" s="65">
        <f>INDEX($F$83:$F$93,MATCH(SMALL($F$83:$F$93,1),$F$83:$F$93,0))</f>
        <v>2.8571428571428571E-2</v>
      </c>
      <c r="I96" s="158"/>
      <c r="N96" s="397" t="s">
        <v>11</v>
      </c>
      <c r="O96" s="398"/>
      <c r="P96" s="399"/>
      <c r="Q96" s="189">
        <f>SUM(Q90:Q95)</f>
        <v>35</v>
      </c>
      <c r="R96" s="190">
        <f>SUM(R90:R95)</f>
        <v>35</v>
      </c>
      <c r="S96" s="130">
        <f>SUM(S90:S95)</f>
        <v>0.99999999999999978</v>
      </c>
      <c r="T96" s="92">
        <f>SUM(T90:T95)</f>
        <v>1</v>
      </c>
      <c r="U96" s="194"/>
      <c r="V96" s="187"/>
      <c r="W96" s="8"/>
      <c r="X96" s="8"/>
    </row>
    <row r="97" spans="4:24" ht="15" thickBot="1" x14ac:dyDescent="0.35">
      <c r="D97" s="126" t="s">
        <v>130</v>
      </c>
      <c r="E97" s="392" t="str" cm="1">
        <f t="array" ref="E97">_xlfn.TEXTJOIN(", ",TRUE,IF($F$83:$F$93=LARGE($F$83:$F$93,1),$D$83:$D$93,""))</f>
        <v>Lipa City</v>
      </c>
      <c r="F97" s="392"/>
      <c r="G97" s="65">
        <f>INDEX($F$83:$F$93,MATCH(LARGE($F$83:$F$93,1),$F$83:$F$93,0))</f>
        <v>0.37142857142857144</v>
      </c>
      <c r="N97" s="403" t="s">
        <v>92</v>
      </c>
      <c r="O97" s="404"/>
      <c r="P97" s="404"/>
      <c r="Q97" s="404"/>
      <c r="R97" s="404"/>
      <c r="S97" s="404"/>
      <c r="T97" s="404"/>
      <c r="U97" s="404"/>
      <c r="V97" s="405"/>
      <c r="W97" s="37"/>
      <c r="X97" s="37"/>
    </row>
    <row r="98" spans="4:24" ht="15" thickBot="1" x14ac:dyDescent="0.35">
      <c r="N98" s="395" t="s">
        <v>93</v>
      </c>
      <c r="O98" s="396"/>
      <c r="P98" s="396"/>
      <c r="Q98" s="183">
        <f>COUNTIF($AJ$8:$AL$57,"Minimal Satisfaction")</f>
        <v>1</v>
      </c>
      <c r="R98" s="183">
        <f>COUNTIF($AM$8:$AO$57,"Minimal Satisfaction")</f>
        <v>5</v>
      </c>
      <c r="S98" s="132">
        <f>Q98/SUM(Q98:Q102)</f>
        <v>2.8571428571428571E-2</v>
      </c>
      <c r="T98" s="94">
        <f>R98/SUM(R98:R102)</f>
        <v>0.14285714285714285</v>
      </c>
      <c r="U98" s="110">
        <f>RANK(S98,$S$98:$S$102,0)</f>
        <v>4</v>
      </c>
      <c r="V98" s="196">
        <f>RANK(T98,$T$98:$T$102,0)</f>
        <v>4</v>
      </c>
      <c r="W98" s="8"/>
      <c r="X98" s="8"/>
    </row>
    <row r="99" spans="4:24" ht="15" thickBot="1" x14ac:dyDescent="0.35">
      <c r="D99" s="361" t="s">
        <v>104</v>
      </c>
      <c r="E99" s="363" t="s">
        <v>9</v>
      </c>
      <c r="F99" s="363" t="s">
        <v>10</v>
      </c>
      <c r="G99" s="413" t="s">
        <v>129</v>
      </c>
      <c r="N99" s="270" t="s">
        <v>94</v>
      </c>
      <c r="O99" s="271"/>
      <c r="P99" s="271"/>
      <c r="Q99" s="169">
        <f>COUNTIF($AJ$8:$AL$57,"Low Satisfaction")</f>
        <v>1</v>
      </c>
      <c r="R99" s="169">
        <f>COUNTIF($AM$8:$AO$57,"Low Satisfaction")</f>
        <v>5</v>
      </c>
      <c r="S99" s="87">
        <f>Q99/SUM(Q98:Q102)</f>
        <v>2.8571428571428571E-2</v>
      </c>
      <c r="T99" s="87">
        <f>R99/SUM(R98:R102)</f>
        <v>0.14285714285714285</v>
      </c>
      <c r="U99" s="112">
        <f>RANK(S99,$S$98:$S$102,0)</f>
        <v>4</v>
      </c>
      <c r="V99" s="197">
        <f>RANK(T99,$T$98:$T$102,0)</f>
        <v>4</v>
      </c>
      <c r="W99" s="8"/>
      <c r="X99" s="8"/>
    </row>
    <row r="100" spans="4:24" ht="15" thickBot="1" x14ac:dyDescent="0.35">
      <c r="D100" s="362"/>
      <c r="E100" s="364"/>
      <c r="F100" s="364"/>
      <c r="G100" s="414"/>
      <c r="N100" s="270" t="s">
        <v>95</v>
      </c>
      <c r="O100" s="271"/>
      <c r="P100" s="271"/>
      <c r="Q100" s="169">
        <f>COUNTIF($AJ$8:$AL$57,"Average Satisfaction")</f>
        <v>13</v>
      </c>
      <c r="R100" s="169">
        <f>COUNTIF($AM$8:$AO$57,"Average Satisfaction")</f>
        <v>12</v>
      </c>
      <c r="S100" s="87">
        <f>Q100/SUM(Q98:Q102)</f>
        <v>0.37142857142857144</v>
      </c>
      <c r="T100" s="87">
        <f>R100/SUM(R98:R102)</f>
        <v>0.34285714285714286</v>
      </c>
      <c r="U100" s="112">
        <f>RANK(S100,$S$98:$S$102,0)</f>
        <v>2</v>
      </c>
      <c r="V100" s="197">
        <f>RANK(T100,$T$98:$T$102,0)</f>
        <v>1</v>
      </c>
      <c r="W100" s="8"/>
      <c r="X100" s="8"/>
    </row>
    <row r="101" spans="4:24" ht="15" thickBot="1" x14ac:dyDescent="0.35">
      <c r="D101" s="49" t="s">
        <v>34</v>
      </c>
      <c r="E101" s="154">
        <f>COUNTIF(Pre_Occupation,"Full-time")</f>
        <v>12</v>
      </c>
      <c r="F101" s="132">
        <f>E101/SUM($E$101:$E$109)</f>
        <v>0.34285714285714286</v>
      </c>
      <c r="G101" s="138">
        <f>RANK(F101,$F$101:$F$109,0)</f>
        <v>2</v>
      </c>
      <c r="N101" s="270" t="s">
        <v>96</v>
      </c>
      <c r="O101" s="271"/>
      <c r="P101" s="271"/>
      <c r="Q101" s="169">
        <f>COUNTIF($AJ$8:$AL$57,"Above Average Satisfaction")</f>
        <v>15</v>
      </c>
      <c r="R101" s="169">
        <f>COUNTIF($AM$8:$AO$57,"Above Average Satisfaction")</f>
        <v>6</v>
      </c>
      <c r="S101" s="87">
        <f>Q101/SUM(Q98:Q102)</f>
        <v>0.42857142857142855</v>
      </c>
      <c r="T101" s="87">
        <f>R101/SUM(R98:R102)</f>
        <v>0.17142857142857143</v>
      </c>
      <c r="U101" s="112">
        <f>RANK(S101,$S$98:$S$102,0)</f>
        <v>1</v>
      </c>
      <c r="V101" s="197">
        <f>RANK(T101,$T$98:$T$102,0)</f>
        <v>3</v>
      </c>
      <c r="W101" s="8"/>
      <c r="X101" s="8"/>
    </row>
    <row r="102" spans="4:24" ht="15" thickBot="1" x14ac:dyDescent="0.35">
      <c r="D102" s="52" t="s">
        <v>35</v>
      </c>
      <c r="E102" s="151">
        <f>COUNTIF(Pre_Occupation,"Part-time")</f>
        <v>2</v>
      </c>
      <c r="F102" s="87">
        <f>E102/SUM($E$101:$E$109)</f>
        <v>5.7142857142857141E-2</v>
      </c>
      <c r="G102" s="143">
        <f>RANK(F102,$F$101:$F$109,0)</f>
        <v>5</v>
      </c>
      <c r="N102" s="277" t="s">
        <v>97</v>
      </c>
      <c r="O102" s="278"/>
      <c r="P102" s="278"/>
      <c r="Q102" s="169">
        <f>COUNTIF($AJ$8:$AL$57,"High Satisfaction")</f>
        <v>5</v>
      </c>
      <c r="R102" s="169">
        <f>COUNTIF($AM$8:$AO$57,"High Satisfaction")</f>
        <v>7</v>
      </c>
      <c r="S102" s="89">
        <f>Q102/SUM(Q98:Q102)</f>
        <v>0.14285714285714285</v>
      </c>
      <c r="T102" s="89">
        <f>R102/SUM(R98:R102)</f>
        <v>0.2</v>
      </c>
      <c r="U102" s="195">
        <f>RANK(S102,$S$98:$S$102,0)</f>
        <v>3</v>
      </c>
      <c r="V102" s="187">
        <f>RANK(T102,$T$98:$T$102,0)</f>
        <v>2</v>
      </c>
      <c r="W102" s="8"/>
      <c r="X102" s="8"/>
    </row>
    <row r="103" spans="4:24" ht="15" thickBot="1" x14ac:dyDescent="0.35">
      <c r="D103" s="367" t="s">
        <v>112</v>
      </c>
      <c r="E103" s="370">
        <f>COUNTIF(Pre_Occupation,"Unemployed, not looking for work")</f>
        <v>3</v>
      </c>
      <c r="F103" s="407">
        <f>E103/SUM(E101:E109)</f>
        <v>8.5714285714285715E-2</v>
      </c>
      <c r="G103" s="410">
        <f>RANK(F103,$F$101:$F$109,0)</f>
        <v>3</v>
      </c>
      <c r="N103" s="287" t="s">
        <v>11</v>
      </c>
      <c r="O103" s="288"/>
      <c r="P103" s="289"/>
      <c r="Q103" s="95">
        <f>SUM(Q98:Q102)</f>
        <v>35</v>
      </c>
      <c r="R103" s="91">
        <f>SUM(R98:R102)</f>
        <v>35</v>
      </c>
      <c r="S103" s="92">
        <f>SUM(S98:S102)</f>
        <v>1</v>
      </c>
      <c r="T103" s="92">
        <f>SUM(T98:T102)</f>
        <v>1</v>
      </c>
      <c r="U103" s="194"/>
      <c r="V103" s="193"/>
      <c r="W103" s="8"/>
      <c r="X103" s="8"/>
    </row>
    <row r="104" spans="4:24" ht="15" thickBot="1" x14ac:dyDescent="0.35">
      <c r="D104" s="368"/>
      <c r="E104" s="371"/>
      <c r="F104" s="408"/>
      <c r="G104" s="411"/>
      <c r="W104" s="8"/>
    </row>
    <row r="105" spans="4:24" ht="15" thickBot="1" x14ac:dyDescent="0.35">
      <c r="D105" s="369"/>
      <c r="E105" s="372"/>
      <c r="F105" s="409"/>
      <c r="G105" s="412"/>
      <c r="O105" s="38"/>
      <c r="P105" s="205" t="s">
        <v>142</v>
      </c>
      <c r="Q105" s="206" t="s">
        <v>132</v>
      </c>
      <c r="R105" s="206" t="s">
        <v>133</v>
      </c>
      <c r="S105" s="206" t="s">
        <v>134</v>
      </c>
      <c r="T105" s="206" t="s">
        <v>135</v>
      </c>
      <c r="U105" s="207" t="s">
        <v>136</v>
      </c>
    </row>
    <row r="106" spans="4:24" ht="15" thickBot="1" x14ac:dyDescent="0.35">
      <c r="D106" s="367" t="s">
        <v>118</v>
      </c>
      <c r="E106" s="370">
        <f>COUNTIF(Pre_Occupation,"Unemployed, looking for work")</f>
        <v>3</v>
      </c>
      <c r="F106" s="407">
        <f>E106/SUM(E101:E109)</f>
        <v>8.5714285714285715E-2</v>
      </c>
      <c r="G106" s="410">
        <f>RANK(F106,$F$101:$F$109,0)</f>
        <v>3</v>
      </c>
      <c r="O106" s="208" t="s">
        <v>137</v>
      </c>
      <c r="P106" s="209"/>
      <c r="Q106" s="209"/>
      <c r="R106" s="209"/>
      <c r="S106" s="209"/>
      <c r="T106" s="209"/>
      <c r="U106" s="210"/>
    </row>
    <row r="107" spans="4:24" x14ac:dyDescent="0.3">
      <c r="D107" s="368"/>
      <c r="E107" s="371"/>
      <c r="F107" s="408"/>
      <c r="G107" s="411"/>
      <c r="I107" s="118"/>
      <c r="O107" s="212" t="s">
        <v>38</v>
      </c>
      <c r="P107" s="417">
        <f>AVERAGE($Q$64:$R$70)</f>
        <v>5</v>
      </c>
      <c r="Q107" s="13">
        <f>MEDIAN($Q$64:$Q$70)</f>
        <v>3</v>
      </c>
      <c r="R107" s="13">
        <f>VAR($Q$64:$Q$70)</f>
        <v>9</v>
      </c>
      <c r="S107" s="13">
        <f>STDEV($Q$64:$Q$70)</f>
        <v>3</v>
      </c>
      <c r="T107" s="419">
        <f>CORREL($Q$64:$Q$70,$R$64:$R$70)</f>
        <v>0.70561719288550706</v>
      </c>
      <c r="U107" s="415">
        <f>COVAR($Q$64:$Q$70,$R$64:$R$70)</f>
        <v>13</v>
      </c>
    </row>
    <row r="108" spans="4:24" ht="15" thickBot="1" x14ac:dyDescent="0.35">
      <c r="D108" s="369"/>
      <c r="E108" s="372"/>
      <c r="F108" s="409"/>
      <c r="G108" s="412"/>
      <c r="I108" s="118"/>
      <c r="O108" s="213" t="s">
        <v>39</v>
      </c>
      <c r="P108" s="418"/>
      <c r="Q108" s="44">
        <f>MEDIAN($R$64:$R$70)</f>
        <v>2</v>
      </c>
      <c r="R108" s="44">
        <f>VAR($R$64:$R$70)</f>
        <v>51.333333333333336</v>
      </c>
      <c r="S108" s="44">
        <f>STDEV($R$64:$R$70)</f>
        <v>7.1647284200682257</v>
      </c>
      <c r="T108" s="299"/>
      <c r="U108" s="416"/>
    </row>
    <row r="109" spans="4:24" ht="15" thickBot="1" x14ac:dyDescent="0.35">
      <c r="D109" s="108" t="s">
        <v>36</v>
      </c>
      <c r="E109" s="29">
        <f>COUNTIF(Pre_Occupation,"Student")</f>
        <v>15</v>
      </c>
      <c r="F109" s="121">
        <f>E109/SUM(E101:E109)</f>
        <v>0.42857142857142855</v>
      </c>
      <c r="G109" s="139">
        <f>RANK(F109,$F$101:$F$109,0)</f>
        <v>1</v>
      </c>
      <c r="I109" s="119"/>
      <c r="O109" s="208" t="s">
        <v>138</v>
      </c>
      <c r="P109" s="211"/>
      <c r="Q109" s="209"/>
      <c r="R109" s="209"/>
      <c r="S109" s="209"/>
      <c r="T109" s="209"/>
      <c r="U109" s="210"/>
    </row>
    <row r="110" spans="4:24" ht="15" thickBot="1" x14ac:dyDescent="0.35">
      <c r="D110" s="32"/>
      <c r="E110" s="33"/>
      <c r="F110" s="33"/>
      <c r="I110" s="119"/>
      <c r="O110" s="212" t="s">
        <v>38</v>
      </c>
      <c r="P110" s="417">
        <f>AVERAGE($Q$73:$R$81)</f>
        <v>3.8888888888888888</v>
      </c>
      <c r="Q110" s="13">
        <f>MEDIAN($Q$73:$Q$81)</f>
        <v>3</v>
      </c>
      <c r="R110" s="13">
        <f>VAR($Q$73:$Q$81)</f>
        <v>14.861111111111111</v>
      </c>
      <c r="S110" s="13">
        <f>STDEV($Q$73:$Q$81)</f>
        <v>3.8550111687401256</v>
      </c>
      <c r="T110" s="419">
        <f>CORREL($Q$73:$Q$81,$R$73:$R$81)</f>
        <v>0.64056688675105744</v>
      </c>
      <c r="U110" s="415">
        <f>COVAR($Q$73:$Q$81,$R$73:$R$81)</f>
        <v>13.098765432098762</v>
      </c>
    </row>
    <row r="111" spans="4:24" ht="15" thickBot="1" x14ac:dyDescent="0.35">
      <c r="D111" s="127" t="s">
        <v>11</v>
      </c>
      <c r="E111" s="128">
        <f>SUM(E101:E109)</f>
        <v>35</v>
      </c>
      <c r="F111" s="129">
        <f>SUM(F101:F109)</f>
        <v>1</v>
      </c>
      <c r="O111" s="213" t="s">
        <v>39</v>
      </c>
      <c r="P111" s="418"/>
      <c r="Q111" s="44">
        <f>MEDIAN($R$73:$R$81)</f>
        <v>2</v>
      </c>
      <c r="R111" s="44">
        <f>VAR($R$73:$R$81)</f>
        <v>35.611111111111114</v>
      </c>
      <c r="S111" s="44">
        <f>STDEV($R$73:$R$81)</f>
        <v>5.9675045966560525</v>
      </c>
      <c r="T111" s="299"/>
      <c r="U111" s="416"/>
    </row>
    <row r="112" spans="4:24" ht="15" thickBot="1" x14ac:dyDescent="0.35">
      <c r="D112" s="126" t="s">
        <v>131</v>
      </c>
      <c r="E112" s="392" t="str">
        <f>INDEX($D$101:$D$109,MATCH(SMALL($F$101:$F$109,1),$F$101:$F$109,0))</f>
        <v>Part-time</v>
      </c>
      <c r="F112" s="392"/>
      <c r="G112" s="65" cm="1">
        <f t="array" ref="G112">INDEX($F$101:$F$109,MATCH(E112,$D$101:$D$109,0),0)</f>
        <v>5.7142857142857141E-2</v>
      </c>
      <c r="O112" s="208" t="s">
        <v>139</v>
      </c>
      <c r="P112" s="211"/>
      <c r="Q112" s="209"/>
      <c r="R112" s="209"/>
      <c r="S112" s="209"/>
      <c r="T112" s="209"/>
      <c r="U112" s="210"/>
    </row>
    <row r="113" spans="4:21" ht="15" thickBot="1" x14ac:dyDescent="0.35">
      <c r="D113" s="126" t="s">
        <v>130</v>
      </c>
      <c r="E113" s="392" t="str">
        <f>INDEX($D$101:$D$109,MATCH(LARGE($F$101:$F$109,1),$F$101:$F$109,0))</f>
        <v>Student</v>
      </c>
      <c r="F113" s="392"/>
      <c r="G113" s="65" cm="1">
        <f t="array" ref="G113">INDEX($F$101:$F$109,MATCH(E113,$D$101:$D$109,0),0)</f>
        <v>0.42857142857142855</v>
      </c>
      <c r="O113" s="212" t="s">
        <v>38</v>
      </c>
      <c r="P113" s="417">
        <f>AVERAGE($Q$84:$R$87)</f>
        <v>8.75</v>
      </c>
      <c r="Q113" s="13">
        <f>MEDIAN($Q$84:$Q$87)</f>
        <v>10.5</v>
      </c>
      <c r="R113" s="13">
        <f>VAR($Q$84:$Q$87)</f>
        <v>36.916666666666664</v>
      </c>
      <c r="S113" s="13">
        <f>STDEV($Q$84:$Q$87)</f>
        <v>6.0759087111860612</v>
      </c>
      <c r="T113" s="419">
        <f>CORREL($Q$84:$Q$87,$R$84:$R$87)</f>
        <v>0.39896410197289761</v>
      </c>
      <c r="U113" s="415">
        <f>COVAR($Q$84:$Q$87,$R$84:$R$87)</f>
        <v>16.6875</v>
      </c>
    </row>
    <row r="114" spans="4:21" ht="15" thickBot="1" x14ac:dyDescent="0.35">
      <c r="O114" s="213" t="s">
        <v>39</v>
      </c>
      <c r="P114" s="418"/>
      <c r="Q114" s="44">
        <f>MEDIAN($R$84:$R$87)</f>
        <v>6</v>
      </c>
      <c r="R114" s="44">
        <f>VAR($R$84:$R$87)</f>
        <v>84.25</v>
      </c>
      <c r="S114" s="44">
        <f>STDEV($R$84:$R$87)</f>
        <v>9.1787798753429097</v>
      </c>
      <c r="T114" s="299"/>
      <c r="U114" s="416"/>
    </row>
    <row r="115" spans="4:21" ht="15" thickBot="1" x14ac:dyDescent="0.35">
      <c r="D115" s="361" t="s">
        <v>105</v>
      </c>
      <c r="E115" s="363" t="s">
        <v>9</v>
      </c>
      <c r="F115" s="365" t="s">
        <v>10</v>
      </c>
      <c r="G115" s="420" t="s">
        <v>129</v>
      </c>
      <c r="O115" s="208" t="s">
        <v>140</v>
      </c>
      <c r="P115" s="211"/>
      <c r="Q115" s="209"/>
      <c r="R115" s="209"/>
      <c r="S115" s="209"/>
      <c r="T115" s="209"/>
      <c r="U115" s="210"/>
    </row>
    <row r="116" spans="4:21" ht="15" thickBot="1" x14ac:dyDescent="0.35">
      <c r="D116" s="362"/>
      <c r="E116" s="364"/>
      <c r="F116" s="366"/>
      <c r="G116" s="421"/>
      <c r="O116" s="212" t="s">
        <v>38</v>
      </c>
      <c r="P116" s="417">
        <f>AVERAGE($Q$90:$R$95)</f>
        <v>5.833333333333333</v>
      </c>
      <c r="Q116" s="13">
        <f>MEDIAN($Q$90:$Q$95)</f>
        <v>5.5</v>
      </c>
      <c r="R116" s="13">
        <f>VAR($Q$90:$Q$95)</f>
        <v>12.566666666666668</v>
      </c>
      <c r="S116" s="13">
        <f>STDEV($Q$90:$Q$95)</f>
        <v>3.5449494589721118</v>
      </c>
      <c r="T116" s="419">
        <f>CORREL($Q$90:$Q$95,$R$90:$R$95)</f>
        <v>0.55187358215631166</v>
      </c>
      <c r="U116" s="415">
        <f>COVAR($Q$90:$Q$95,$R$90:$R$95)</f>
        <v>11.638888888888888</v>
      </c>
    </row>
    <row r="117" spans="4:21" ht="15" thickBot="1" x14ac:dyDescent="0.35">
      <c r="D117" s="52" t="s">
        <v>34</v>
      </c>
      <c r="E117" s="105">
        <f>COUNTIF(Post_Occupation,"Full-time")</f>
        <v>14</v>
      </c>
      <c r="F117" s="94">
        <f>E117/SUM(E117:E125)</f>
        <v>0.4</v>
      </c>
      <c r="G117" s="138">
        <f>RANK(F117,$F$117:$F$125,0)</f>
        <v>1</v>
      </c>
      <c r="O117" s="213" t="s">
        <v>39</v>
      </c>
      <c r="P117" s="418"/>
      <c r="Q117" s="44">
        <f>MEDIAN($R$90:$R$95)</f>
        <v>3.5</v>
      </c>
      <c r="R117" s="44">
        <f>VAR($R$90:$R$95)</f>
        <v>50.966666666666669</v>
      </c>
      <c r="S117" s="44">
        <f>STDEV($R$90:$R$95)</f>
        <v>7.1390942469382397</v>
      </c>
      <c r="T117" s="299"/>
      <c r="U117" s="416"/>
    </row>
    <row r="118" spans="4:21" ht="15" thickBot="1" x14ac:dyDescent="0.35">
      <c r="D118" s="52" t="s">
        <v>35</v>
      </c>
      <c r="E118" s="151">
        <f>COUNTIF(Post_Occupation,"Part-time")</f>
        <v>3</v>
      </c>
      <c r="F118" s="87">
        <f>E118/SUM(E117:E125)</f>
        <v>8.5714285714285715E-2</v>
      </c>
      <c r="G118" s="143">
        <f>RANK(F118,$F$117:$F$125,0)</f>
        <v>3</v>
      </c>
      <c r="O118" s="208" t="s">
        <v>141</v>
      </c>
      <c r="P118" s="211"/>
      <c r="Q118" s="209"/>
      <c r="R118" s="209"/>
      <c r="S118" s="209"/>
      <c r="T118" s="209"/>
      <c r="U118" s="210"/>
    </row>
    <row r="119" spans="4:21" x14ac:dyDescent="0.3">
      <c r="D119" s="367" t="s">
        <v>112</v>
      </c>
      <c r="E119" s="370">
        <f>COUNTIF(Post_Occupation,"Unemployed, not looking for work")</f>
        <v>1</v>
      </c>
      <c r="F119" s="407">
        <f>E119/SUM(E117:E125)</f>
        <v>2.8571428571428571E-2</v>
      </c>
      <c r="G119" s="410">
        <f>RANK(F119,$F$117:$F$125,0)</f>
        <v>5</v>
      </c>
      <c r="O119" s="212" t="s">
        <v>38</v>
      </c>
      <c r="P119" s="417">
        <f>AVERAGE($Q$98:$R$102)</f>
        <v>7</v>
      </c>
      <c r="Q119" s="13">
        <f>MEDIAN($Q$98:$Q$102)</f>
        <v>5</v>
      </c>
      <c r="R119" s="13">
        <f>VAR($Q$98:$Q$102)</f>
        <v>44</v>
      </c>
      <c r="S119" s="13">
        <f>STDEV($Q$98:$Q$102)</f>
        <v>6.6332495807107996</v>
      </c>
      <c r="T119" s="419">
        <f>CORREL($Q$98:$Q$102,$R$98:$R$102)</f>
        <v>0.594650843494272</v>
      </c>
      <c r="U119" s="415">
        <f>COVAR($Q$98:$Q$102,$R$98:$R$102)</f>
        <v>9.1999999999999993</v>
      </c>
    </row>
    <row r="120" spans="4:21" ht="15" thickBot="1" x14ac:dyDescent="0.35">
      <c r="D120" s="368"/>
      <c r="E120" s="371"/>
      <c r="F120" s="408"/>
      <c r="G120" s="411"/>
      <c r="O120" s="213" t="s">
        <v>39</v>
      </c>
      <c r="P120" s="418"/>
      <c r="Q120" s="44">
        <f>MEDIAN($R$98:$R$102)</f>
        <v>6</v>
      </c>
      <c r="R120" s="44">
        <f>VAR($R$98:$R$102)</f>
        <v>8.5</v>
      </c>
      <c r="S120" s="44">
        <f>STDEV($R$98:$R$102)</f>
        <v>2.9154759474226504</v>
      </c>
      <c r="T120" s="299"/>
      <c r="U120" s="416"/>
    </row>
    <row r="121" spans="4:21" x14ac:dyDescent="0.3">
      <c r="D121" s="369"/>
      <c r="E121" s="372"/>
      <c r="F121" s="409"/>
      <c r="G121" s="412"/>
    </row>
    <row r="122" spans="4:21" x14ac:dyDescent="0.3">
      <c r="D122" s="376" t="s">
        <v>118</v>
      </c>
      <c r="E122" s="370">
        <f>COUNTIF(Post_Occupation,"Unemployed, looking for work")</f>
        <v>3</v>
      </c>
      <c r="F122" s="407">
        <f>E122/SUM(E117:E125)</f>
        <v>8.5714285714285715E-2</v>
      </c>
      <c r="G122" s="410">
        <f>RANK(F122,$F$117:$F$125,0)</f>
        <v>3</v>
      </c>
    </row>
    <row r="123" spans="4:21" x14ac:dyDescent="0.3">
      <c r="D123" s="377"/>
      <c r="E123" s="371"/>
      <c r="F123" s="408"/>
      <c r="G123" s="411"/>
    </row>
    <row r="124" spans="4:21" x14ac:dyDescent="0.3">
      <c r="D124" s="378"/>
      <c r="E124" s="372"/>
      <c r="F124" s="409"/>
      <c r="G124" s="412"/>
    </row>
    <row r="125" spans="4:21" ht="15" thickBot="1" x14ac:dyDescent="0.35">
      <c r="D125" s="108" t="s">
        <v>36</v>
      </c>
      <c r="E125" s="29">
        <f>COUNTIF(Post_Occupation,"Student")</f>
        <v>14</v>
      </c>
      <c r="F125" s="141">
        <f>E125/SUM(E117:E125)</f>
        <v>0.4</v>
      </c>
      <c r="G125" s="140">
        <f>RANK(F125,$F$117:$F$125,0)</f>
        <v>1</v>
      </c>
    </row>
    <row r="126" spans="4:21" ht="15" thickBot="1" x14ac:dyDescent="0.35">
      <c r="D126" s="32"/>
      <c r="E126" s="33"/>
      <c r="F126" s="33"/>
    </row>
    <row r="127" spans="4:21" ht="15" thickBot="1" x14ac:dyDescent="0.35">
      <c r="D127" s="28" t="s">
        <v>11</v>
      </c>
      <c r="E127" s="128">
        <f>SUM(E117:E125)</f>
        <v>35</v>
      </c>
      <c r="F127" s="129">
        <f>SUM(F117:F125)</f>
        <v>1</v>
      </c>
    </row>
    <row r="128" spans="4:21" ht="15" thickBot="1" x14ac:dyDescent="0.35">
      <c r="D128" s="126" t="s">
        <v>131</v>
      </c>
      <c r="E128" s="392" t="str" cm="1">
        <f t="array" ref="E128">_xlfn.TEXTJOIN(", ",TRUE,IF($F$117:$F$125=SMALL($F$117:$F$125,1),$D$117:$D$125,""))</f>
        <v>Unemployed, not looking for work</v>
      </c>
      <c r="F128" s="392"/>
      <c r="G128" s="65">
        <f>INDEX($F$117:$F$125,MATCH(SMALL($F$117:$F$125,1),$F$117:$F$125,0))</f>
        <v>2.8571428571428571E-2</v>
      </c>
    </row>
    <row r="129" spans="4:12" ht="15" thickBot="1" x14ac:dyDescent="0.35">
      <c r="D129" s="126" t="s">
        <v>130</v>
      </c>
      <c r="E129" s="392" t="str" cm="1">
        <f t="array" ref="E129">_xlfn.TEXTJOIN(", ",TRUE,IF($F$117:$F$125=LARGE($F$117:$F$125,1),$D$117:$D$125,""))</f>
        <v>Full-time, Student</v>
      </c>
      <c r="F129" s="392"/>
      <c r="G129" s="65">
        <f>INDEX($F$117:$F$125,MATCH(LARGE($F$117:$F$125,1),$F$117:$F$125,0))</f>
        <v>0.4</v>
      </c>
    </row>
    <row r="138" spans="4:12" x14ac:dyDescent="0.3">
      <c r="D138" t="s">
        <v>33</v>
      </c>
      <c r="F138" s="162" t="s">
        <v>74</v>
      </c>
      <c r="G138" s="163" t="s">
        <v>48</v>
      </c>
      <c r="H138" s="163" t="s">
        <v>48</v>
      </c>
      <c r="I138" s="164" t="s">
        <v>86</v>
      </c>
      <c r="J138" s="163" t="s">
        <v>93</v>
      </c>
      <c r="K138" s="163"/>
      <c r="L138" s="163"/>
    </row>
    <row r="139" spans="4:12" ht="14.4" customHeight="1" x14ac:dyDescent="0.3">
      <c r="D139" t="s">
        <v>34</v>
      </c>
      <c r="F139" s="163" t="s">
        <v>76</v>
      </c>
      <c r="G139" s="164" t="s">
        <v>82</v>
      </c>
      <c r="H139" s="163" t="s">
        <v>58</v>
      </c>
      <c r="I139" s="163" t="s">
        <v>87</v>
      </c>
      <c r="J139" s="163" t="s">
        <v>94</v>
      </c>
      <c r="K139" s="163"/>
      <c r="L139" s="163"/>
    </row>
    <row r="140" spans="4:12" ht="14.4" customHeight="1" x14ac:dyDescent="0.3">
      <c r="D140" t="s">
        <v>35</v>
      </c>
      <c r="F140" s="164" t="s">
        <v>77</v>
      </c>
      <c r="G140" s="163" t="s">
        <v>54</v>
      </c>
      <c r="H140" s="163" t="s">
        <v>59</v>
      </c>
      <c r="I140" s="163" t="s">
        <v>88</v>
      </c>
      <c r="J140" s="163" t="s">
        <v>95</v>
      </c>
      <c r="K140" s="163"/>
      <c r="L140" s="163"/>
    </row>
    <row r="141" spans="4:12" x14ac:dyDescent="0.3">
      <c r="D141" t="s">
        <v>112</v>
      </c>
      <c r="F141" s="163" t="s">
        <v>78</v>
      </c>
      <c r="G141" s="163" t="s">
        <v>49</v>
      </c>
      <c r="H141" s="163" t="s">
        <v>84</v>
      </c>
      <c r="I141" s="163" t="s">
        <v>89</v>
      </c>
      <c r="J141" s="163" t="s">
        <v>96</v>
      </c>
      <c r="K141" s="163"/>
      <c r="L141" s="163"/>
    </row>
    <row r="142" spans="4:12" x14ac:dyDescent="0.3">
      <c r="D142" t="s">
        <v>118</v>
      </c>
      <c r="F142" s="163" t="s">
        <v>79</v>
      </c>
      <c r="G142" s="163" t="s">
        <v>50</v>
      </c>
      <c r="H142" s="163"/>
      <c r="I142" s="163" t="s">
        <v>90</v>
      </c>
      <c r="J142" s="163" t="s">
        <v>97</v>
      </c>
      <c r="K142" s="163"/>
      <c r="L142" s="163"/>
    </row>
    <row r="143" spans="4:12" x14ac:dyDescent="0.3">
      <c r="D143" t="s">
        <v>36</v>
      </c>
      <c r="F143" s="163" t="s">
        <v>80</v>
      </c>
      <c r="G143" s="163" t="s">
        <v>83</v>
      </c>
      <c r="H143" s="163"/>
      <c r="I143" s="163" t="s">
        <v>91</v>
      </c>
      <c r="J143" s="163"/>
      <c r="K143" s="163"/>
    </row>
    <row r="144" spans="4:12" x14ac:dyDescent="0.3">
      <c r="F144" s="163" t="s">
        <v>81</v>
      </c>
      <c r="G144" s="165" t="s">
        <v>51</v>
      </c>
      <c r="H144" s="165"/>
      <c r="I144" s="165"/>
    </row>
    <row r="145" spans="7:9" x14ac:dyDescent="0.3">
      <c r="G145" s="165" t="s">
        <v>52</v>
      </c>
      <c r="H145" s="165"/>
      <c r="I145" s="165"/>
    </row>
    <row r="146" spans="7:9" x14ac:dyDescent="0.3">
      <c r="G146" s="165" t="s">
        <v>53</v>
      </c>
      <c r="H146" s="165"/>
      <c r="I146" s="165"/>
    </row>
  </sheetData>
  <mergeCells count="716">
    <mergeCell ref="L2:AO2"/>
    <mergeCell ref="AM52:AO52"/>
    <mergeCell ref="AM53:AO53"/>
    <mergeCell ref="AM54:AO54"/>
    <mergeCell ref="AM55:AO55"/>
    <mergeCell ref="AM56:AO56"/>
    <mergeCell ref="AM57:AO57"/>
    <mergeCell ref="AM46:AO46"/>
    <mergeCell ref="AM47:AO47"/>
    <mergeCell ref="AM48:AO48"/>
    <mergeCell ref="AM49:AO49"/>
    <mergeCell ref="AM50:AO50"/>
    <mergeCell ref="AM51:AO51"/>
    <mergeCell ref="AM40:AO40"/>
    <mergeCell ref="AM41:AO41"/>
    <mergeCell ref="AM42:AO42"/>
    <mergeCell ref="AM43:AO43"/>
    <mergeCell ref="AM44:AO44"/>
    <mergeCell ref="AM45:AO45"/>
    <mergeCell ref="AM34:AO34"/>
    <mergeCell ref="AM35:AO35"/>
    <mergeCell ref="AM36:AO36"/>
    <mergeCell ref="AM37:AO37"/>
    <mergeCell ref="AM38:AO38"/>
    <mergeCell ref="AM39:AO39"/>
    <mergeCell ref="AM28:AO28"/>
    <mergeCell ref="AM29:AO29"/>
    <mergeCell ref="AM30:AO30"/>
    <mergeCell ref="AM31:AO31"/>
    <mergeCell ref="AM32:AO32"/>
    <mergeCell ref="AM33:AO33"/>
    <mergeCell ref="AM22:AO22"/>
    <mergeCell ref="AM23:AO23"/>
    <mergeCell ref="AM24:AO24"/>
    <mergeCell ref="AM25:AO25"/>
    <mergeCell ref="AM26:AO26"/>
    <mergeCell ref="AM27:AO27"/>
    <mergeCell ref="AM16:AO16"/>
    <mergeCell ref="AM17:AO17"/>
    <mergeCell ref="AM18:AO18"/>
    <mergeCell ref="AM19:AO19"/>
    <mergeCell ref="AM20:AO20"/>
    <mergeCell ref="AM21:AO21"/>
    <mergeCell ref="AJ56:AL56"/>
    <mergeCell ref="AJ57:AL57"/>
    <mergeCell ref="AM8:AO8"/>
    <mergeCell ref="AM9:AO9"/>
    <mergeCell ref="AM10:AO10"/>
    <mergeCell ref="AM11:AO11"/>
    <mergeCell ref="AM12:AO12"/>
    <mergeCell ref="AM13:AO13"/>
    <mergeCell ref="AM14:AO14"/>
    <mergeCell ref="AM15:AO15"/>
    <mergeCell ref="AJ50:AL50"/>
    <mergeCell ref="AJ51:AL51"/>
    <mergeCell ref="AJ52:AL52"/>
    <mergeCell ref="AJ53:AL53"/>
    <mergeCell ref="AJ54:AL54"/>
    <mergeCell ref="AJ55:AL55"/>
    <mergeCell ref="AJ44:AL44"/>
    <mergeCell ref="AJ45:AL45"/>
    <mergeCell ref="AJ46:AL46"/>
    <mergeCell ref="AJ47:AL47"/>
    <mergeCell ref="AJ48:AL48"/>
    <mergeCell ref="AJ49:AL49"/>
    <mergeCell ref="AJ38:AL38"/>
    <mergeCell ref="AJ39:AL39"/>
    <mergeCell ref="AJ40:AL40"/>
    <mergeCell ref="AJ41:AL41"/>
    <mergeCell ref="AJ42:AL42"/>
    <mergeCell ref="AJ43:AL43"/>
    <mergeCell ref="AJ32:AL32"/>
    <mergeCell ref="AJ33:AL33"/>
    <mergeCell ref="AJ34:AL34"/>
    <mergeCell ref="AJ35:AL35"/>
    <mergeCell ref="AJ36:AL36"/>
    <mergeCell ref="AJ37:AL37"/>
    <mergeCell ref="AJ26:AL26"/>
    <mergeCell ref="AJ27:AL27"/>
    <mergeCell ref="AJ28:AL28"/>
    <mergeCell ref="AJ29:AL29"/>
    <mergeCell ref="AJ30:AL30"/>
    <mergeCell ref="AJ31:AL31"/>
    <mergeCell ref="AJ20:AL20"/>
    <mergeCell ref="AJ21:AL21"/>
    <mergeCell ref="AJ22:AL22"/>
    <mergeCell ref="AJ23:AL23"/>
    <mergeCell ref="AJ24:AL24"/>
    <mergeCell ref="AJ25:AL25"/>
    <mergeCell ref="AJ14:AL14"/>
    <mergeCell ref="AJ15:AL15"/>
    <mergeCell ref="AJ16:AL16"/>
    <mergeCell ref="AJ17:AL17"/>
    <mergeCell ref="AJ18:AL18"/>
    <mergeCell ref="AJ19:AL19"/>
    <mergeCell ref="AJ8:AL8"/>
    <mergeCell ref="AJ9:AL9"/>
    <mergeCell ref="AJ10:AL10"/>
    <mergeCell ref="AJ11:AL11"/>
    <mergeCell ref="AJ12:AL12"/>
    <mergeCell ref="AJ13:AL13"/>
    <mergeCell ref="AG52:AI52"/>
    <mergeCell ref="AG53:AI53"/>
    <mergeCell ref="AG54:AI54"/>
    <mergeCell ref="AG40:AI40"/>
    <mergeCell ref="AG41:AI41"/>
    <mergeCell ref="AG42:AI42"/>
    <mergeCell ref="AG43:AI43"/>
    <mergeCell ref="AG44:AI44"/>
    <mergeCell ref="AG45:AI45"/>
    <mergeCell ref="AG34:AI34"/>
    <mergeCell ref="AG35:AI35"/>
    <mergeCell ref="AG36:AI36"/>
    <mergeCell ref="AG37:AI37"/>
    <mergeCell ref="AG38:AI38"/>
    <mergeCell ref="AG39:AI39"/>
    <mergeCell ref="AG28:AI28"/>
    <mergeCell ref="AG29:AI29"/>
    <mergeCell ref="AG30:AI30"/>
    <mergeCell ref="AG55:AI55"/>
    <mergeCell ref="AG56:AI56"/>
    <mergeCell ref="AG57:AI57"/>
    <mergeCell ref="AG46:AI46"/>
    <mergeCell ref="AG47:AI47"/>
    <mergeCell ref="AG48:AI48"/>
    <mergeCell ref="AG49:AI49"/>
    <mergeCell ref="AG50:AI50"/>
    <mergeCell ref="AG51:AI51"/>
    <mergeCell ref="AG31:AI31"/>
    <mergeCell ref="AG32:AI32"/>
    <mergeCell ref="AG33:AI33"/>
    <mergeCell ref="AG22:AI22"/>
    <mergeCell ref="AG23:AI23"/>
    <mergeCell ref="AG24:AI24"/>
    <mergeCell ref="AG25:AI25"/>
    <mergeCell ref="AG26:AI26"/>
    <mergeCell ref="AG27:AI27"/>
    <mergeCell ref="AG16:AI16"/>
    <mergeCell ref="AG17:AI17"/>
    <mergeCell ref="AG18:AI18"/>
    <mergeCell ref="AG19:AI19"/>
    <mergeCell ref="AG20:AI20"/>
    <mergeCell ref="AG21:AI21"/>
    <mergeCell ref="AD56:AF56"/>
    <mergeCell ref="AD57:AF57"/>
    <mergeCell ref="AG8:AI8"/>
    <mergeCell ref="AG9:AI9"/>
    <mergeCell ref="AG10:AI10"/>
    <mergeCell ref="AG11:AI11"/>
    <mergeCell ref="AG12:AI12"/>
    <mergeCell ref="AG13:AI13"/>
    <mergeCell ref="AG14:AI14"/>
    <mergeCell ref="AG15:AI15"/>
    <mergeCell ref="AD50:AF50"/>
    <mergeCell ref="AD51:AF51"/>
    <mergeCell ref="AD52:AF52"/>
    <mergeCell ref="AD53:AF53"/>
    <mergeCell ref="AD54:AF54"/>
    <mergeCell ref="AD55:AF55"/>
    <mergeCell ref="AD44:AF44"/>
    <mergeCell ref="AD45:AF45"/>
    <mergeCell ref="AD46:AF46"/>
    <mergeCell ref="AD47:AF47"/>
    <mergeCell ref="AD48:AF48"/>
    <mergeCell ref="AD49:AF49"/>
    <mergeCell ref="AD38:AF38"/>
    <mergeCell ref="AD39:AF39"/>
    <mergeCell ref="AD40:AF40"/>
    <mergeCell ref="AD41:AF41"/>
    <mergeCell ref="AD42:AF42"/>
    <mergeCell ref="AD43:AF43"/>
    <mergeCell ref="AD32:AF32"/>
    <mergeCell ref="AD33:AF33"/>
    <mergeCell ref="AD34:AF34"/>
    <mergeCell ref="AD35:AF35"/>
    <mergeCell ref="AD36:AF36"/>
    <mergeCell ref="AD37:AF37"/>
    <mergeCell ref="AD26:AF26"/>
    <mergeCell ref="AD27:AF27"/>
    <mergeCell ref="AD28:AF28"/>
    <mergeCell ref="AD29:AF29"/>
    <mergeCell ref="AD30:AF30"/>
    <mergeCell ref="AD31:AF31"/>
    <mergeCell ref="AD20:AF20"/>
    <mergeCell ref="AD21:AF21"/>
    <mergeCell ref="AD22:AF22"/>
    <mergeCell ref="AD23:AF23"/>
    <mergeCell ref="AD24:AF24"/>
    <mergeCell ref="AD25:AF25"/>
    <mergeCell ref="AD14:AF14"/>
    <mergeCell ref="AD15:AF15"/>
    <mergeCell ref="AD16:AF16"/>
    <mergeCell ref="AD17:AF17"/>
    <mergeCell ref="AD18:AF18"/>
    <mergeCell ref="AD19:AF19"/>
    <mergeCell ref="AD8:AF8"/>
    <mergeCell ref="AD9:AF9"/>
    <mergeCell ref="AD10:AF10"/>
    <mergeCell ref="AD11:AF11"/>
    <mergeCell ref="AD12:AF12"/>
    <mergeCell ref="AD13:AF13"/>
    <mergeCell ref="AA52:AC52"/>
    <mergeCell ref="AA53:AC53"/>
    <mergeCell ref="AA54:AC54"/>
    <mergeCell ref="AA40:AC40"/>
    <mergeCell ref="AA41:AC41"/>
    <mergeCell ref="AA42:AC42"/>
    <mergeCell ref="AA43:AC43"/>
    <mergeCell ref="AA44:AC44"/>
    <mergeCell ref="AA45:AC45"/>
    <mergeCell ref="AA34:AC34"/>
    <mergeCell ref="AA35:AC35"/>
    <mergeCell ref="AA36:AC36"/>
    <mergeCell ref="AA37:AC37"/>
    <mergeCell ref="AA38:AC38"/>
    <mergeCell ref="AA39:AC39"/>
    <mergeCell ref="AA28:AC28"/>
    <mergeCell ref="AA29:AC29"/>
    <mergeCell ref="AA30:AC30"/>
    <mergeCell ref="AA55:AC55"/>
    <mergeCell ref="AA56:AC56"/>
    <mergeCell ref="AA57:AC57"/>
    <mergeCell ref="AA46:AC46"/>
    <mergeCell ref="AA47:AC47"/>
    <mergeCell ref="AA48:AC48"/>
    <mergeCell ref="AA49:AC49"/>
    <mergeCell ref="AA50:AC50"/>
    <mergeCell ref="AA51:AC51"/>
    <mergeCell ref="AA31:AC31"/>
    <mergeCell ref="AA32:AC32"/>
    <mergeCell ref="AA33:AC33"/>
    <mergeCell ref="AA22:AC22"/>
    <mergeCell ref="AA23:AC23"/>
    <mergeCell ref="AA24:AC24"/>
    <mergeCell ref="AA25:AC25"/>
    <mergeCell ref="AA26:AC26"/>
    <mergeCell ref="AA27:AC27"/>
    <mergeCell ref="AA16:AC16"/>
    <mergeCell ref="AA17:AC17"/>
    <mergeCell ref="AA18:AC18"/>
    <mergeCell ref="AA19:AC19"/>
    <mergeCell ref="AA20:AC20"/>
    <mergeCell ref="AA21:AC21"/>
    <mergeCell ref="X56:Z56"/>
    <mergeCell ref="X57:Z57"/>
    <mergeCell ref="AA8:AC8"/>
    <mergeCell ref="AA9:AC9"/>
    <mergeCell ref="AA10:AC10"/>
    <mergeCell ref="AA11:AC11"/>
    <mergeCell ref="AA12:AC12"/>
    <mergeCell ref="AA13:AC13"/>
    <mergeCell ref="AA14:AC14"/>
    <mergeCell ref="AA15:AC15"/>
    <mergeCell ref="X50:Z50"/>
    <mergeCell ref="X51:Z51"/>
    <mergeCell ref="X52:Z52"/>
    <mergeCell ref="X53:Z53"/>
    <mergeCell ref="X54:Z54"/>
    <mergeCell ref="X55:Z55"/>
    <mergeCell ref="X44:Z44"/>
    <mergeCell ref="X45:Z45"/>
    <mergeCell ref="X46:Z46"/>
    <mergeCell ref="X47:Z47"/>
    <mergeCell ref="X48:Z48"/>
    <mergeCell ref="X49:Z49"/>
    <mergeCell ref="X38:Z38"/>
    <mergeCell ref="X39:Z39"/>
    <mergeCell ref="X40:Z40"/>
    <mergeCell ref="X41:Z41"/>
    <mergeCell ref="X42:Z42"/>
    <mergeCell ref="X43:Z43"/>
    <mergeCell ref="X34:Z34"/>
    <mergeCell ref="X35:Z35"/>
    <mergeCell ref="X36:Z36"/>
    <mergeCell ref="X37:Z37"/>
    <mergeCell ref="X26:Z26"/>
    <mergeCell ref="X27:Z27"/>
    <mergeCell ref="X28:Z28"/>
    <mergeCell ref="X29:Z29"/>
    <mergeCell ref="X30:Z30"/>
    <mergeCell ref="X31:Z31"/>
    <mergeCell ref="U52:W52"/>
    <mergeCell ref="U53:W53"/>
    <mergeCell ref="U54:W54"/>
    <mergeCell ref="U40:W40"/>
    <mergeCell ref="U41:W41"/>
    <mergeCell ref="U42:W42"/>
    <mergeCell ref="U43:W43"/>
    <mergeCell ref="U44:W44"/>
    <mergeCell ref="U45:W45"/>
    <mergeCell ref="U46:W46"/>
    <mergeCell ref="U47:W47"/>
    <mergeCell ref="U48:W48"/>
    <mergeCell ref="U49:W49"/>
    <mergeCell ref="U50:W50"/>
    <mergeCell ref="U51:W51"/>
    <mergeCell ref="X8:Z8"/>
    <mergeCell ref="X9:Z9"/>
    <mergeCell ref="X10:Z10"/>
    <mergeCell ref="X11:Z11"/>
    <mergeCell ref="X12:Z12"/>
    <mergeCell ref="X13:Z13"/>
    <mergeCell ref="U34:W34"/>
    <mergeCell ref="U35:W35"/>
    <mergeCell ref="U36:W36"/>
    <mergeCell ref="U16:W16"/>
    <mergeCell ref="U17:W17"/>
    <mergeCell ref="U18:W18"/>
    <mergeCell ref="U19:W19"/>
    <mergeCell ref="X23:Z23"/>
    <mergeCell ref="X24:Z24"/>
    <mergeCell ref="X25:Z25"/>
    <mergeCell ref="X14:Z14"/>
    <mergeCell ref="X15:Z15"/>
    <mergeCell ref="X16:Z16"/>
    <mergeCell ref="X17:Z17"/>
    <mergeCell ref="X18:Z18"/>
    <mergeCell ref="X19:Z19"/>
    <mergeCell ref="X32:Z32"/>
    <mergeCell ref="X33:Z33"/>
    <mergeCell ref="X20:Z20"/>
    <mergeCell ref="X21:Z21"/>
    <mergeCell ref="X22:Z22"/>
    <mergeCell ref="U31:W31"/>
    <mergeCell ref="U32:W32"/>
    <mergeCell ref="U33:W33"/>
    <mergeCell ref="U22:W22"/>
    <mergeCell ref="U23:W23"/>
    <mergeCell ref="U24:W24"/>
    <mergeCell ref="U25:W25"/>
    <mergeCell ref="U26:W26"/>
    <mergeCell ref="U27:W27"/>
    <mergeCell ref="U20:W20"/>
    <mergeCell ref="U21:W21"/>
    <mergeCell ref="R51:T51"/>
    <mergeCell ref="R52:T52"/>
    <mergeCell ref="R53:T53"/>
    <mergeCell ref="R54:T54"/>
    <mergeCell ref="R55:T55"/>
    <mergeCell ref="R44:T44"/>
    <mergeCell ref="R45:T45"/>
    <mergeCell ref="R46:T46"/>
    <mergeCell ref="R47:T47"/>
    <mergeCell ref="R48:T48"/>
    <mergeCell ref="R49:T49"/>
    <mergeCell ref="U8:W8"/>
    <mergeCell ref="U9:W9"/>
    <mergeCell ref="U10:W10"/>
    <mergeCell ref="U11:W11"/>
    <mergeCell ref="U12:W12"/>
    <mergeCell ref="U13:W13"/>
    <mergeCell ref="U14:W14"/>
    <mergeCell ref="U15:W15"/>
    <mergeCell ref="R50:T50"/>
    <mergeCell ref="R38:T38"/>
    <mergeCell ref="R39:T39"/>
    <mergeCell ref="U37:W37"/>
    <mergeCell ref="U38:W38"/>
    <mergeCell ref="U39:W39"/>
    <mergeCell ref="U28:W28"/>
    <mergeCell ref="U29:W29"/>
    <mergeCell ref="U30:W30"/>
    <mergeCell ref="R40:T40"/>
    <mergeCell ref="R41:T41"/>
    <mergeCell ref="R42:T42"/>
    <mergeCell ref="R43:T43"/>
    <mergeCell ref="R34:T34"/>
    <mergeCell ref="R35:T35"/>
    <mergeCell ref="R36:T36"/>
    <mergeCell ref="R37:T37"/>
    <mergeCell ref="R26:T26"/>
    <mergeCell ref="R27:T27"/>
    <mergeCell ref="R28:T28"/>
    <mergeCell ref="R29:T29"/>
    <mergeCell ref="R30:T30"/>
    <mergeCell ref="R31:T31"/>
    <mergeCell ref="R32:T32"/>
    <mergeCell ref="R33:T33"/>
    <mergeCell ref="O8:Q8"/>
    <mergeCell ref="R20:T20"/>
    <mergeCell ref="R21:T21"/>
    <mergeCell ref="R22:T22"/>
    <mergeCell ref="R23:T23"/>
    <mergeCell ref="R24:T24"/>
    <mergeCell ref="R25:T25"/>
    <mergeCell ref="R14:T14"/>
    <mergeCell ref="R15:T15"/>
    <mergeCell ref="R16:T16"/>
    <mergeCell ref="R17:T17"/>
    <mergeCell ref="R18:T18"/>
    <mergeCell ref="R19:T19"/>
    <mergeCell ref="R9:T9"/>
    <mergeCell ref="R10:T10"/>
    <mergeCell ref="R11:T11"/>
    <mergeCell ref="R12:T12"/>
    <mergeCell ref="R13:T13"/>
    <mergeCell ref="O13:Q13"/>
    <mergeCell ref="O12:Q12"/>
    <mergeCell ref="O11:Q11"/>
    <mergeCell ref="O10:Q10"/>
    <mergeCell ref="O9:Q9"/>
    <mergeCell ref="O19:Q19"/>
    <mergeCell ref="O36:Q36"/>
    <mergeCell ref="O35:Q35"/>
    <mergeCell ref="O34:Q34"/>
    <mergeCell ref="O33:Q33"/>
    <mergeCell ref="O32:Q32"/>
    <mergeCell ref="O18:Q18"/>
    <mergeCell ref="O17:Q17"/>
    <mergeCell ref="O16:Q16"/>
    <mergeCell ref="O15:Q15"/>
    <mergeCell ref="O14:Q14"/>
    <mergeCell ref="O25:Q25"/>
    <mergeCell ref="O24:Q24"/>
    <mergeCell ref="O23:Q23"/>
    <mergeCell ref="O22:Q22"/>
    <mergeCell ref="O21:Q21"/>
    <mergeCell ref="O20:Q20"/>
    <mergeCell ref="L13:N13"/>
    <mergeCell ref="L12:N12"/>
    <mergeCell ref="L11:N11"/>
    <mergeCell ref="L25:N25"/>
    <mergeCell ref="L24:N24"/>
    <mergeCell ref="L23:N23"/>
    <mergeCell ref="L22:N22"/>
    <mergeCell ref="L21:N21"/>
    <mergeCell ref="L20:N20"/>
    <mergeCell ref="L19:N19"/>
    <mergeCell ref="L18:N18"/>
    <mergeCell ref="L17:N17"/>
    <mergeCell ref="L16:N16"/>
    <mergeCell ref="L15:N15"/>
    <mergeCell ref="L14:N14"/>
    <mergeCell ref="O52:Q52"/>
    <mergeCell ref="O51:Q51"/>
    <mergeCell ref="O50:Q50"/>
    <mergeCell ref="L31:N31"/>
    <mergeCell ref="L30:N30"/>
    <mergeCell ref="L29:N29"/>
    <mergeCell ref="L48:N48"/>
    <mergeCell ref="L47:N47"/>
    <mergeCell ref="L46:N46"/>
    <mergeCell ref="L45:N45"/>
    <mergeCell ref="L44:N44"/>
    <mergeCell ref="L52:N52"/>
    <mergeCell ref="L51:N51"/>
    <mergeCell ref="L50:N50"/>
    <mergeCell ref="O40:Q40"/>
    <mergeCell ref="O39:Q39"/>
    <mergeCell ref="O38:Q38"/>
    <mergeCell ref="O49:Q49"/>
    <mergeCell ref="O48:Q48"/>
    <mergeCell ref="O47:Q47"/>
    <mergeCell ref="O46:Q46"/>
    <mergeCell ref="O45:Q45"/>
    <mergeCell ref="O44:Q44"/>
    <mergeCell ref="O31:Q31"/>
    <mergeCell ref="L28:N28"/>
    <mergeCell ref="L27:N27"/>
    <mergeCell ref="L26:N26"/>
    <mergeCell ref="L37:N37"/>
    <mergeCell ref="L36:N36"/>
    <mergeCell ref="L35:N35"/>
    <mergeCell ref="O43:Q43"/>
    <mergeCell ref="O42:Q42"/>
    <mergeCell ref="O41:Q41"/>
    <mergeCell ref="L34:N34"/>
    <mergeCell ref="L33:N33"/>
    <mergeCell ref="L32:N32"/>
    <mergeCell ref="L43:N43"/>
    <mergeCell ref="L42:N42"/>
    <mergeCell ref="L41:N41"/>
    <mergeCell ref="L40:N40"/>
    <mergeCell ref="L39:N39"/>
    <mergeCell ref="L38:N38"/>
    <mergeCell ref="O30:Q30"/>
    <mergeCell ref="O29:Q29"/>
    <mergeCell ref="O28:Q28"/>
    <mergeCell ref="O27:Q27"/>
    <mergeCell ref="O26:Q26"/>
    <mergeCell ref="O37:Q37"/>
    <mergeCell ref="E128:F128"/>
    <mergeCell ref="E129:F129"/>
    <mergeCell ref="L7:N7"/>
    <mergeCell ref="O7:Q7"/>
    <mergeCell ref="R4:W6"/>
    <mergeCell ref="R7:T7"/>
    <mergeCell ref="N89:V89"/>
    <mergeCell ref="N90:P90"/>
    <mergeCell ref="N91:P91"/>
    <mergeCell ref="N92:P92"/>
    <mergeCell ref="I93:I94"/>
    <mergeCell ref="N93:P93"/>
    <mergeCell ref="N94:P94"/>
    <mergeCell ref="N83:V83"/>
    <mergeCell ref="N84:P84"/>
    <mergeCell ref="N85:P85"/>
    <mergeCell ref="N86:P86"/>
    <mergeCell ref="N87:P87"/>
    <mergeCell ref="N88:P88"/>
    <mergeCell ref="L49:N49"/>
    <mergeCell ref="T119:T120"/>
    <mergeCell ref="U119:U120"/>
    <mergeCell ref="T116:T117"/>
    <mergeCell ref="U116:U117"/>
    <mergeCell ref="D122:D124"/>
    <mergeCell ref="E122:E124"/>
    <mergeCell ref="F122:F124"/>
    <mergeCell ref="G122:G124"/>
    <mergeCell ref="D119:D121"/>
    <mergeCell ref="E119:E121"/>
    <mergeCell ref="F119:F121"/>
    <mergeCell ref="G119:G121"/>
    <mergeCell ref="P119:P120"/>
    <mergeCell ref="D115:D116"/>
    <mergeCell ref="E115:E116"/>
    <mergeCell ref="F115:F116"/>
    <mergeCell ref="G115:G116"/>
    <mergeCell ref="P116:P117"/>
    <mergeCell ref="E112:F112"/>
    <mergeCell ref="E113:F113"/>
    <mergeCell ref="P113:P114"/>
    <mergeCell ref="T113:T114"/>
    <mergeCell ref="U113:U114"/>
    <mergeCell ref="P110:P111"/>
    <mergeCell ref="T110:T111"/>
    <mergeCell ref="U110:U111"/>
    <mergeCell ref="U107:U108"/>
    <mergeCell ref="D106:D108"/>
    <mergeCell ref="E106:E108"/>
    <mergeCell ref="F106:F108"/>
    <mergeCell ref="G106:G108"/>
    <mergeCell ref="P107:P108"/>
    <mergeCell ref="T107:T108"/>
    <mergeCell ref="N101:P101"/>
    <mergeCell ref="N102:P102"/>
    <mergeCell ref="D103:D105"/>
    <mergeCell ref="E103:E105"/>
    <mergeCell ref="F103:F105"/>
    <mergeCell ref="G103:G105"/>
    <mergeCell ref="N103:P103"/>
    <mergeCell ref="D99:D100"/>
    <mergeCell ref="E99:E100"/>
    <mergeCell ref="F99:F100"/>
    <mergeCell ref="G99:G100"/>
    <mergeCell ref="N99:P99"/>
    <mergeCell ref="N100:P100"/>
    <mergeCell ref="N95:P95"/>
    <mergeCell ref="E96:F96"/>
    <mergeCell ref="N96:P96"/>
    <mergeCell ref="E97:F97"/>
    <mergeCell ref="N97:V97"/>
    <mergeCell ref="N98:P98"/>
    <mergeCell ref="E79:F79"/>
    <mergeCell ref="N79:P79"/>
    <mergeCell ref="E80:F80"/>
    <mergeCell ref="N80:P80"/>
    <mergeCell ref="N81:P81"/>
    <mergeCell ref="N82:P82"/>
    <mergeCell ref="N73:P73"/>
    <mergeCell ref="N74:P74"/>
    <mergeCell ref="N75:P75"/>
    <mergeCell ref="N76:P76"/>
    <mergeCell ref="N77:P77"/>
    <mergeCell ref="N78:P78"/>
    <mergeCell ref="N67:P67"/>
    <mergeCell ref="N68:P68"/>
    <mergeCell ref="N69:P69"/>
    <mergeCell ref="N70:P70"/>
    <mergeCell ref="N71:P71"/>
    <mergeCell ref="N72:V72"/>
    <mergeCell ref="N63:V63"/>
    <mergeCell ref="N64:P64"/>
    <mergeCell ref="E65:F65"/>
    <mergeCell ref="N65:P65"/>
    <mergeCell ref="E66:F66"/>
    <mergeCell ref="N66:P66"/>
    <mergeCell ref="S61:T61"/>
    <mergeCell ref="U61:V61"/>
    <mergeCell ref="G56:H56"/>
    <mergeCell ref="I56:J56"/>
    <mergeCell ref="G57:H57"/>
    <mergeCell ref="I57:J57"/>
    <mergeCell ref="U56:W56"/>
    <mergeCell ref="U57:W57"/>
    <mergeCell ref="R56:T56"/>
    <mergeCell ref="R57:T57"/>
    <mergeCell ref="B60:B62"/>
    <mergeCell ref="L57:N57"/>
    <mergeCell ref="L56:N56"/>
    <mergeCell ref="O57:Q57"/>
    <mergeCell ref="O56:Q56"/>
    <mergeCell ref="G53:H53"/>
    <mergeCell ref="I53:J53"/>
    <mergeCell ref="G54:H54"/>
    <mergeCell ref="I54:J54"/>
    <mergeCell ref="G55:H55"/>
    <mergeCell ref="I55:J55"/>
    <mergeCell ref="N61:P62"/>
    <mergeCell ref="Q61:R61"/>
    <mergeCell ref="N60:V60"/>
    <mergeCell ref="O55:Q55"/>
    <mergeCell ref="O54:Q54"/>
    <mergeCell ref="O53:Q53"/>
    <mergeCell ref="L55:N55"/>
    <mergeCell ref="L54:N54"/>
    <mergeCell ref="L53:N53"/>
    <mergeCell ref="U55:W55"/>
    <mergeCell ref="G50:H50"/>
    <mergeCell ref="I50:J50"/>
    <mergeCell ref="G51:H51"/>
    <mergeCell ref="I51:J51"/>
    <mergeCell ref="G52:H52"/>
    <mergeCell ref="I52:J52"/>
    <mergeCell ref="G47:H47"/>
    <mergeCell ref="I47:J47"/>
    <mergeCell ref="G48:H48"/>
    <mergeCell ref="I48:J48"/>
    <mergeCell ref="G49:H49"/>
    <mergeCell ref="I49:J49"/>
    <mergeCell ref="G44:H44"/>
    <mergeCell ref="I44:J44"/>
    <mergeCell ref="G45:H45"/>
    <mergeCell ref="I45:J45"/>
    <mergeCell ref="G46:H46"/>
    <mergeCell ref="I46:J46"/>
    <mergeCell ref="G41:H41"/>
    <mergeCell ref="I41:J41"/>
    <mergeCell ref="G42:H42"/>
    <mergeCell ref="I42:J42"/>
    <mergeCell ref="G43:H43"/>
    <mergeCell ref="I43:J43"/>
    <mergeCell ref="G38:H38"/>
    <mergeCell ref="I38:J38"/>
    <mergeCell ref="G39:H39"/>
    <mergeCell ref="I39:J39"/>
    <mergeCell ref="G40:H40"/>
    <mergeCell ref="I40:J40"/>
    <mergeCell ref="G35:H35"/>
    <mergeCell ref="I35:J35"/>
    <mergeCell ref="G36:H36"/>
    <mergeCell ref="I36:J36"/>
    <mergeCell ref="G37:H37"/>
    <mergeCell ref="I37:J37"/>
    <mergeCell ref="G32:H32"/>
    <mergeCell ref="I32:J32"/>
    <mergeCell ref="G33:H33"/>
    <mergeCell ref="I33:J33"/>
    <mergeCell ref="G34:H34"/>
    <mergeCell ref="I34:J34"/>
    <mergeCell ref="G29:H29"/>
    <mergeCell ref="I29:J29"/>
    <mergeCell ref="G30:H30"/>
    <mergeCell ref="I30:J30"/>
    <mergeCell ref="G31:H31"/>
    <mergeCell ref="I31:J31"/>
    <mergeCell ref="G26:H26"/>
    <mergeCell ref="I26:J26"/>
    <mergeCell ref="G27:H27"/>
    <mergeCell ref="I27:J27"/>
    <mergeCell ref="G28:H28"/>
    <mergeCell ref="I28:J28"/>
    <mergeCell ref="G23:H23"/>
    <mergeCell ref="I23:J23"/>
    <mergeCell ref="G24:H24"/>
    <mergeCell ref="I24:J24"/>
    <mergeCell ref="G25:H25"/>
    <mergeCell ref="I25:J25"/>
    <mergeCell ref="G20:H20"/>
    <mergeCell ref="I20:J20"/>
    <mergeCell ref="G21:H21"/>
    <mergeCell ref="I21:J21"/>
    <mergeCell ref="G22:H22"/>
    <mergeCell ref="I22:J22"/>
    <mergeCell ref="G17:H17"/>
    <mergeCell ref="I17:J17"/>
    <mergeCell ref="G18:H18"/>
    <mergeCell ref="I18:J18"/>
    <mergeCell ref="G19:H19"/>
    <mergeCell ref="I19:J19"/>
    <mergeCell ref="G14:H14"/>
    <mergeCell ref="I14:J14"/>
    <mergeCell ref="G15:H15"/>
    <mergeCell ref="I15:J15"/>
    <mergeCell ref="G16:H16"/>
    <mergeCell ref="I16:J16"/>
    <mergeCell ref="G11:H11"/>
    <mergeCell ref="I11:J11"/>
    <mergeCell ref="G12:H12"/>
    <mergeCell ref="I12:J12"/>
    <mergeCell ref="G13:H13"/>
    <mergeCell ref="I13:J13"/>
    <mergeCell ref="G8:H8"/>
    <mergeCell ref="I8:J8"/>
    <mergeCell ref="G9:H9"/>
    <mergeCell ref="I9:J9"/>
    <mergeCell ref="G10:H10"/>
    <mergeCell ref="I10:J10"/>
    <mergeCell ref="G7:H7"/>
    <mergeCell ref="I7:J7"/>
    <mergeCell ref="AJ4:AO6"/>
    <mergeCell ref="AJ7:AL7"/>
    <mergeCell ref="AM7:AO7"/>
    <mergeCell ref="AD4:AI6"/>
    <mergeCell ref="AD7:AF7"/>
    <mergeCell ref="AG7:AI7"/>
    <mergeCell ref="X4:AC6"/>
    <mergeCell ref="X7:Z7"/>
    <mergeCell ref="AA7:AC7"/>
    <mergeCell ref="U7:W7"/>
    <mergeCell ref="B2:J5"/>
    <mergeCell ref="L4:Q6"/>
    <mergeCell ref="L10:N10"/>
    <mergeCell ref="L9:N9"/>
    <mergeCell ref="L8:N8"/>
    <mergeCell ref="R8:T8"/>
  </mergeCells>
  <conditionalFormatting sqref="E61:E62">
    <cfRule type="colorScale" priority="62">
      <colorScale>
        <cfvo type="min"/>
        <cfvo type="percentile" val="50"/>
        <cfvo type="max"/>
        <color rgb="FFF8696B"/>
        <color rgb="FFFFEB84"/>
        <color rgb="FF63BE7B"/>
      </colorScale>
    </cfRule>
  </conditionalFormatting>
  <conditionalFormatting sqref="F61:F62">
    <cfRule type="dataBar" priority="61">
      <dataBar>
        <cfvo type="min"/>
        <cfvo type="max"/>
        <color rgb="FFFFB628"/>
      </dataBar>
      <extLst>
        <ext xmlns:x14="http://schemas.microsoft.com/office/spreadsheetml/2009/9/main" uri="{B025F937-C7B1-47D3-B67F-A62EFF666E3E}">
          <x14:id>{4396603A-CEF6-4676-A0FC-6EA0419538E5}</x14:id>
        </ext>
      </extLst>
    </cfRule>
  </conditionalFormatting>
  <conditionalFormatting sqref="E69:E76">
    <cfRule type="colorScale" priority="60">
      <colorScale>
        <cfvo type="min"/>
        <cfvo type="percentile" val="50"/>
        <cfvo type="max"/>
        <color rgb="FFF8696B"/>
        <color rgb="FFFFEB84"/>
        <color rgb="FF63BE7B"/>
      </colorScale>
    </cfRule>
  </conditionalFormatting>
  <conditionalFormatting sqref="F69:F76">
    <cfRule type="dataBar" priority="59">
      <dataBar>
        <cfvo type="min"/>
        <cfvo type="max"/>
        <color rgb="FFFFB628"/>
      </dataBar>
      <extLst>
        <ext xmlns:x14="http://schemas.microsoft.com/office/spreadsheetml/2009/9/main" uri="{B025F937-C7B1-47D3-B67F-A62EFF666E3E}">
          <x14:id>{6180F794-060D-40BE-9098-613E7958876A}</x14:id>
        </ext>
      </extLst>
    </cfRule>
  </conditionalFormatting>
  <conditionalFormatting sqref="Q64:R70">
    <cfRule type="colorScale" priority="58">
      <colorScale>
        <cfvo type="min"/>
        <cfvo type="percentile" val="50"/>
        <cfvo type="max"/>
        <color rgb="FFF8696B"/>
        <color rgb="FFFFEB84"/>
        <color rgb="FF63BE7B"/>
      </colorScale>
    </cfRule>
  </conditionalFormatting>
  <conditionalFormatting sqref="S64:S70">
    <cfRule type="dataBar" priority="57">
      <dataBar>
        <cfvo type="min"/>
        <cfvo type="max"/>
        <color rgb="FFFFB628"/>
      </dataBar>
      <extLst>
        <ext xmlns:x14="http://schemas.microsoft.com/office/spreadsheetml/2009/9/main" uri="{B025F937-C7B1-47D3-B67F-A62EFF666E3E}">
          <x14:id>{EA1CE48A-9C55-4594-9051-B0AFCA0A280F}</x14:id>
        </ext>
      </extLst>
    </cfRule>
  </conditionalFormatting>
  <conditionalFormatting sqref="T64:T70">
    <cfRule type="dataBar" priority="55">
      <dataBar>
        <cfvo type="min"/>
        <cfvo type="max"/>
        <color rgb="FF638EC6"/>
      </dataBar>
      <extLst>
        <ext xmlns:x14="http://schemas.microsoft.com/office/spreadsheetml/2009/9/main" uri="{B025F937-C7B1-47D3-B67F-A62EFF666E3E}">
          <x14:id>{0978533C-9B3F-46E4-B051-DDC980959CB6}</x14:id>
        </ext>
      </extLst>
    </cfRule>
  </conditionalFormatting>
  <conditionalFormatting sqref="R73:R81">
    <cfRule type="colorScale" priority="53">
      <colorScale>
        <cfvo type="min"/>
        <cfvo type="percentile" val="50"/>
        <cfvo type="max"/>
        <color rgb="FFF8696B"/>
        <color rgb="FFFFEB84"/>
        <color rgb="FF63BE7B"/>
      </colorScale>
    </cfRule>
  </conditionalFormatting>
  <conditionalFormatting sqref="S73:S81">
    <cfRule type="dataBar" priority="52">
      <dataBar>
        <cfvo type="min"/>
        <cfvo type="max"/>
        <color rgb="FFFFB628"/>
      </dataBar>
      <extLst>
        <ext xmlns:x14="http://schemas.microsoft.com/office/spreadsheetml/2009/9/main" uri="{B025F937-C7B1-47D3-B67F-A62EFF666E3E}">
          <x14:id>{93006352-F13F-4FF1-A20A-4FCEC215D056}</x14:id>
        </ext>
      </extLst>
    </cfRule>
  </conditionalFormatting>
  <conditionalFormatting sqref="T73:T81">
    <cfRule type="dataBar" priority="51">
      <dataBar>
        <cfvo type="min"/>
        <cfvo type="max"/>
        <color rgb="FF638EC6"/>
      </dataBar>
      <extLst>
        <ext xmlns:x14="http://schemas.microsoft.com/office/spreadsheetml/2009/9/main" uri="{B025F937-C7B1-47D3-B67F-A62EFF666E3E}">
          <x14:id>{53F60FDF-B292-475C-9409-9B13387802A2}</x14:id>
        </ext>
      </extLst>
    </cfRule>
  </conditionalFormatting>
  <conditionalFormatting sqref="Q84:R87">
    <cfRule type="colorScale" priority="50">
      <colorScale>
        <cfvo type="min"/>
        <cfvo type="percentile" val="50"/>
        <cfvo type="max"/>
        <color rgb="FFF8696B"/>
        <color rgb="FFFFEB84"/>
        <color rgb="FF63BE7B"/>
      </colorScale>
    </cfRule>
  </conditionalFormatting>
  <conditionalFormatting sqref="S84:S87">
    <cfRule type="dataBar" priority="48">
      <dataBar>
        <cfvo type="min"/>
        <cfvo type="max"/>
        <color rgb="FFFFB628"/>
      </dataBar>
      <extLst>
        <ext xmlns:x14="http://schemas.microsoft.com/office/spreadsheetml/2009/9/main" uri="{B025F937-C7B1-47D3-B67F-A62EFF666E3E}">
          <x14:id>{10D348EF-E8EB-4055-9B2A-ACA8BFC0344E}</x14:id>
        </ext>
      </extLst>
    </cfRule>
  </conditionalFormatting>
  <conditionalFormatting sqref="T84:T87">
    <cfRule type="dataBar" priority="47">
      <dataBar>
        <cfvo type="min"/>
        <cfvo type="max"/>
        <color rgb="FF638EC6"/>
      </dataBar>
      <extLst>
        <ext xmlns:x14="http://schemas.microsoft.com/office/spreadsheetml/2009/9/main" uri="{B025F937-C7B1-47D3-B67F-A62EFF666E3E}">
          <x14:id>{A013480E-AE54-4EBC-BE8E-FDCE03309A56}</x14:id>
        </ext>
      </extLst>
    </cfRule>
  </conditionalFormatting>
  <conditionalFormatting sqref="Q90:R95">
    <cfRule type="colorScale" priority="46">
      <colorScale>
        <cfvo type="min"/>
        <cfvo type="percentile" val="50"/>
        <cfvo type="max"/>
        <color rgb="FFF8696B"/>
        <color rgb="FFFFEB84"/>
        <color rgb="FF63BE7B"/>
      </colorScale>
    </cfRule>
  </conditionalFormatting>
  <conditionalFormatting sqref="S90:S95">
    <cfRule type="dataBar" priority="44">
      <dataBar>
        <cfvo type="min"/>
        <cfvo type="max"/>
        <color rgb="FFFFB628"/>
      </dataBar>
      <extLst>
        <ext xmlns:x14="http://schemas.microsoft.com/office/spreadsheetml/2009/9/main" uri="{B025F937-C7B1-47D3-B67F-A62EFF666E3E}">
          <x14:id>{06A83CE8-4D5B-4768-B312-A5971EF30D01}</x14:id>
        </ext>
      </extLst>
    </cfRule>
  </conditionalFormatting>
  <conditionalFormatting sqref="T90:T95">
    <cfRule type="dataBar" priority="43">
      <dataBar>
        <cfvo type="min"/>
        <cfvo type="max"/>
        <color rgb="FF638EC6"/>
      </dataBar>
      <extLst>
        <ext xmlns:x14="http://schemas.microsoft.com/office/spreadsheetml/2009/9/main" uri="{B025F937-C7B1-47D3-B67F-A62EFF666E3E}">
          <x14:id>{81D58229-8A38-485C-A696-7DF8BBE2917C}</x14:id>
        </ext>
      </extLst>
    </cfRule>
  </conditionalFormatting>
  <conditionalFormatting sqref="S98:S102">
    <cfRule type="dataBar" priority="40">
      <dataBar>
        <cfvo type="min"/>
        <cfvo type="max"/>
        <color rgb="FFFFB628"/>
      </dataBar>
      <extLst>
        <ext xmlns:x14="http://schemas.microsoft.com/office/spreadsheetml/2009/9/main" uri="{B025F937-C7B1-47D3-B67F-A62EFF666E3E}">
          <x14:id>{A241C9B0-2600-4FF7-AA56-BA1A73BFC1B0}</x14:id>
        </ext>
      </extLst>
    </cfRule>
  </conditionalFormatting>
  <conditionalFormatting sqref="T98:T102">
    <cfRule type="dataBar" priority="39">
      <dataBar>
        <cfvo type="min"/>
        <cfvo type="max"/>
        <color rgb="FF638EC6"/>
      </dataBar>
      <extLst>
        <ext xmlns:x14="http://schemas.microsoft.com/office/spreadsheetml/2009/9/main" uri="{B025F937-C7B1-47D3-B67F-A62EFF666E3E}">
          <x14:id>{E063566F-1744-404D-82AE-07E8DBC9E2A2}</x14:id>
        </ext>
      </extLst>
    </cfRule>
  </conditionalFormatting>
  <conditionalFormatting sqref="E87:E88">
    <cfRule type="colorScale" priority="37">
      <colorScale>
        <cfvo type="min"/>
        <cfvo type="percentile" val="50"/>
        <cfvo type="max"/>
        <color rgb="FFF8696B"/>
        <color rgb="FFFFEB84"/>
        <color rgb="FF63BE7B"/>
      </colorScale>
    </cfRule>
  </conditionalFormatting>
  <conditionalFormatting sqref="F87:F88">
    <cfRule type="dataBar" priority="38">
      <dataBar>
        <cfvo type="min"/>
        <cfvo type="max"/>
        <color rgb="FFFFB628"/>
      </dataBar>
      <extLst>
        <ext xmlns:x14="http://schemas.microsoft.com/office/spreadsheetml/2009/9/main" uri="{B025F937-C7B1-47D3-B67F-A62EFF666E3E}">
          <x14:id>{8B8FA0E1-0455-4AB6-B7E1-1F1699627683}</x14:id>
        </ext>
      </extLst>
    </cfRule>
  </conditionalFormatting>
  <conditionalFormatting sqref="E84">
    <cfRule type="colorScale" priority="35">
      <colorScale>
        <cfvo type="min"/>
        <cfvo type="percentile" val="50"/>
        <cfvo type="max"/>
        <color rgb="FFF8696B"/>
        <color rgb="FFFFEB84"/>
        <color rgb="FF63BE7B"/>
      </colorScale>
    </cfRule>
  </conditionalFormatting>
  <conditionalFormatting sqref="F84">
    <cfRule type="dataBar" priority="36">
      <dataBar>
        <cfvo type="min"/>
        <cfvo type="max"/>
        <color rgb="FFFFB628"/>
      </dataBar>
      <extLst>
        <ext xmlns:x14="http://schemas.microsoft.com/office/spreadsheetml/2009/9/main" uri="{B025F937-C7B1-47D3-B67F-A62EFF666E3E}">
          <x14:id>{3432BDFD-18DC-4DDD-870C-BB9A705AA1D9}</x14:id>
        </ext>
      </extLst>
    </cfRule>
  </conditionalFormatting>
  <conditionalFormatting sqref="E85:E86 E90">
    <cfRule type="colorScale" priority="63">
      <colorScale>
        <cfvo type="min"/>
        <cfvo type="percentile" val="50"/>
        <cfvo type="max"/>
        <color rgb="FFF8696B"/>
        <color rgb="FFFFEB84"/>
        <color rgb="FF63BE7B"/>
      </colorScale>
    </cfRule>
  </conditionalFormatting>
  <conditionalFormatting sqref="F85:F86 F90">
    <cfRule type="dataBar" priority="64">
      <dataBar>
        <cfvo type="min"/>
        <cfvo type="max"/>
        <color rgb="FFFFB628"/>
      </dataBar>
      <extLst>
        <ext xmlns:x14="http://schemas.microsoft.com/office/spreadsheetml/2009/9/main" uri="{B025F937-C7B1-47D3-B67F-A62EFF666E3E}">
          <x14:id>{42DD337C-072A-4AE6-B5B0-6C77E3BD36CB}</x14:id>
        </ext>
      </extLst>
    </cfRule>
  </conditionalFormatting>
  <conditionalFormatting sqref="E106">
    <cfRule type="colorScale" priority="33">
      <colorScale>
        <cfvo type="min"/>
        <cfvo type="percentile" val="50"/>
        <cfvo type="max"/>
        <color rgb="FFF8696B"/>
        <color rgb="FFFFEB84"/>
        <color rgb="FF63BE7B"/>
      </colorScale>
    </cfRule>
  </conditionalFormatting>
  <conditionalFormatting sqref="F106">
    <cfRule type="dataBar" priority="34">
      <dataBar>
        <cfvo type="min"/>
        <cfvo type="max"/>
        <color rgb="FFFFB628"/>
      </dataBar>
      <extLst>
        <ext xmlns:x14="http://schemas.microsoft.com/office/spreadsheetml/2009/9/main" uri="{B025F937-C7B1-47D3-B67F-A62EFF666E3E}">
          <x14:id>{3E73A1E3-94D0-4CDD-9519-17CA03B2A516}</x14:id>
        </ext>
      </extLst>
    </cfRule>
  </conditionalFormatting>
  <conditionalFormatting sqref="F101:F109">
    <cfRule type="dataBar" priority="32">
      <dataBar>
        <cfvo type="min"/>
        <cfvo type="max"/>
        <color rgb="FFFFB628"/>
      </dataBar>
      <extLst>
        <ext xmlns:x14="http://schemas.microsoft.com/office/spreadsheetml/2009/9/main" uri="{B025F937-C7B1-47D3-B67F-A62EFF666E3E}">
          <x14:id>{315D16FB-168E-413B-B65D-00D8E92F18EA}</x14:id>
        </ext>
      </extLst>
    </cfRule>
  </conditionalFormatting>
  <conditionalFormatting sqref="E83">
    <cfRule type="colorScale" priority="30">
      <colorScale>
        <cfvo type="min"/>
        <cfvo type="percentile" val="50"/>
        <cfvo type="max"/>
        <color rgb="FFF8696B"/>
        <color rgb="FFFFEB84"/>
        <color rgb="FF63BE7B"/>
      </colorScale>
    </cfRule>
  </conditionalFormatting>
  <conditionalFormatting sqref="F83:F93">
    <cfRule type="dataBar" priority="31">
      <dataBar>
        <cfvo type="min"/>
        <cfvo type="max"/>
        <color rgb="FFFFB628"/>
      </dataBar>
      <extLst>
        <ext xmlns:x14="http://schemas.microsoft.com/office/spreadsheetml/2009/9/main" uri="{B025F937-C7B1-47D3-B67F-A62EFF666E3E}">
          <x14:id>{AF175213-B22B-4242-8434-E0E7478F4346}</x14:id>
        </ext>
      </extLst>
    </cfRule>
  </conditionalFormatting>
  <conditionalFormatting sqref="E83">
    <cfRule type="colorScale" priority="29">
      <colorScale>
        <cfvo type="min"/>
        <cfvo type="percentile" val="50"/>
        <cfvo type="max"/>
        <color rgb="FFF8696B"/>
        <color rgb="FFFFEB84"/>
        <color rgb="FF63BE7B"/>
      </colorScale>
    </cfRule>
  </conditionalFormatting>
  <conditionalFormatting sqref="F83:F93">
    <cfRule type="dataBar" priority="28">
      <dataBar>
        <cfvo type="min"/>
        <cfvo type="max"/>
        <color rgb="FFFFB628"/>
      </dataBar>
      <extLst>
        <ext xmlns:x14="http://schemas.microsoft.com/office/spreadsheetml/2009/9/main" uri="{B025F937-C7B1-47D3-B67F-A62EFF666E3E}">
          <x14:id>{CEE7FFC0-B9A6-43FD-8B95-5F4772762227}</x14:id>
        </ext>
      </extLst>
    </cfRule>
  </conditionalFormatting>
  <conditionalFormatting sqref="E93">
    <cfRule type="colorScale" priority="26">
      <colorScale>
        <cfvo type="min"/>
        <cfvo type="percentile" val="50"/>
        <cfvo type="max"/>
        <color rgb="FFF8696B"/>
        <color rgb="FFFFEB84"/>
        <color rgb="FF63BE7B"/>
      </colorScale>
    </cfRule>
  </conditionalFormatting>
  <conditionalFormatting sqref="F93">
    <cfRule type="dataBar" priority="27">
      <dataBar>
        <cfvo type="min"/>
        <cfvo type="max"/>
        <color rgb="FFFFB628"/>
      </dataBar>
      <extLst>
        <ext xmlns:x14="http://schemas.microsoft.com/office/spreadsheetml/2009/9/main" uri="{B025F937-C7B1-47D3-B67F-A62EFF666E3E}">
          <x14:id>{6E858E0A-A201-438D-9196-0F6A95BA3FD8}</x14:id>
        </ext>
      </extLst>
    </cfRule>
  </conditionalFormatting>
  <conditionalFormatting sqref="E93">
    <cfRule type="colorScale" priority="25">
      <colorScale>
        <cfvo type="min"/>
        <cfvo type="percentile" val="50"/>
        <cfvo type="max"/>
        <color rgb="FFF8696B"/>
        <color rgb="FFFFEB84"/>
        <color rgb="FF63BE7B"/>
      </colorScale>
    </cfRule>
  </conditionalFormatting>
  <conditionalFormatting sqref="F93">
    <cfRule type="dataBar" priority="24">
      <dataBar>
        <cfvo type="min"/>
        <cfvo type="max"/>
        <color rgb="FFFFB628"/>
      </dataBar>
      <extLst>
        <ext xmlns:x14="http://schemas.microsoft.com/office/spreadsheetml/2009/9/main" uri="{B025F937-C7B1-47D3-B67F-A62EFF666E3E}">
          <x14:id>{B9401335-5B40-4C71-8D7D-40F3B0D8D02F}</x14:id>
        </ext>
      </extLst>
    </cfRule>
  </conditionalFormatting>
  <conditionalFormatting sqref="E91">
    <cfRule type="colorScale" priority="22">
      <colorScale>
        <cfvo type="min"/>
        <cfvo type="percentile" val="50"/>
        <cfvo type="max"/>
        <color rgb="FFF8696B"/>
        <color rgb="FFFFEB84"/>
        <color rgb="FF63BE7B"/>
      </colorScale>
    </cfRule>
  </conditionalFormatting>
  <conditionalFormatting sqref="F91">
    <cfRule type="dataBar" priority="23">
      <dataBar>
        <cfvo type="min"/>
        <cfvo type="max"/>
        <color rgb="FFFFB628"/>
      </dataBar>
      <extLst>
        <ext xmlns:x14="http://schemas.microsoft.com/office/spreadsheetml/2009/9/main" uri="{B025F937-C7B1-47D3-B67F-A62EFF666E3E}">
          <x14:id>{AFCEBB3D-223C-4769-804F-8663C8017F42}</x14:id>
        </ext>
      </extLst>
    </cfRule>
  </conditionalFormatting>
  <conditionalFormatting sqref="E91">
    <cfRule type="colorScale" priority="21">
      <colorScale>
        <cfvo type="min"/>
        <cfvo type="percentile" val="50"/>
        <cfvo type="max"/>
        <color rgb="FFF8696B"/>
        <color rgb="FFFFEB84"/>
        <color rgb="FF63BE7B"/>
      </colorScale>
    </cfRule>
  </conditionalFormatting>
  <conditionalFormatting sqref="F91">
    <cfRule type="dataBar" priority="20">
      <dataBar>
        <cfvo type="min"/>
        <cfvo type="max"/>
        <color rgb="FFFFB628"/>
      </dataBar>
      <extLst>
        <ext xmlns:x14="http://schemas.microsoft.com/office/spreadsheetml/2009/9/main" uri="{B025F937-C7B1-47D3-B67F-A62EFF666E3E}">
          <x14:id>{168DFD4D-D886-42FE-B920-C2EDB3EB7A60}</x14:id>
        </ext>
      </extLst>
    </cfRule>
  </conditionalFormatting>
  <conditionalFormatting sqref="E92">
    <cfRule type="colorScale" priority="18">
      <colorScale>
        <cfvo type="min"/>
        <cfvo type="percentile" val="50"/>
        <cfvo type="max"/>
        <color rgb="FFF8696B"/>
        <color rgb="FFFFEB84"/>
        <color rgb="FF63BE7B"/>
      </colorScale>
    </cfRule>
  </conditionalFormatting>
  <conditionalFormatting sqref="F92">
    <cfRule type="dataBar" priority="19">
      <dataBar>
        <cfvo type="min"/>
        <cfvo type="max"/>
        <color rgb="FFFFB628"/>
      </dataBar>
      <extLst>
        <ext xmlns:x14="http://schemas.microsoft.com/office/spreadsheetml/2009/9/main" uri="{B025F937-C7B1-47D3-B67F-A62EFF666E3E}">
          <x14:id>{EDF8D596-BFCD-43BE-94B8-53E9C8A0942C}</x14:id>
        </ext>
      </extLst>
    </cfRule>
  </conditionalFormatting>
  <conditionalFormatting sqref="E92">
    <cfRule type="colorScale" priority="17">
      <colorScale>
        <cfvo type="min"/>
        <cfvo type="percentile" val="50"/>
        <cfvo type="max"/>
        <color rgb="FFF8696B"/>
        <color rgb="FFFFEB84"/>
        <color rgb="FF63BE7B"/>
      </colorScale>
    </cfRule>
  </conditionalFormatting>
  <conditionalFormatting sqref="F92">
    <cfRule type="dataBar" priority="16">
      <dataBar>
        <cfvo type="min"/>
        <cfvo type="max"/>
        <color rgb="FFFFB628"/>
      </dataBar>
      <extLst>
        <ext xmlns:x14="http://schemas.microsoft.com/office/spreadsheetml/2009/9/main" uri="{B025F937-C7B1-47D3-B67F-A62EFF666E3E}">
          <x14:id>{0975B046-04FF-49C6-9531-529B5F6D200E}</x14:id>
        </ext>
      </extLst>
    </cfRule>
  </conditionalFormatting>
  <conditionalFormatting sqref="E84:E88 E90">
    <cfRule type="colorScale" priority="65">
      <colorScale>
        <cfvo type="min"/>
        <cfvo type="percentile" val="50"/>
        <cfvo type="max"/>
        <color rgb="FFF8696B"/>
        <color rgb="FFFFEB84"/>
        <color rgb="FF63BE7B"/>
      </colorScale>
    </cfRule>
  </conditionalFormatting>
  <conditionalFormatting sqref="F84:F88 F90">
    <cfRule type="dataBar" priority="66">
      <dataBar>
        <cfvo type="min"/>
        <cfvo type="max"/>
        <color rgb="FFFFB628"/>
      </dataBar>
      <extLst>
        <ext xmlns:x14="http://schemas.microsoft.com/office/spreadsheetml/2009/9/main" uri="{B025F937-C7B1-47D3-B67F-A62EFF666E3E}">
          <x14:id>{124E7CE2-18A7-480F-985C-3B2231CEEF12}</x14:id>
        </ext>
      </extLst>
    </cfRule>
  </conditionalFormatting>
  <conditionalFormatting sqref="E89">
    <cfRule type="colorScale" priority="12">
      <colorScale>
        <cfvo type="min"/>
        <cfvo type="percentile" val="50"/>
        <cfvo type="max"/>
        <color rgb="FFF8696B"/>
        <color rgb="FFFFEB84"/>
        <color rgb="FF63BE7B"/>
      </colorScale>
    </cfRule>
  </conditionalFormatting>
  <conditionalFormatting sqref="F89">
    <cfRule type="dataBar" priority="13">
      <dataBar>
        <cfvo type="min"/>
        <cfvo type="max"/>
        <color rgb="FFFFB628"/>
      </dataBar>
      <extLst>
        <ext xmlns:x14="http://schemas.microsoft.com/office/spreadsheetml/2009/9/main" uri="{B025F937-C7B1-47D3-B67F-A62EFF666E3E}">
          <x14:id>{7B4D7E47-99DB-4A23-927D-FE3DE7747AE9}</x14:id>
        </ext>
      </extLst>
    </cfRule>
  </conditionalFormatting>
  <conditionalFormatting sqref="E89">
    <cfRule type="colorScale" priority="14">
      <colorScale>
        <cfvo type="min"/>
        <cfvo type="percentile" val="50"/>
        <cfvo type="max"/>
        <color rgb="FFF8696B"/>
        <color rgb="FFFFEB84"/>
        <color rgb="FF63BE7B"/>
      </colorScale>
    </cfRule>
  </conditionalFormatting>
  <conditionalFormatting sqref="F89">
    <cfRule type="dataBar" priority="15">
      <dataBar>
        <cfvo type="min"/>
        <cfvo type="max"/>
        <color rgb="FFFFB628"/>
      </dataBar>
      <extLst>
        <ext xmlns:x14="http://schemas.microsoft.com/office/spreadsheetml/2009/9/main" uri="{B025F937-C7B1-47D3-B67F-A62EFF666E3E}">
          <x14:id>{B4EE26C1-EEE5-424D-9FC4-1CE7B23E40AE}</x14:id>
        </ext>
      </extLst>
    </cfRule>
  </conditionalFormatting>
  <conditionalFormatting sqref="E101:E103 E109">
    <cfRule type="colorScale" priority="67">
      <colorScale>
        <cfvo type="min"/>
        <cfvo type="percentile" val="50"/>
        <cfvo type="max"/>
        <color rgb="FFF8696B"/>
        <color rgb="FFFFEB84"/>
        <color rgb="FF63BE7B"/>
      </colorScale>
    </cfRule>
  </conditionalFormatting>
  <conditionalFormatting sqref="F101:F103 F109">
    <cfRule type="dataBar" priority="68">
      <dataBar>
        <cfvo type="min"/>
        <cfvo type="max"/>
        <color rgb="FFFFB628"/>
      </dataBar>
      <extLst>
        <ext xmlns:x14="http://schemas.microsoft.com/office/spreadsheetml/2009/9/main" uri="{B025F937-C7B1-47D3-B67F-A62EFF666E3E}">
          <x14:id>{4D3635EC-A6B3-4038-A7B6-BA79BE3150CC}</x14:id>
        </ext>
      </extLst>
    </cfRule>
  </conditionalFormatting>
  <conditionalFormatting sqref="E83:E93">
    <cfRule type="colorScale" priority="11">
      <colorScale>
        <cfvo type="min"/>
        <cfvo type="percentile" val="50"/>
        <cfvo type="max"/>
        <color rgb="FFF8696B"/>
        <color rgb="FFFFEB84"/>
        <color rgb="FF63BE7B"/>
      </colorScale>
    </cfRule>
  </conditionalFormatting>
  <conditionalFormatting sqref="F83:F93">
    <cfRule type="dataBar" priority="10">
      <dataBar>
        <cfvo type="min"/>
        <cfvo type="max"/>
        <color rgb="FFFFB628"/>
      </dataBar>
      <extLst>
        <ext xmlns:x14="http://schemas.microsoft.com/office/spreadsheetml/2009/9/main" uri="{B025F937-C7B1-47D3-B67F-A62EFF666E3E}">
          <x14:id>{C01863AF-0E11-4C7C-A110-85A09B10472C}</x14:id>
        </ext>
      </extLst>
    </cfRule>
  </conditionalFormatting>
  <conditionalFormatting sqref="E101:E110">
    <cfRule type="colorScale" priority="9">
      <colorScale>
        <cfvo type="min"/>
        <cfvo type="percentile" val="50"/>
        <cfvo type="max"/>
        <color rgb="FFF8696B"/>
        <color rgb="FFFFEB84"/>
        <color rgb="FF63BE7B"/>
      </colorScale>
    </cfRule>
  </conditionalFormatting>
  <conditionalFormatting sqref="E122">
    <cfRule type="colorScale" priority="5">
      <colorScale>
        <cfvo type="min"/>
        <cfvo type="percentile" val="50"/>
        <cfvo type="max"/>
        <color rgb="FFF8696B"/>
        <color rgb="FFFFEB84"/>
        <color rgb="FF63BE7B"/>
      </colorScale>
    </cfRule>
  </conditionalFormatting>
  <conditionalFormatting sqref="F122">
    <cfRule type="dataBar" priority="6">
      <dataBar>
        <cfvo type="min"/>
        <cfvo type="max"/>
        <color rgb="FFFFB628"/>
      </dataBar>
      <extLst>
        <ext xmlns:x14="http://schemas.microsoft.com/office/spreadsheetml/2009/9/main" uri="{B025F937-C7B1-47D3-B67F-A62EFF666E3E}">
          <x14:id>{3BDADEAB-1B85-4AF7-AB0D-7A89FC3CCA84}</x14:id>
        </ext>
      </extLst>
    </cfRule>
  </conditionalFormatting>
  <conditionalFormatting sqref="F117:F125">
    <cfRule type="dataBar" priority="4">
      <dataBar>
        <cfvo type="min"/>
        <cfvo type="max"/>
        <color rgb="FFFFB628"/>
      </dataBar>
      <extLst>
        <ext xmlns:x14="http://schemas.microsoft.com/office/spreadsheetml/2009/9/main" uri="{B025F937-C7B1-47D3-B67F-A62EFF666E3E}">
          <x14:id>{67DB4CC1-9F63-43E2-998C-C1E6928E37A8}</x14:id>
        </ext>
      </extLst>
    </cfRule>
  </conditionalFormatting>
  <conditionalFormatting sqref="E117:E119 E125">
    <cfRule type="colorScale" priority="7">
      <colorScale>
        <cfvo type="min"/>
        <cfvo type="percentile" val="50"/>
        <cfvo type="max"/>
        <color rgb="FFF8696B"/>
        <color rgb="FFFFEB84"/>
        <color rgb="FF63BE7B"/>
      </colorScale>
    </cfRule>
  </conditionalFormatting>
  <conditionalFormatting sqref="F117:F119 F125">
    <cfRule type="dataBar" priority="8">
      <dataBar>
        <cfvo type="min"/>
        <cfvo type="max"/>
        <color rgb="FFFFB628"/>
      </dataBar>
      <extLst>
        <ext xmlns:x14="http://schemas.microsoft.com/office/spreadsheetml/2009/9/main" uri="{B025F937-C7B1-47D3-B67F-A62EFF666E3E}">
          <x14:id>{6AB73699-1D9D-4EA0-8BEE-C965CBF5CD57}</x14:id>
        </ext>
      </extLst>
    </cfRule>
  </conditionalFormatting>
  <conditionalFormatting sqref="E117:E126">
    <cfRule type="colorScale" priority="3">
      <colorScale>
        <cfvo type="min"/>
        <cfvo type="percentile" val="50"/>
        <cfvo type="max"/>
        <color rgb="FFF8696B"/>
        <color rgb="FFFFEB84"/>
        <color rgb="FF63BE7B"/>
      </colorScale>
    </cfRule>
  </conditionalFormatting>
  <conditionalFormatting sqref="Q73:Q81">
    <cfRule type="colorScale" priority="2">
      <colorScale>
        <cfvo type="min"/>
        <cfvo type="percentile" val="50"/>
        <cfvo type="max"/>
        <color rgb="FFF8696B"/>
        <color rgb="FFFFEB84"/>
        <color rgb="FF63BE7B"/>
      </colorScale>
    </cfRule>
  </conditionalFormatting>
  <conditionalFormatting sqref="Q98:R102">
    <cfRule type="colorScale" priority="1">
      <colorScale>
        <cfvo type="min"/>
        <cfvo type="percentile" val="50"/>
        <cfvo type="max"/>
        <color rgb="FFF8696B"/>
        <color rgb="FFFFEB84"/>
        <color rgb="FF63BE7B"/>
      </colorScale>
    </cfRule>
  </conditionalFormatting>
  <dataValidations count="9">
    <dataValidation type="list" allowBlank="1" showInputMessage="1" showErrorMessage="1" sqref="E8:E57" xr:uid="{7FDBB93D-7473-4697-BC3E-4FA5FBEB4870}">
      <formula1>$D$69:$D$76</formula1>
    </dataValidation>
    <dataValidation type="list" allowBlank="1" showInputMessage="1" showErrorMessage="1" sqref="D8:D57" xr:uid="{89E204AD-EC11-47D4-873D-CDEBD9FE226B}">
      <formula1>$D$61:$D$62</formula1>
    </dataValidation>
    <dataValidation type="list" allowBlank="1" showInputMessage="1" showErrorMessage="1" sqref="F8:F57" xr:uid="{C9E0B210-6E1F-4338-A949-7A4BFCA256EE}">
      <formula1>$D$83:$D$93</formula1>
    </dataValidation>
    <dataValidation type="list" allowBlank="1" showInputMessage="1" showErrorMessage="1" sqref="G8:J57" xr:uid="{E1E4E7AB-6802-4741-AD4D-0252EF25FAD8}">
      <formula1>$D$139:$D$143</formula1>
    </dataValidation>
    <dataValidation type="list" allowBlank="1" showInputMessage="1" showErrorMessage="1" sqref="L8:Q57" xr:uid="{0C42D289-7F5C-4158-AF7D-B3487430CBC3}">
      <formula1>$F$138:$F$144</formula1>
    </dataValidation>
    <dataValidation type="list" allowBlank="1" showInputMessage="1" showErrorMessage="1" sqref="R8:W57" xr:uid="{FCF5F015-36F9-4BF1-A59A-ECEAF0009424}">
      <formula1>$G$138:$G$146</formula1>
    </dataValidation>
    <dataValidation type="list" allowBlank="1" showInputMessage="1" showErrorMessage="1" sqref="X8:AC57" xr:uid="{C2DDA794-C51E-40C7-AC2C-52B8AAE18856}">
      <formula1>$H$138:$H$141</formula1>
    </dataValidation>
    <dataValidation type="list" allowBlank="1" showInputMessage="1" showErrorMessage="1" sqref="AD8:AI57" xr:uid="{9F0DFF03-4947-4CA3-A950-317E7C1A4410}">
      <formula1>$I$138:$I$143</formula1>
    </dataValidation>
    <dataValidation type="list" allowBlank="1" showInputMessage="1" showErrorMessage="1" sqref="AJ8:AO57" xr:uid="{A8CDC50E-EC73-4D8E-8AA7-D5F310F74A00}">
      <formula1>$J$138:$J$142</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4396603A-CEF6-4676-A0FC-6EA0419538E5}">
            <x14:dataBar minLength="0" maxLength="100" border="1" negativeBarBorderColorSameAsPositive="0">
              <x14:cfvo type="autoMin"/>
              <x14:cfvo type="autoMax"/>
              <x14:borderColor rgb="FFFFB628"/>
              <x14:negativeFillColor rgb="FFFF0000"/>
              <x14:negativeBorderColor rgb="FFFF0000"/>
              <x14:axisColor rgb="FF000000"/>
            </x14:dataBar>
          </x14:cfRule>
          <xm:sqref>F61:F62</xm:sqref>
        </x14:conditionalFormatting>
        <x14:conditionalFormatting xmlns:xm="http://schemas.microsoft.com/office/excel/2006/main">
          <x14:cfRule type="dataBar" id="{6180F794-060D-40BE-9098-613E7958876A}">
            <x14:dataBar minLength="0" maxLength="100" border="1" negativeBarBorderColorSameAsPositive="0">
              <x14:cfvo type="autoMin"/>
              <x14:cfvo type="autoMax"/>
              <x14:borderColor rgb="FFFFB628"/>
              <x14:negativeFillColor rgb="FFFF0000"/>
              <x14:negativeBorderColor rgb="FFFF0000"/>
              <x14:axisColor rgb="FF000000"/>
            </x14:dataBar>
          </x14:cfRule>
          <xm:sqref>F69:F76</xm:sqref>
        </x14:conditionalFormatting>
        <x14:conditionalFormatting xmlns:xm="http://schemas.microsoft.com/office/excel/2006/main">
          <x14:cfRule type="dataBar" id="{EA1CE48A-9C55-4594-9051-B0AFCA0A280F}">
            <x14:dataBar minLength="0" maxLength="100" border="1" negativeBarBorderColorSameAsPositive="0">
              <x14:cfvo type="autoMin"/>
              <x14:cfvo type="autoMax"/>
              <x14:borderColor rgb="FFFFB628"/>
              <x14:negativeFillColor rgb="FFFF0000"/>
              <x14:negativeBorderColor rgb="FFFF0000"/>
              <x14:axisColor rgb="FF000000"/>
            </x14:dataBar>
          </x14:cfRule>
          <xm:sqref>S64:S70</xm:sqref>
        </x14:conditionalFormatting>
        <x14:conditionalFormatting xmlns:xm="http://schemas.microsoft.com/office/excel/2006/main">
          <x14:cfRule type="dataBar" id="{0978533C-9B3F-46E4-B051-DDC980959CB6}">
            <x14:dataBar minLength="0" maxLength="100" border="1" negativeBarBorderColorSameAsPositive="0">
              <x14:cfvo type="autoMin"/>
              <x14:cfvo type="autoMax"/>
              <x14:borderColor rgb="FF638EC6"/>
              <x14:negativeFillColor rgb="FFFF0000"/>
              <x14:negativeBorderColor rgb="FFFF0000"/>
              <x14:axisColor rgb="FF000000"/>
            </x14:dataBar>
          </x14:cfRule>
          <xm:sqref>T64:T70</xm:sqref>
        </x14:conditionalFormatting>
        <x14:conditionalFormatting xmlns:xm="http://schemas.microsoft.com/office/excel/2006/main">
          <x14:cfRule type="dataBar" id="{93006352-F13F-4FF1-A20A-4FCEC215D056}">
            <x14:dataBar minLength="0" maxLength="100" border="1" negativeBarBorderColorSameAsPositive="0">
              <x14:cfvo type="autoMin"/>
              <x14:cfvo type="autoMax"/>
              <x14:borderColor rgb="FFFFB628"/>
              <x14:negativeFillColor rgb="FFFF0000"/>
              <x14:negativeBorderColor rgb="FFFF0000"/>
              <x14:axisColor rgb="FF000000"/>
            </x14:dataBar>
          </x14:cfRule>
          <xm:sqref>S73:S81</xm:sqref>
        </x14:conditionalFormatting>
        <x14:conditionalFormatting xmlns:xm="http://schemas.microsoft.com/office/excel/2006/main">
          <x14:cfRule type="dataBar" id="{53F60FDF-B292-475C-9409-9B13387802A2}">
            <x14:dataBar minLength="0" maxLength="100" border="1" negativeBarBorderColorSameAsPositive="0">
              <x14:cfvo type="autoMin"/>
              <x14:cfvo type="autoMax"/>
              <x14:borderColor rgb="FF638EC6"/>
              <x14:negativeFillColor rgb="FFFF0000"/>
              <x14:negativeBorderColor rgb="FFFF0000"/>
              <x14:axisColor rgb="FF000000"/>
            </x14:dataBar>
          </x14:cfRule>
          <xm:sqref>T73:T81</xm:sqref>
        </x14:conditionalFormatting>
        <x14:conditionalFormatting xmlns:xm="http://schemas.microsoft.com/office/excel/2006/main">
          <x14:cfRule type="dataBar" id="{10D348EF-E8EB-4055-9B2A-ACA8BFC0344E}">
            <x14:dataBar minLength="0" maxLength="100" border="1" negativeBarBorderColorSameAsPositive="0">
              <x14:cfvo type="autoMin"/>
              <x14:cfvo type="autoMax"/>
              <x14:borderColor rgb="FFFFB628"/>
              <x14:negativeFillColor rgb="FFFF0000"/>
              <x14:negativeBorderColor rgb="FFFF0000"/>
              <x14:axisColor rgb="FF000000"/>
            </x14:dataBar>
          </x14:cfRule>
          <xm:sqref>S84:S87</xm:sqref>
        </x14:conditionalFormatting>
        <x14:conditionalFormatting xmlns:xm="http://schemas.microsoft.com/office/excel/2006/main">
          <x14:cfRule type="dataBar" id="{A013480E-AE54-4EBC-BE8E-FDCE03309A56}">
            <x14:dataBar minLength="0" maxLength="100" border="1" negativeBarBorderColorSameAsPositive="0">
              <x14:cfvo type="autoMin"/>
              <x14:cfvo type="autoMax"/>
              <x14:borderColor rgb="FF638EC6"/>
              <x14:negativeFillColor rgb="FFFF0000"/>
              <x14:negativeBorderColor rgb="FFFF0000"/>
              <x14:axisColor rgb="FF000000"/>
            </x14:dataBar>
          </x14:cfRule>
          <xm:sqref>T84:T87</xm:sqref>
        </x14:conditionalFormatting>
        <x14:conditionalFormatting xmlns:xm="http://schemas.microsoft.com/office/excel/2006/main">
          <x14:cfRule type="dataBar" id="{06A83CE8-4D5B-4768-B312-A5971EF30D01}">
            <x14:dataBar minLength="0" maxLength="100" border="1" negativeBarBorderColorSameAsPositive="0">
              <x14:cfvo type="autoMin"/>
              <x14:cfvo type="autoMax"/>
              <x14:borderColor rgb="FFFFB628"/>
              <x14:negativeFillColor rgb="FFFF0000"/>
              <x14:negativeBorderColor rgb="FFFF0000"/>
              <x14:axisColor rgb="FF000000"/>
            </x14:dataBar>
          </x14:cfRule>
          <xm:sqref>S90:S95</xm:sqref>
        </x14:conditionalFormatting>
        <x14:conditionalFormatting xmlns:xm="http://schemas.microsoft.com/office/excel/2006/main">
          <x14:cfRule type="dataBar" id="{81D58229-8A38-485C-A696-7DF8BBE2917C}">
            <x14:dataBar minLength="0" maxLength="100" border="1" negativeBarBorderColorSameAsPositive="0">
              <x14:cfvo type="autoMin"/>
              <x14:cfvo type="autoMax"/>
              <x14:borderColor rgb="FF638EC6"/>
              <x14:negativeFillColor rgb="FFFF0000"/>
              <x14:negativeBorderColor rgb="FFFF0000"/>
              <x14:axisColor rgb="FF000000"/>
            </x14:dataBar>
          </x14:cfRule>
          <xm:sqref>T90:T95</xm:sqref>
        </x14:conditionalFormatting>
        <x14:conditionalFormatting xmlns:xm="http://schemas.microsoft.com/office/excel/2006/main">
          <x14:cfRule type="dataBar" id="{A241C9B0-2600-4FF7-AA56-BA1A73BFC1B0}">
            <x14:dataBar minLength="0" maxLength="100" border="1" negativeBarBorderColorSameAsPositive="0">
              <x14:cfvo type="autoMin"/>
              <x14:cfvo type="autoMax"/>
              <x14:borderColor rgb="FFFFB628"/>
              <x14:negativeFillColor rgb="FFFF0000"/>
              <x14:negativeBorderColor rgb="FFFF0000"/>
              <x14:axisColor rgb="FF000000"/>
            </x14:dataBar>
          </x14:cfRule>
          <xm:sqref>S98:S102</xm:sqref>
        </x14:conditionalFormatting>
        <x14:conditionalFormatting xmlns:xm="http://schemas.microsoft.com/office/excel/2006/main">
          <x14:cfRule type="dataBar" id="{E063566F-1744-404D-82AE-07E8DBC9E2A2}">
            <x14:dataBar minLength="0" maxLength="100" border="1" negativeBarBorderColorSameAsPositive="0">
              <x14:cfvo type="autoMin"/>
              <x14:cfvo type="autoMax"/>
              <x14:borderColor rgb="FF638EC6"/>
              <x14:negativeFillColor rgb="FFFF0000"/>
              <x14:negativeBorderColor rgb="FFFF0000"/>
              <x14:axisColor rgb="FF000000"/>
            </x14:dataBar>
          </x14:cfRule>
          <xm:sqref>T98:T102</xm:sqref>
        </x14:conditionalFormatting>
        <x14:conditionalFormatting xmlns:xm="http://schemas.microsoft.com/office/excel/2006/main">
          <x14:cfRule type="dataBar" id="{8B8FA0E1-0455-4AB6-B7E1-1F1699627683}">
            <x14:dataBar minLength="0" maxLength="100" border="1" negativeBarBorderColorSameAsPositive="0">
              <x14:cfvo type="autoMin"/>
              <x14:cfvo type="autoMax"/>
              <x14:borderColor rgb="FFFFB628"/>
              <x14:negativeFillColor rgb="FFFF0000"/>
              <x14:negativeBorderColor rgb="FFFF0000"/>
              <x14:axisColor rgb="FF000000"/>
            </x14:dataBar>
          </x14:cfRule>
          <xm:sqref>F87:F88</xm:sqref>
        </x14:conditionalFormatting>
        <x14:conditionalFormatting xmlns:xm="http://schemas.microsoft.com/office/excel/2006/main">
          <x14:cfRule type="dataBar" id="{3432BDFD-18DC-4DDD-870C-BB9A705AA1D9}">
            <x14:dataBar minLength="0" maxLength="100" border="1" negativeBarBorderColorSameAsPositive="0">
              <x14:cfvo type="autoMin"/>
              <x14:cfvo type="autoMax"/>
              <x14:borderColor rgb="FFFFB628"/>
              <x14:negativeFillColor rgb="FFFF0000"/>
              <x14:negativeBorderColor rgb="FFFF0000"/>
              <x14:axisColor rgb="FF000000"/>
            </x14:dataBar>
          </x14:cfRule>
          <xm:sqref>F84</xm:sqref>
        </x14:conditionalFormatting>
        <x14:conditionalFormatting xmlns:xm="http://schemas.microsoft.com/office/excel/2006/main">
          <x14:cfRule type="dataBar" id="{42DD337C-072A-4AE6-B5B0-6C77E3BD36CB}">
            <x14:dataBar minLength="0" maxLength="100" border="1" negativeBarBorderColorSameAsPositive="0">
              <x14:cfvo type="autoMin"/>
              <x14:cfvo type="autoMax"/>
              <x14:borderColor rgb="FFFFB628"/>
              <x14:negativeFillColor rgb="FFFF0000"/>
              <x14:negativeBorderColor rgb="FFFF0000"/>
              <x14:axisColor rgb="FF000000"/>
            </x14:dataBar>
          </x14:cfRule>
          <xm:sqref>F85:F86 F90</xm:sqref>
        </x14:conditionalFormatting>
        <x14:conditionalFormatting xmlns:xm="http://schemas.microsoft.com/office/excel/2006/main">
          <x14:cfRule type="dataBar" id="{3E73A1E3-94D0-4CDD-9519-17CA03B2A516}">
            <x14:dataBar minLength="0" maxLength="100" border="1" negativeBarBorderColorSameAsPositive="0">
              <x14:cfvo type="autoMin"/>
              <x14:cfvo type="autoMax"/>
              <x14:borderColor rgb="FFFFB628"/>
              <x14:negativeFillColor rgb="FFFF0000"/>
              <x14:negativeBorderColor rgb="FFFF0000"/>
              <x14:axisColor rgb="FF000000"/>
            </x14:dataBar>
          </x14:cfRule>
          <xm:sqref>F106</xm:sqref>
        </x14:conditionalFormatting>
        <x14:conditionalFormatting xmlns:xm="http://schemas.microsoft.com/office/excel/2006/main">
          <x14:cfRule type="dataBar" id="{315D16FB-168E-413B-B65D-00D8E92F18EA}">
            <x14:dataBar minLength="0" maxLength="100" border="1" negativeBarBorderColorSameAsPositive="0">
              <x14:cfvo type="autoMin"/>
              <x14:cfvo type="autoMax"/>
              <x14:borderColor rgb="FFFFB628"/>
              <x14:negativeFillColor rgb="FFFF0000"/>
              <x14:negativeBorderColor rgb="FFFF0000"/>
              <x14:axisColor rgb="FF000000"/>
            </x14:dataBar>
          </x14:cfRule>
          <xm:sqref>F101:F109</xm:sqref>
        </x14:conditionalFormatting>
        <x14:conditionalFormatting xmlns:xm="http://schemas.microsoft.com/office/excel/2006/main">
          <x14:cfRule type="dataBar" id="{AF175213-B22B-4242-8434-E0E7478F4346}">
            <x14:dataBar minLength="0" maxLength="100" border="1" negativeBarBorderColorSameAsPositive="0">
              <x14:cfvo type="autoMin"/>
              <x14:cfvo type="autoMax"/>
              <x14:borderColor rgb="FFFFB628"/>
              <x14:negativeFillColor rgb="FFFF0000"/>
              <x14:negativeBorderColor rgb="FFFF0000"/>
              <x14:axisColor rgb="FF000000"/>
            </x14:dataBar>
          </x14:cfRule>
          <xm:sqref>F83:F93</xm:sqref>
        </x14:conditionalFormatting>
        <x14:conditionalFormatting xmlns:xm="http://schemas.microsoft.com/office/excel/2006/main">
          <x14:cfRule type="dataBar" id="{CEE7FFC0-B9A6-43FD-8B95-5F4772762227}">
            <x14:dataBar minLength="0" maxLength="100" border="1" negativeBarBorderColorSameAsPositive="0">
              <x14:cfvo type="autoMin"/>
              <x14:cfvo type="autoMax"/>
              <x14:borderColor rgb="FFFFB628"/>
              <x14:negativeFillColor rgb="FFFF0000"/>
              <x14:negativeBorderColor rgb="FFFF0000"/>
              <x14:axisColor rgb="FF000000"/>
            </x14:dataBar>
          </x14:cfRule>
          <xm:sqref>F83:F93</xm:sqref>
        </x14:conditionalFormatting>
        <x14:conditionalFormatting xmlns:xm="http://schemas.microsoft.com/office/excel/2006/main">
          <x14:cfRule type="dataBar" id="{6E858E0A-A201-438D-9196-0F6A95BA3FD8}">
            <x14:dataBar minLength="0" maxLength="100" border="1" negativeBarBorderColorSameAsPositive="0">
              <x14:cfvo type="autoMin"/>
              <x14:cfvo type="autoMax"/>
              <x14:borderColor rgb="FFFFB628"/>
              <x14:negativeFillColor rgb="FFFF0000"/>
              <x14:negativeBorderColor rgb="FFFF0000"/>
              <x14:axisColor rgb="FF000000"/>
            </x14:dataBar>
          </x14:cfRule>
          <xm:sqref>F93</xm:sqref>
        </x14:conditionalFormatting>
        <x14:conditionalFormatting xmlns:xm="http://schemas.microsoft.com/office/excel/2006/main">
          <x14:cfRule type="dataBar" id="{B9401335-5B40-4C71-8D7D-40F3B0D8D02F}">
            <x14:dataBar minLength="0" maxLength="100" border="1" negativeBarBorderColorSameAsPositive="0">
              <x14:cfvo type="autoMin"/>
              <x14:cfvo type="autoMax"/>
              <x14:borderColor rgb="FFFFB628"/>
              <x14:negativeFillColor rgb="FFFF0000"/>
              <x14:negativeBorderColor rgb="FFFF0000"/>
              <x14:axisColor rgb="FF000000"/>
            </x14:dataBar>
          </x14:cfRule>
          <xm:sqref>F93</xm:sqref>
        </x14:conditionalFormatting>
        <x14:conditionalFormatting xmlns:xm="http://schemas.microsoft.com/office/excel/2006/main">
          <x14:cfRule type="dataBar" id="{AFCEBB3D-223C-4769-804F-8663C8017F42}">
            <x14:dataBar minLength="0" maxLength="100" border="1" negativeBarBorderColorSameAsPositive="0">
              <x14:cfvo type="autoMin"/>
              <x14:cfvo type="autoMax"/>
              <x14:borderColor rgb="FFFFB628"/>
              <x14:negativeFillColor rgb="FFFF0000"/>
              <x14:negativeBorderColor rgb="FFFF0000"/>
              <x14:axisColor rgb="FF000000"/>
            </x14:dataBar>
          </x14:cfRule>
          <xm:sqref>F91</xm:sqref>
        </x14:conditionalFormatting>
        <x14:conditionalFormatting xmlns:xm="http://schemas.microsoft.com/office/excel/2006/main">
          <x14:cfRule type="dataBar" id="{168DFD4D-D886-42FE-B920-C2EDB3EB7A60}">
            <x14:dataBar minLength="0" maxLength="100" border="1" negativeBarBorderColorSameAsPositive="0">
              <x14:cfvo type="autoMin"/>
              <x14:cfvo type="autoMax"/>
              <x14:borderColor rgb="FFFFB628"/>
              <x14:negativeFillColor rgb="FFFF0000"/>
              <x14:negativeBorderColor rgb="FFFF0000"/>
              <x14:axisColor rgb="FF000000"/>
            </x14:dataBar>
          </x14:cfRule>
          <xm:sqref>F91</xm:sqref>
        </x14:conditionalFormatting>
        <x14:conditionalFormatting xmlns:xm="http://schemas.microsoft.com/office/excel/2006/main">
          <x14:cfRule type="dataBar" id="{EDF8D596-BFCD-43BE-94B8-53E9C8A0942C}">
            <x14:dataBar minLength="0" maxLength="100" border="1" negativeBarBorderColorSameAsPositive="0">
              <x14:cfvo type="autoMin"/>
              <x14:cfvo type="autoMax"/>
              <x14:borderColor rgb="FFFFB628"/>
              <x14:negativeFillColor rgb="FFFF0000"/>
              <x14:negativeBorderColor rgb="FFFF0000"/>
              <x14:axisColor rgb="FF000000"/>
            </x14:dataBar>
          </x14:cfRule>
          <xm:sqref>F92</xm:sqref>
        </x14:conditionalFormatting>
        <x14:conditionalFormatting xmlns:xm="http://schemas.microsoft.com/office/excel/2006/main">
          <x14:cfRule type="dataBar" id="{0975B046-04FF-49C6-9531-529B5F6D200E}">
            <x14:dataBar minLength="0" maxLength="100" border="1" negativeBarBorderColorSameAsPositive="0">
              <x14:cfvo type="autoMin"/>
              <x14:cfvo type="autoMax"/>
              <x14:borderColor rgb="FFFFB628"/>
              <x14:negativeFillColor rgb="FFFF0000"/>
              <x14:negativeBorderColor rgb="FFFF0000"/>
              <x14:axisColor rgb="FF000000"/>
            </x14:dataBar>
          </x14:cfRule>
          <xm:sqref>F92</xm:sqref>
        </x14:conditionalFormatting>
        <x14:conditionalFormatting xmlns:xm="http://schemas.microsoft.com/office/excel/2006/main">
          <x14:cfRule type="dataBar" id="{124E7CE2-18A7-480F-985C-3B2231CEEF12}">
            <x14:dataBar minLength="0" maxLength="100" border="1" negativeBarBorderColorSameAsPositive="0">
              <x14:cfvo type="autoMin"/>
              <x14:cfvo type="autoMax"/>
              <x14:borderColor rgb="FFFFB628"/>
              <x14:negativeFillColor rgb="FFFF0000"/>
              <x14:negativeBorderColor rgb="FFFF0000"/>
              <x14:axisColor rgb="FF000000"/>
            </x14:dataBar>
          </x14:cfRule>
          <xm:sqref>F84:F88 F90</xm:sqref>
        </x14:conditionalFormatting>
        <x14:conditionalFormatting xmlns:xm="http://schemas.microsoft.com/office/excel/2006/main">
          <x14:cfRule type="dataBar" id="{7B4D7E47-99DB-4A23-927D-FE3DE7747AE9}">
            <x14:dataBar minLength="0" maxLength="100" border="1" negativeBarBorderColorSameAsPositive="0">
              <x14:cfvo type="autoMin"/>
              <x14:cfvo type="autoMax"/>
              <x14:borderColor rgb="FFFFB628"/>
              <x14:negativeFillColor rgb="FFFF0000"/>
              <x14:negativeBorderColor rgb="FFFF0000"/>
              <x14:axisColor rgb="FF000000"/>
            </x14:dataBar>
          </x14:cfRule>
          <xm:sqref>F89</xm:sqref>
        </x14:conditionalFormatting>
        <x14:conditionalFormatting xmlns:xm="http://schemas.microsoft.com/office/excel/2006/main">
          <x14:cfRule type="dataBar" id="{B4EE26C1-EEE5-424D-9FC4-1CE7B23E40AE}">
            <x14:dataBar minLength="0" maxLength="100" border="1" negativeBarBorderColorSameAsPositive="0">
              <x14:cfvo type="autoMin"/>
              <x14:cfvo type="autoMax"/>
              <x14:borderColor rgb="FFFFB628"/>
              <x14:negativeFillColor rgb="FFFF0000"/>
              <x14:negativeBorderColor rgb="FFFF0000"/>
              <x14:axisColor rgb="FF000000"/>
            </x14:dataBar>
          </x14:cfRule>
          <xm:sqref>F89</xm:sqref>
        </x14:conditionalFormatting>
        <x14:conditionalFormatting xmlns:xm="http://schemas.microsoft.com/office/excel/2006/main">
          <x14:cfRule type="dataBar" id="{4D3635EC-A6B3-4038-A7B6-BA79BE3150CC}">
            <x14:dataBar minLength="0" maxLength="100" border="1" negativeBarBorderColorSameAsPositive="0">
              <x14:cfvo type="autoMin"/>
              <x14:cfvo type="autoMax"/>
              <x14:borderColor rgb="FFFFB628"/>
              <x14:negativeFillColor rgb="FFFF0000"/>
              <x14:negativeBorderColor rgb="FFFF0000"/>
              <x14:axisColor rgb="FF000000"/>
            </x14:dataBar>
          </x14:cfRule>
          <xm:sqref>F101:F103 F109</xm:sqref>
        </x14:conditionalFormatting>
        <x14:conditionalFormatting xmlns:xm="http://schemas.microsoft.com/office/excel/2006/main">
          <x14:cfRule type="dataBar" id="{C01863AF-0E11-4C7C-A110-85A09B10472C}">
            <x14:dataBar minLength="0" maxLength="100" border="1" negativeBarBorderColorSameAsPositive="0">
              <x14:cfvo type="autoMin"/>
              <x14:cfvo type="autoMax"/>
              <x14:borderColor rgb="FFFFB628"/>
              <x14:negativeFillColor rgb="FFFF0000"/>
              <x14:negativeBorderColor rgb="FFFF0000"/>
              <x14:axisColor rgb="FF000000"/>
            </x14:dataBar>
          </x14:cfRule>
          <xm:sqref>F83:F93</xm:sqref>
        </x14:conditionalFormatting>
        <x14:conditionalFormatting xmlns:xm="http://schemas.microsoft.com/office/excel/2006/main">
          <x14:cfRule type="dataBar" id="{3BDADEAB-1B85-4AF7-AB0D-7A89FC3CCA84}">
            <x14:dataBar minLength="0" maxLength="100" border="1" negativeBarBorderColorSameAsPositive="0">
              <x14:cfvo type="autoMin"/>
              <x14:cfvo type="autoMax"/>
              <x14:borderColor rgb="FFFFB628"/>
              <x14:negativeFillColor rgb="FFFF0000"/>
              <x14:negativeBorderColor rgb="FFFF0000"/>
              <x14:axisColor rgb="FF000000"/>
            </x14:dataBar>
          </x14:cfRule>
          <xm:sqref>F122</xm:sqref>
        </x14:conditionalFormatting>
        <x14:conditionalFormatting xmlns:xm="http://schemas.microsoft.com/office/excel/2006/main">
          <x14:cfRule type="dataBar" id="{67DB4CC1-9F63-43E2-998C-C1E6928E37A8}">
            <x14:dataBar minLength="0" maxLength="100" border="1" negativeBarBorderColorSameAsPositive="0">
              <x14:cfvo type="autoMin"/>
              <x14:cfvo type="autoMax"/>
              <x14:borderColor rgb="FFFFB628"/>
              <x14:negativeFillColor rgb="FFFF0000"/>
              <x14:negativeBorderColor rgb="FFFF0000"/>
              <x14:axisColor rgb="FF000000"/>
            </x14:dataBar>
          </x14:cfRule>
          <xm:sqref>F117:F125</xm:sqref>
        </x14:conditionalFormatting>
        <x14:conditionalFormatting xmlns:xm="http://schemas.microsoft.com/office/excel/2006/main">
          <x14:cfRule type="dataBar" id="{6AB73699-1D9D-4EA0-8BEE-C965CBF5CD57}">
            <x14:dataBar minLength="0" maxLength="100" border="1" negativeBarBorderColorSameAsPositive="0">
              <x14:cfvo type="autoMin"/>
              <x14:cfvo type="autoMax"/>
              <x14:borderColor rgb="FFFFB628"/>
              <x14:negativeFillColor rgb="FFFF0000"/>
              <x14:negativeBorderColor rgb="FFFF0000"/>
              <x14:axisColor rgb="FF000000"/>
            </x14:dataBar>
          </x14:cfRule>
          <xm:sqref>F117:F119 F125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54F5F-FC17-40B6-B2AC-A8956FA93024}">
  <dimension ref="B1:AU243"/>
  <sheetViews>
    <sheetView tabSelected="1" topLeftCell="S215" zoomScale="85" zoomScaleNormal="85" workbookViewId="0">
      <selection activeCell="AN33" sqref="AN33:AU48"/>
    </sheetView>
  </sheetViews>
  <sheetFormatPr defaultRowHeight="14.4" x14ac:dyDescent="0.3"/>
  <cols>
    <col min="2" max="2" width="10.5546875" customWidth="1"/>
    <col min="3" max="3" width="18.109375" customWidth="1"/>
    <col min="4" max="4" width="17.6640625" customWidth="1"/>
    <col min="5" max="5" width="18.21875" customWidth="1"/>
    <col min="6" max="6" width="29.109375" bestFit="1" customWidth="1"/>
    <col min="7" max="7" width="30.6640625" customWidth="1"/>
    <col min="8" max="8" width="31.21875" customWidth="1"/>
    <col min="9" max="9" width="23.109375" bestFit="1" customWidth="1"/>
    <col min="10" max="10" width="22.6640625" bestFit="1" customWidth="1"/>
    <col min="11" max="11" width="27.33203125" bestFit="1" customWidth="1"/>
    <col min="12" max="12" width="36.44140625" bestFit="1" customWidth="1"/>
    <col min="13" max="13" width="35.33203125" bestFit="1" customWidth="1"/>
    <col min="14" max="14" width="17.44140625" customWidth="1"/>
    <col min="15" max="15" width="36.109375" bestFit="1" customWidth="1"/>
    <col min="16" max="16" width="41.33203125" bestFit="1" customWidth="1"/>
    <col min="17" max="17" width="27.88671875" customWidth="1"/>
    <col min="18" max="18" width="38.109375" bestFit="1" customWidth="1"/>
    <col min="19" max="19" width="16.77734375" bestFit="1" customWidth="1"/>
    <col min="20" max="20" width="11.21875" customWidth="1"/>
    <col min="21" max="21" width="31.88671875" bestFit="1" customWidth="1"/>
    <col min="22" max="22" width="15.5546875" bestFit="1" customWidth="1"/>
    <col min="23" max="23" width="34.21875" bestFit="1" customWidth="1"/>
    <col min="24" max="24" width="22.21875" customWidth="1"/>
    <col min="25" max="25" width="10.21875" bestFit="1" customWidth="1"/>
    <col min="26" max="26" width="11.109375" bestFit="1" customWidth="1"/>
    <col min="27" max="27" width="23.44140625" customWidth="1"/>
    <col min="28" max="28" width="43.77734375" bestFit="1" customWidth="1"/>
    <col min="29" max="29" width="13.5546875" bestFit="1" customWidth="1"/>
    <col min="30" max="32" width="11.109375" bestFit="1" customWidth="1"/>
    <col min="33" max="33" width="22.33203125" bestFit="1" customWidth="1"/>
    <col min="34" max="34" width="21.33203125" bestFit="1" customWidth="1"/>
    <col min="35" max="35" width="22.33203125" bestFit="1" customWidth="1"/>
    <col min="36" max="36" width="26.109375" bestFit="1" customWidth="1"/>
    <col min="37" max="37" width="29.5546875" customWidth="1"/>
    <col min="38" max="38" width="33" bestFit="1" customWidth="1"/>
    <col min="39" max="39" width="21.33203125" bestFit="1" customWidth="1"/>
    <col min="40" max="40" width="17.5546875" customWidth="1"/>
    <col min="41" max="41" width="24.21875" customWidth="1"/>
    <col min="42" max="42" width="23.5546875" customWidth="1"/>
    <col min="43" max="43" width="23.6640625" customWidth="1"/>
    <col min="44" max="44" width="23.44140625" customWidth="1"/>
    <col min="45" max="45" width="19.21875" customWidth="1"/>
    <col min="46" max="46" width="19.77734375" bestFit="1" customWidth="1"/>
    <col min="47" max="48" width="10.77734375" bestFit="1" customWidth="1"/>
    <col min="49" max="74" width="3" bestFit="1" customWidth="1"/>
    <col min="75" max="75" width="10.77734375" bestFit="1" customWidth="1"/>
    <col min="76" max="76" width="11.5546875" customWidth="1"/>
  </cols>
  <sheetData>
    <row r="1" spans="2:38" ht="15" thickBot="1" x14ac:dyDescent="0.35"/>
    <row r="2" spans="2:38" ht="15" thickBot="1" x14ac:dyDescent="0.35">
      <c r="B2" s="337" t="s">
        <v>5</v>
      </c>
      <c r="C2" s="338"/>
      <c r="D2" s="338"/>
      <c r="E2" s="338"/>
      <c r="F2" s="338"/>
      <c r="G2" s="338"/>
      <c r="H2" s="339"/>
      <c r="I2" s="252" t="s">
        <v>98</v>
      </c>
      <c r="J2" s="253"/>
      <c r="K2" s="253"/>
      <c r="L2" s="253"/>
      <c r="M2" s="253"/>
      <c r="N2" s="253"/>
      <c r="O2" s="253"/>
      <c r="P2" s="253"/>
      <c r="Q2" s="253"/>
      <c r="R2" s="253"/>
    </row>
    <row r="3" spans="2:38" ht="14.4" customHeight="1" thickBot="1" x14ac:dyDescent="0.35">
      <c r="B3" s="340"/>
      <c r="C3" s="341"/>
      <c r="D3" s="341"/>
      <c r="E3" s="341"/>
      <c r="F3" s="341"/>
      <c r="G3" s="341"/>
      <c r="H3" s="342"/>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row>
    <row r="4" spans="2:38" ht="14.4" customHeight="1" thickBot="1" x14ac:dyDescent="0.35">
      <c r="B4" s="340"/>
      <c r="C4" s="341"/>
      <c r="D4" s="341"/>
      <c r="E4" s="341"/>
      <c r="F4" s="341"/>
      <c r="G4" s="341"/>
      <c r="H4" s="342"/>
      <c r="I4" s="436" t="s">
        <v>145</v>
      </c>
      <c r="J4" s="437"/>
      <c r="K4" s="436" t="s">
        <v>99</v>
      </c>
      <c r="L4" s="437"/>
      <c r="M4" s="436" t="s">
        <v>57</v>
      </c>
      <c r="N4" s="437"/>
      <c r="O4" s="436" t="s">
        <v>146</v>
      </c>
      <c r="P4" s="437"/>
      <c r="Q4" s="436" t="s">
        <v>147</v>
      </c>
      <c r="R4" s="442"/>
    </row>
    <row r="5" spans="2:38" ht="15" customHeight="1" thickBot="1" x14ac:dyDescent="0.35">
      <c r="B5" s="343"/>
      <c r="C5" s="344"/>
      <c r="D5" s="344"/>
      <c r="E5" s="344"/>
      <c r="F5" s="344"/>
      <c r="G5" s="344"/>
      <c r="H5" s="345"/>
      <c r="I5" s="438"/>
      <c r="J5" s="439"/>
      <c r="K5" s="438"/>
      <c r="L5" s="439"/>
      <c r="M5" s="438"/>
      <c r="N5" s="439"/>
      <c r="O5" s="438"/>
      <c r="P5" s="439"/>
      <c r="Q5" s="438"/>
      <c r="R5" s="443"/>
      <c r="T5" s="310" t="s">
        <v>148</v>
      </c>
      <c r="U5" s="388"/>
      <c r="V5" s="388"/>
      <c r="W5" s="388"/>
      <c r="X5" s="388"/>
      <c r="Y5" s="388"/>
      <c r="Z5" s="388"/>
      <c r="AA5" s="388"/>
      <c r="AB5" s="389"/>
      <c r="AF5" s="38"/>
      <c r="AG5" s="205" t="s">
        <v>142</v>
      </c>
      <c r="AH5" s="206" t="s">
        <v>132</v>
      </c>
      <c r="AI5" s="206" t="s">
        <v>133</v>
      </c>
      <c r="AJ5" s="206" t="s">
        <v>134</v>
      </c>
      <c r="AK5" s="206" t="s">
        <v>135</v>
      </c>
      <c r="AL5" s="207" t="s">
        <v>136</v>
      </c>
    </row>
    <row r="6" spans="2:38" ht="15" customHeight="1" thickBot="1" x14ac:dyDescent="0.35">
      <c r="I6" s="440"/>
      <c r="J6" s="441"/>
      <c r="K6" s="440"/>
      <c r="L6" s="441"/>
      <c r="M6" s="440"/>
      <c r="N6" s="441"/>
      <c r="O6" s="440"/>
      <c r="P6" s="441"/>
      <c r="Q6" s="440"/>
      <c r="R6" s="444"/>
      <c r="T6" s="300" t="s">
        <v>75</v>
      </c>
      <c r="U6" s="301"/>
      <c r="V6" s="302"/>
      <c r="W6" s="310" t="s">
        <v>9</v>
      </c>
      <c r="X6" s="311"/>
      <c r="Y6" s="310" t="s">
        <v>10</v>
      </c>
      <c r="Z6" s="312"/>
      <c r="AA6" s="310" t="s">
        <v>129</v>
      </c>
      <c r="AB6" s="312"/>
      <c r="AF6" s="208" t="s">
        <v>137</v>
      </c>
      <c r="AG6" s="209"/>
      <c r="AH6" s="209"/>
      <c r="AI6" s="209"/>
      <c r="AJ6" s="209"/>
      <c r="AK6" s="209"/>
      <c r="AL6" s="210"/>
    </row>
    <row r="7" spans="2:38" ht="15" thickBot="1" x14ac:dyDescent="0.35">
      <c r="B7" s="217" t="s">
        <v>149</v>
      </c>
      <c r="C7" s="218" t="s">
        <v>2</v>
      </c>
      <c r="D7" s="219" t="s">
        <v>0</v>
      </c>
      <c r="E7" s="219" t="s">
        <v>1</v>
      </c>
      <c r="F7" s="219" t="s">
        <v>4</v>
      </c>
      <c r="G7" s="219" t="s">
        <v>104</v>
      </c>
      <c r="H7" s="220" t="s">
        <v>105</v>
      </c>
      <c r="I7" s="237" t="s">
        <v>151</v>
      </c>
      <c r="J7" s="236" t="s">
        <v>152</v>
      </c>
      <c r="K7" s="236" t="s">
        <v>153</v>
      </c>
      <c r="L7" s="236" t="s">
        <v>154</v>
      </c>
      <c r="M7" s="236" t="s">
        <v>155</v>
      </c>
      <c r="N7" s="236" t="s">
        <v>156</v>
      </c>
      <c r="O7" s="236" t="s">
        <v>157</v>
      </c>
      <c r="P7" s="236" t="s">
        <v>158</v>
      </c>
      <c r="Q7" s="236" t="s">
        <v>159</v>
      </c>
      <c r="R7" s="236" t="s">
        <v>160</v>
      </c>
      <c r="T7" s="303"/>
      <c r="U7" s="304"/>
      <c r="V7" s="305"/>
      <c r="W7" s="81" t="s">
        <v>38</v>
      </c>
      <c r="X7" s="82" t="s">
        <v>39</v>
      </c>
      <c r="Y7" s="82" t="s">
        <v>38</v>
      </c>
      <c r="Z7" s="83" t="s">
        <v>39</v>
      </c>
      <c r="AA7" s="82" t="s">
        <v>38</v>
      </c>
      <c r="AB7" s="180" t="s">
        <v>39</v>
      </c>
      <c r="AF7" s="212" t="s">
        <v>38</v>
      </c>
      <c r="AG7" s="417">
        <f>AVERAGE($W$9:$X$15)</f>
        <v>5</v>
      </c>
      <c r="AH7" s="13">
        <f>MEDIAN($W$9:$W$15)</f>
        <v>3</v>
      </c>
      <c r="AI7" s="13">
        <f>VAR($W$9:$W$15)</f>
        <v>9</v>
      </c>
      <c r="AJ7" s="13">
        <f>STDEV($W$9:$W$15)</f>
        <v>3</v>
      </c>
      <c r="AK7" s="419">
        <f>CORREL($W$9:$W$15,$X$9:$X$15)</f>
        <v>0.70561719288550706</v>
      </c>
      <c r="AL7" s="415">
        <f>COVAR($W$9:$W$15,$X$9:$X$15)</f>
        <v>13</v>
      </c>
    </row>
    <row r="8" spans="2:38" ht="15" thickBot="1" x14ac:dyDescent="0.35">
      <c r="B8" s="221">
        <v>1</v>
      </c>
      <c r="C8" s="222"/>
      <c r="D8" s="223" t="s">
        <v>7</v>
      </c>
      <c r="E8" s="223" t="s">
        <v>13</v>
      </c>
      <c r="F8" s="223" t="s">
        <v>103</v>
      </c>
      <c r="G8" s="223" t="s">
        <v>36</v>
      </c>
      <c r="H8" s="224" t="s">
        <v>36</v>
      </c>
      <c r="I8" s="223" t="s">
        <v>77</v>
      </c>
      <c r="J8" s="238" t="s">
        <v>74</v>
      </c>
      <c r="K8" s="238" t="s">
        <v>49</v>
      </c>
      <c r="L8" s="238" t="s">
        <v>48</v>
      </c>
      <c r="M8" s="238" t="s">
        <v>58</v>
      </c>
      <c r="N8" s="238" t="s">
        <v>48</v>
      </c>
      <c r="O8" s="238" t="s">
        <v>87</v>
      </c>
      <c r="P8" s="238" t="s">
        <v>86</v>
      </c>
      <c r="Q8" s="238" t="s">
        <v>96</v>
      </c>
      <c r="R8" s="238" t="s">
        <v>95</v>
      </c>
      <c r="T8" s="390" t="s">
        <v>40</v>
      </c>
      <c r="U8" s="391"/>
      <c r="V8" s="391"/>
      <c r="W8" s="391"/>
      <c r="X8" s="391"/>
      <c r="Y8" s="391"/>
      <c r="Z8" s="391"/>
      <c r="AA8" s="391"/>
      <c r="AB8" s="391"/>
      <c r="AF8" s="213" t="s">
        <v>39</v>
      </c>
      <c r="AG8" s="418"/>
      <c r="AH8" s="44">
        <f>MEDIAN($X$9:$X$15)</f>
        <v>2</v>
      </c>
      <c r="AI8" s="44">
        <f>VAR($X$9:$X$15)</f>
        <v>51.333333333333336</v>
      </c>
      <c r="AJ8" s="44">
        <f>STDEV($X$9:$X$15)</f>
        <v>7.1647284200682257</v>
      </c>
      <c r="AK8" s="299"/>
      <c r="AL8" s="416"/>
    </row>
    <row r="9" spans="2:38" ht="15" thickBot="1" x14ac:dyDescent="0.35">
      <c r="B9" s="225">
        <v>2</v>
      </c>
      <c r="C9" s="226"/>
      <c r="D9" s="227" t="s">
        <v>7</v>
      </c>
      <c r="E9" s="227" t="s">
        <v>13</v>
      </c>
      <c r="F9" s="227" t="s">
        <v>103</v>
      </c>
      <c r="G9" s="227" t="s">
        <v>36</v>
      </c>
      <c r="H9" s="228" t="s">
        <v>35</v>
      </c>
      <c r="I9" s="227" t="s">
        <v>81</v>
      </c>
      <c r="J9" s="239" t="s">
        <v>77</v>
      </c>
      <c r="K9" s="239" t="s">
        <v>49</v>
      </c>
      <c r="L9" s="239" t="s">
        <v>54</v>
      </c>
      <c r="M9" s="239" t="s">
        <v>59</v>
      </c>
      <c r="N9" s="239" t="s">
        <v>58</v>
      </c>
      <c r="O9" s="239" t="s">
        <v>88</v>
      </c>
      <c r="P9" s="239" t="s">
        <v>87</v>
      </c>
      <c r="Q9" s="239" t="s">
        <v>96</v>
      </c>
      <c r="R9" s="239" t="s">
        <v>97</v>
      </c>
      <c r="T9" s="313" t="s">
        <v>74</v>
      </c>
      <c r="U9" s="314"/>
      <c r="V9" s="314"/>
      <c r="W9" s="179">
        <f>COUNTIF($I$8:$I$42,"School/Work at home")</f>
        <v>9</v>
      </c>
      <c r="X9" s="179">
        <f>COUNTIF($J$8:$J$42,"School/Work at home")</f>
        <v>21</v>
      </c>
      <c r="Y9" s="85">
        <f>W9/SUM(W9:W15)</f>
        <v>0.25714285714285712</v>
      </c>
      <c r="Z9" s="85">
        <f>X9/SUM(X9:X15)</f>
        <v>0.6</v>
      </c>
      <c r="AA9" s="13">
        <f t="shared" ref="AA9:AA15" si="0">RANK(Y9,$Y$9:$Y$15,0)</f>
        <v>1</v>
      </c>
      <c r="AB9" s="13">
        <f t="shared" ref="AB9:AB15" si="1">RANK(Z9,$Z$9:$Z$15,0)</f>
        <v>1</v>
      </c>
      <c r="AF9" s="208" t="s">
        <v>138</v>
      </c>
      <c r="AG9" s="211"/>
      <c r="AH9" s="209"/>
      <c r="AI9" s="209"/>
      <c r="AJ9" s="209"/>
      <c r="AK9" s="209"/>
      <c r="AL9" s="210"/>
    </row>
    <row r="10" spans="2:38" ht="15" thickBot="1" x14ac:dyDescent="0.35">
      <c r="B10" s="229">
        <v>3</v>
      </c>
      <c r="C10" s="230"/>
      <c r="D10" s="231" t="s">
        <v>8</v>
      </c>
      <c r="E10" s="231" t="s">
        <v>14</v>
      </c>
      <c r="F10" s="231" t="s">
        <v>103</v>
      </c>
      <c r="G10" s="231" t="s">
        <v>34</v>
      </c>
      <c r="H10" s="232" t="s">
        <v>34</v>
      </c>
      <c r="I10" s="231" t="s">
        <v>78</v>
      </c>
      <c r="J10" s="240" t="s">
        <v>74</v>
      </c>
      <c r="K10" s="240" t="s">
        <v>49</v>
      </c>
      <c r="L10" s="240" t="s">
        <v>48</v>
      </c>
      <c r="M10" s="240" t="s">
        <v>58</v>
      </c>
      <c r="N10" s="240" t="s">
        <v>48</v>
      </c>
      <c r="O10" s="240" t="s">
        <v>87</v>
      </c>
      <c r="P10" s="240" t="s">
        <v>86</v>
      </c>
      <c r="Q10" s="240" t="s">
        <v>96</v>
      </c>
      <c r="R10" s="240" t="s">
        <v>96</v>
      </c>
      <c r="T10" s="270" t="s">
        <v>76</v>
      </c>
      <c r="U10" s="271"/>
      <c r="V10" s="271"/>
      <c r="W10" s="179">
        <f>COUNTIF($I$8:$I$42,"Less than 1 km")</f>
        <v>3</v>
      </c>
      <c r="X10" s="179">
        <f>COUNTIF($J$8:$J$42,"Less than 1 km")</f>
        <v>1</v>
      </c>
      <c r="Y10" s="87">
        <f>W10/SUM(W9:W15)</f>
        <v>8.5714285714285715E-2</v>
      </c>
      <c r="Z10" s="87">
        <f>X10/SUM(X9:X15)</f>
        <v>2.8571428571428571E-2</v>
      </c>
      <c r="AA10" s="13">
        <f t="shared" si="0"/>
        <v>4</v>
      </c>
      <c r="AB10" s="13">
        <f t="shared" si="1"/>
        <v>6</v>
      </c>
      <c r="AF10" s="212" t="s">
        <v>38</v>
      </c>
      <c r="AG10" s="417">
        <f>AVERAGE($W$18:$X$26)</f>
        <v>3.8888888888888888</v>
      </c>
      <c r="AH10" s="13">
        <f>MEDIAN($W$18:$W$26)</f>
        <v>3</v>
      </c>
      <c r="AI10" s="13">
        <f>VAR($W$18:$W$26)</f>
        <v>14.861111111111111</v>
      </c>
      <c r="AJ10" s="13">
        <f>STDEV($W$18:$W$26)</f>
        <v>3.8550111687401256</v>
      </c>
      <c r="AK10" s="419">
        <f>CORREL($W$18:$W$26,$X$18:$X$26)</f>
        <v>0.64056688675105744</v>
      </c>
      <c r="AL10" s="415">
        <f>COVAR($W$18:$W$26,$X$18:$X$26)</f>
        <v>13.098765432098762</v>
      </c>
    </row>
    <row r="11" spans="2:38" ht="15" thickBot="1" x14ac:dyDescent="0.35">
      <c r="B11" s="225">
        <v>4</v>
      </c>
      <c r="C11" s="226"/>
      <c r="D11" s="227" t="s">
        <v>7</v>
      </c>
      <c r="E11" s="227" t="s">
        <v>13</v>
      </c>
      <c r="F11" s="227" t="s">
        <v>103</v>
      </c>
      <c r="G11" s="227" t="s">
        <v>36</v>
      </c>
      <c r="H11" s="228" t="s">
        <v>36</v>
      </c>
      <c r="I11" s="227" t="s">
        <v>77</v>
      </c>
      <c r="J11" s="239" t="s">
        <v>74</v>
      </c>
      <c r="K11" s="239" t="s">
        <v>49</v>
      </c>
      <c r="L11" s="239" t="s">
        <v>48</v>
      </c>
      <c r="M11" s="239" t="s">
        <v>58</v>
      </c>
      <c r="N11" s="239" t="s">
        <v>48</v>
      </c>
      <c r="O11" s="239" t="s">
        <v>87</v>
      </c>
      <c r="P11" s="239" t="s">
        <v>86</v>
      </c>
      <c r="Q11" s="239" t="s">
        <v>95</v>
      </c>
      <c r="R11" s="239" t="s">
        <v>96</v>
      </c>
      <c r="T11" s="306" t="s">
        <v>77</v>
      </c>
      <c r="U11" s="271"/>
      <c r="V11" s="271"/>
      <c r="W11" s="179">
        <f>COUNTIF($I$8:$I$42,"1 km to 5 km")</f>
        <v>9</v>
      </c>
      <c r="X11" s="179">
        <f>COUNTIF($J$8:$J$42,"1 km to 5 km")</f>
        <v>4</v>
      </c>
      <c r="Y11" s="87">
        <f>W11/SUM(W9:W15)</f>
        <v>0.25714285714285712</v>
      </c>
      <c r="Z11" s="87">
        <f>X11/SUM(X9:X15)</f>
        <v>0.11428571428571428</v>
      </c>
      <c r="AA11" s="13">
        <f t="shared" si="0"/>
        <v>1</v>
      </c>
      <c r="AB11" s="13">
        <f t="shared" si="1"/>
        <v>2</v>
      </c>
      <c r="AF11" s="213" t="s">
        <v>39</v>
      </c>
      <c r="AG11" s="418"/>
      <c r="AH11" s="44">
        <f>MEDIAN($X$18:$X$26)</f>
        <v>2</v>
      </c>
      <c r="AI11" s="44">
        <f>VAR($X$18:$X$26)</f>
        <v>35.611111111111114</v>
      </c>
      <c r="AJ11" s="44">
        <f>STDEV($X$18:$X$26)</f>
        <v>5.9675045966560525</v>
      </c>
      <c r="AK11" s="299"/>
      <c r="AL11" s="416"/>
    </row>
    <row r="12" spans="2:38" ht="15" thickBot="1" x14ac:dyDescent="0.35">
      <c r="B12" s="229">
        <v>5</v>
      </c>
      <c r="C12" s="230"/>
      <c r="D12" s="231" t="s">
        <v>7</v>
      </c>
      <c r="E12" s="231" t="s">
        <v>13</v>
      </c>
      <c r="F12" s="231" t="s">
        <v>106</v>
      </c>
      <c r="G12" s="231" t="s">
        <v>36</v>
      </c>
      <c r="H12" s="232" t="s">
        <v>36</v>
      </c>
      <c r="I12" s="231" t="s">
        <v>76</v>
      </c>
      <c r="J12" s="240" t="s">
        <v>74</v>
      </c>
      <c r="K12" s="240" t="s">
        <v>83</v>
      </c>
      <c r="L12" s="240" t="s">
        <v>48</v>
      </c>
      <c r="M12" s="240" t="s">
        <v>58</v>
      </c>
      <c r="N12" s="240" t="s">
        <v>48</v>
      </c>
      <c r="O12" s="240" t="s">
        <v>87</v>
      </c>
      <c r="P12" s="240" t="s">
        <v>86</v>
      </c>
      <c r="Q12" s="240" t="s">
        <v>97</v>
      </c>
      <c r="R12" s="240" t="s">
        <v>97</v>
      </c>
      <c r="T12" s="270" t="s">
        <v>78</v>
      </c>
      <c r="U12" s="271"/>
      <c r="V12" s="271"/>
      <c r="W12" s="179">
        <f>COUNTIF($I$8:$I$42,"6 km to 10 km")</f>
        <v>2</v>
      </c>
      <c r="X12" s="179">
        <f>COUNTIF($J$8:$J$42,"6 km to 10 km")</f>
        <v>1</v>
      </c>
      <c r="Y12" s="87">
        <f>W12/SUM(W9:W15)</f>
        <v>5.7142857142857141E-2</v>
      </c>
      <c r="Z12" s="87">
        <f>X12/SUM(X9:X15)</f>
        <v>2.8571428571428571E-2</v>
      </c>
      <c r="AA12" s="13">
        <f t="shared" si="0"/>
        <v>7</v>
      </c>
      <c r="AB12" s="13">
        <f t="shared" si="1"/>
        <v>6</v>
      </c>
      <c r="AF12" s="208" t="s">
        <v>139</v>
      </c>
      <c r="AG12" s="211"/>
      <c r="AH12" s="209"/>
      <c r="AI12" s="209"/>
      <c r="AJ12" s="209"/>
      <c r="AK12" s="209"/>
      <c r="AL12" s="210"/>
    </row>
    <row r="13" spans="2:38" ht="15" thickBot="1" x14ac:dyDescent="0.35">
      <c r="B13" s="225">
        <v>6</v>
      </c>
      <c r="C13" s="226"/>
      <c r="D13" s="227" t="s">
        <v>8</v>
      </c>
      <c r="E13" s="227" t="s">
        <v>13</v>
      </c>
      <c r="F13" s="227" t="s">
        <v>103</v>
      </c>
      <c r="G13" s="227" t="s">
        <v>36</v>
      </c>
      <c r="H13" s="228" t="s">
        <v>36</v>
      </c>
      <c r="I13" s="227" t="s">
        <v>81</v>
      </c>
      <c r="J13" s="239" t="s">
        <v>81</v>
      </c>
      <c r="K13" s="239" t="s">
        <v>52</v>
      </c>
      <c r="L13" s="239" t="s">
        <v>83</v>
      </c>
      <c r="M13" s="239" t="s">
        <v>59</v>
      </c>
      <c r="N13" s="239" t="s">
        <v>59</v>
      </c>
      <c r="O13" s="239" t="s">
        <v>90</v>
      </c>
      <c r="P13" s="239" t="s">
        <v>89</v>
      </c>
      <c r="Q13" s="239" t="s">
        <v>96</v>
      </c>
      <c r="R13" s="239" t="s">
        <v>95</v>
      </c>
      <c r="T13" s="270" t="s">
        <v>79</v>
      </c>
      <c r="U13" s="271"/>
      <c r="V13" s="271"/>
      <c r="W13" s="179">
        <f>COUNTIF($I$8:$I$42,"11 km to 15 km")</f>
        <v>3</v>
      </c>
      <c r="X13" s="179">
        <f>COUNTIF($J$8:$J$42,"11 km to 15 km")</f>
        <v>2</v>
      </c>
      <c r="Y13" s="87">
        <f>W13/SUM(W9:W15)</f>
        <v>8.5714285714285715E-2</v>
      </c>
      <c r="Z13" s="87">
        <f>X13/SUM(X9:X15)</f>
        <v>5.7142857142857141E-2</v>
      </c>
      <c r="AA13" s="13">
        <f t="shared" si="0"/>
        <v>4</v>
      </c>
      <c r="AB13" s="13">
        <f t="shared" si="1"/>
        <v>4</v>
      </c>
      <c r="AC13" s="3"/>
      <c r="AD13" s="3"/>
      <c r="AF13" s="212" t="s">
        <v>38</v>
      </c>
      <c r="AG13" s="417">
        <f>AVERAGE($W$29:$X$32)</f>
        <v>8.75</v>
      </c>
      <c r="AH13" s="13">
        <f>MEDIAN($W$29:$W$32)</f>
        <v>10.5</v>
      </c>
      <c r="AI13" s="13">
        <f>VAR($W$29:$W$32)</f>
        <v>36.916666666666664</v>
      </c>
      <c r="AJ13" s="13">
        <f>STDEV($W$29:$W$32)</f>
        <v>6.0759087111860612</v>
      </c>
      <c r="AK13" s="419">
        <f>CORREL($W$29:$W$32,$X$29:$X$32)</f>
        <v>0.39896410197289761</v>
      </c>
      <c r="AL13" s="415">
        <f>COVAR($W$29:$W$32,$X$29:$X$32)</f>
        <v>16.6875</v>
      </c>
    </row>
    <row r="14" spans="2:38" ht="15" thickBot="1" x14ac:dyDescent="0.35">
      <c r="B14" s="229">
        <v>7</v>
      </c>
      <c r="C14" s="230"/>
      <c r="D14" s="231" t="s">
        <v>7</v>
      </c>
      <c r="E14" s="231" t="s">
        <v>13</v>
      </c>
      <c r="F14" s="231" t="s">
        <v>107</v>
      </c>
      <c r="G14" s="231" t="s">
        <v>36</v>
      </c>
      <c r="H14" s="232" t="s">
        <v>36</v>
      </c>
      <c r="I14" s="231" t="s">
        <v>77</v>
      </c>
      <c r="J14" s="240" t="s">
        <v>74</v>
      </c>
      <c r="K14" s="240" t="s">
        <v>82</v>
      </c>
      <c r="L14" s="240" t="s">
        <v>48</v>
      </c>
      <c r="M14" s="240" t="s">
        <v>58</v>
      </c>
      <c r="N14" s="240" t="s">
        <v>48</v>
      </c>
      <c r="O14" s="240" t="s">
        <v>87</v>
      </c>
      <c r="P14" s="240" t="s">
        <v>86</v>
      </c>
      <c r="Q14" s="240" t="s">
        <v>97</v>
      </c>
      <c r="R14" s="240" t="s">
        <v>93</v>
      </c>
      <c r="T14" s="270" t="s">
        <v>80</v>
      </c>
      <c r="U14" s="271"/>
      <c r="V14" s="271"/>
      <c r="W14" s="179">
        <f>COUNTIF($I$8:$I$42,"16 km to 20 km")</f>
        <v>3</v>
      </c>
      <c r="X14" s="179">
        <f>COUNTIF($J$8:$J$42,"16 km to 20 km")</f>
        <v>2</v>
      </c>
      <c r="Y14" s="87">
        <f>W14/SUM(W9:W15)</f>
        <v>8.5714285714285715E-2</v>
      </c>
      <c r="Z14" s="87">
        <f>X14/SUM(X9:X15)</f>
        <v>5.7142857142857141E-2</v>
      </c>
      <c r="AA14" s="13">
        <f t="shared" si="0"/>
        <v>4</v>
      </c>
      <c r="AB14" s="13">
        <f t="shared" si="1"/>
        <v>4</v>
      </c>
      <c r="AC14" s="3"/>
      <c r="AD14" s="3"/>
      <c r="AF14" s="213" t="s">
        <v>39</v>
      </c>
      <c r="AG14" s="418"/>
      <c r="AH14" s="44">
        <f>MEDIAN($X$29:$X$32)</f>
        <v>6</v>
      </c>
      <c r="AI14" s="44">
        <f>VAR($X$29:$X$32)</f>
        <v>84.25</v>
      </c>
      <c r="AJ14" s="44">
        <f>STDEV($X$29:$X$32)</f>
        <v>9.1787798753429097</v>
      </c>
      <c r="AK14" s="299"/>
      <c r="AL14" s="416"/>
    </row>
    <row r="15" spans="2:38" ht="15" thickBot="1" x14ac:dyDescent="0.35">
      <c r="B15" s="225">
        <v>8</v>
      </c>
      <c r="C15" s="233" t="s">
        <v>109</v>
      </c>
      <c r="D15" s="227" t="s">
        <v>7</v>
      </c>
      <c r="E15" s="227" t="s">
        <v>14</v>
      </c>
      <c r="F15" s="227" t="s">
        <v>108</v>
      </c>
      <c r="G15" s="227" t="s">
        <v>34</v>
      </c>
      <c r="H15" s="228" t="s">
        <v>34</v>
      </c>
      <c r="I15" s="227" t="s">
        <v>81</v>
      </c>
      <c r="J15" s="239" t="s">
        <v>81</v>
      </c>
      <c r="K15" s="239" t="s">
        <v>51</v>
      </c>
      <c r="L15" s="239" t="s">
        <v>51</v>
      </c>
      <c r="M15" s="239" t="s">
        <v>59</v>
      </c>
      <c r="N15" s="239" t="s">
        <v>59</v>
      </c>
      <c r="O15" s="239" t="s">
        <v>90</v>
      </c>
      <c r="P15" s="239" t="s">
        <v>90</v>
      </c>
      <c r="Q15" s="239" t="s">
        <v>96</v>
      </c>
      <c r="R15" s="239" t="s">
        <v>96</v>
      </c>
      <c r="T15" s="277" t="s">
        <v>81</v>
      </c>
      <c r="U15" s="278"/>
      <c r="V15" s="278"/>
      <c r="W15" s="179">
        <f>COUNTIF($I$8:$I$42,"More than 20 km")</f>
        <v>6</v>
      </c>
      <c r="X15" s="179">
        <f>COUNTIF($J$8:$J$42,"More than 20 km")</f>
        <v>4</v>
      </c>
      <c r="Y15" s="89">
        <f>W15/SUM(W9:W15)</f>
        <v>0.17142857142857143</v>
      </c>
      <c r="Z15" s="89">
        <f>X15/SUM(X9:X15)</f>
        <v>0.11428571428571428</v>
      </c>
      <c r="AA15" s="13">
        <f t="shared" si="0"/>
        <v>3</v>
      </c>
      <c r="AB15" s="13">
        <f t="shared" si="1"/>
        <v>2</v>
      </c>
      <c r="AC15" s="3"/>
      <c r="AD15" s="3"/>
      <c r="AF15" s="208" t="s">
        <v>140</v>
      </c>
      <c r="AG15" s="211"/>
      <c r="AH15" s="209"/>
      <c r="AI15" s="209"/>
      <c r="AJ15" s="209"/>
      <c r="AK15" s="209"/>
      <c r="AL15" s="210"/>
    </row>
    <row r="16" spans="2:38" ht="15" thickBot="1" x14ac:dyDescent="0.35">
      <c r="B16" s="229">
        <v>9</v>
      </c>
      <c r="C16" s="230" t="s">
        <v>110</v>
      </c>
      <c r="D16" s="231" t="s">
        <v>8</v>
      </c>
      <c r="E16" s="231" t="s">
        <v>17</v>
      </c>
      <c r="F16" s="231" t="s">
        <v>103</v>
      </c>
      <c r="G16" s="231" t="s">
        <v>34</v>
      </c>
      <c r="H16" s="232" t="s">
        <v>34</v>
      </c>
      <c r="I16" s="231" t="s">
        <v>77</v>
      </c>
      <c r="J16" s="240" t="s">
        <v>77</v>
      </c>
      <c r="K16" s="240" t="s">
        <v>49</v>
      </c>
      <c r="L16" s="240" t="s">
        <v>83</v>
      </c>
      <c r="M16" s="240" t="s">
        <v>58</v>
      </c>
      <c r="N16" s="240" t="s">
        <v>48</v>
      </c>
      <c r="O16" s="240" t="s">
        <v>87</v>
      </c>
      <c r="P16" s="240" t="s">
        <v>86</v>
      </c>
      <c r="Q16" s="240" t="s">
        <v>96</v>
      </c>
      <c r="R16" s="240" t="s">
        <v>94</v>
      </c>
      <c r="T16" s="397" t="s">
        <v>11</v>
      </c>
      <c r="U16" s="398"/>
      <c r="V16" s="399"/>
      <c r="W16" s="191">
        <f>SUM(W9:W15)</f>
        <v>35</v>
      </c>
      <c r="X16" s="190">
        <f>SUM(X9:X15)</f>
        <v>35</v>
      </c>
      <c r="Y16" s="130">
        <f>SUM(Y9:Y15)</f>
        <v>1</v>
      </c>
      <c r="Z16" s="92">
        <f>SUM(Z9:Z15)</f>
        <v>1</v>
      </c>
      <c r="AA16" s="194"/>
      <c r="AB16" s="193"/>
      <c r="AC16" s="9"/>
      <c r="AD16" s="9"/>
      <c r="AF16" s="212" t="s">
        <v>38</v>
      </c>
      <c r="AG16" s="417">
        <f>AVERAGE($W$35:$X$40)</f>
        <v>5.833333333333333</v>
      </c>
      <c r="AH16" s="13">
        <f>MEDIAN($W$35:$W$40)</f>
        <v>5.5</v>
      </c>
      <c r="AI16" s="13">
        <f>VAR($W$35:$W$40)</f>
        <v>12.566666666666668</v>
      </c>
      <c r="AJ16" s="13">
        <f>STDEV($W$35:$W$40)</f>
        <v>3.5449494589721118</v>
      </c>
      <c r="AK16" s="419">
        <f>CORREL($W$35:$W$40,$X$35:$X$40)</f>
        <v>0.55187358215631166</v>
      </c>
      <c r="AL16" s="415">
        <f>COVAR($W$35:$W$40,$X$35:$X$40)</f>
        <v>11.638888888888888</v>
      </c>
    </row>
    <row r="17" spans="2:38" ht="15" thickBot="1" x14ac:dyDescent="0.35">
      <c r="B17" s="225">
        <v>10</v>
      </c>
      <c r="C17" s="226" t="s">
        <v>111</v>
      </c>
      <c r="D17" s="227" t="s">
        <v>8</v>
      </c>
      <c r="E17" s="227" t="s">
        <v>18</v>
      </c>
      <c r="F17" s="227" t="s">
        <v>103</v>
      </c>
      <c r="G17" s="234" t="s">
        <v>112</v>
      </c>
      <c r="H17" s="228" t="s">
        <v>112</v>
      </c>
      <c r="I17" s="227" t="s">
        <v>74</v>
      </c>
      <c r="J17" s="239" t="s">
        <v>74</v>
      </c>
      <c r="K17" s="239" t="s">
        <v>48</v>
      </c>
      <c r="L17" s="239" t="s">
        <v>48</v>
      </c>
      <c r="M17" s="239" t="s">
        <v>48</v>
      </c>
      <c r="N17" s="239" t="s">
        <v>48</v>
      </c>
      <c r="O17" s="239" t="s">
        <v>86</v>
      </c>
      <c r="P17" s="239" t="s">
        <v>86</v>
      </c>
      <c r="Q17" s="239" t="s">
        <v>95</v>
      </c>
      <c r="R17" s="239" t="s">
        <v>95</v>
      </c>
      <c r="T17" s="403" t="s">
        <v>99</v>
      </c>
      <c r="U17" s="401"/>
      <c r="V17" s="401"/>
      <c r="W17" s="401"/>
      <c r="X17" s="401"/>
      <c r="Y17" s="401"/>
      <c r="Z17" s="401"/>
      <c r="AA17" s="401"/>
      <c r="AB17" s="402"/>
      <c r="AC17" s="144"/>
      <c r="AD17" s="144"/>
      <c r="AF17" s="213" t="s">
        <v>39</v>
      </c>
      <c r="AG17" s="418"/>
      <c r="AH17" s="44">
        <f>MEDIAN($X$35:$X$40)</f>
        <v>3.5</v>
      </c>
      <c r="AI17" s="44">
        <f>VAR($X$35:$X$40)</f>
        <v>50.966666666666669</v>
      </c>
      <c r="AJ17" s="44">
        <f>STDEV($X$35:$X$40)</f>
        <v>7.1390942469382397</v>
      </c>
      <c r="AK17" s="299"/>
      <c r="AL17" s="416"/>
    </row>
    <row r="18" spans="2:38" ht="15" thickBot="1" x14ac:dyDescent="0.35">
      <c r="B18" s="229">
        <v>11</v>
      </c>
      <c r="C18" s="230" t="s">
        <v>113</v>
      </c>
      <c r="D18" s="231" t="s">
        <v>7</v>
      </c>
      <c r="E18" s="231" t="s">
        <v>17</v>
      </c>
      <c r="F18" s="231" t="s">
        <v>103</v>
      </c>
      <c r="G18" s="231" t="s">
        <v>34</v>
      </c>
      <c r="H18" s="232" t="s">
        <v>34</v>
      </c>
      <c r="I18" s="231" t="s">
        <v>77</v>
      </c>
      <c r="J18" s="240" t="s">
        <v>77</v>
      </c>
      <c r="K18" s="240" t="s">
        <v>54</v>
      </c>
      <c r="L18" s="240" t="s">
        <v>54</v>
      </c>
      <c r="M18" s="240" t="s">
        <v>58</v>
      </c>
      <c r="N18" s="240" t="s">
        <v>58</v>
      </c>
      <c r="O18" s="240" t="s">
        <v>88</v>
      </c>
      <c r="P18" s="240" t="s">
        <v>88</v>
      </c>
      <c r="Q18" s="240" t="s">
        <v>97</v>
      </c>
      <c r="R18" s="240" t="s">
        <v>97</v>
      </c>
      <c r="T18" s="395" t="s">
        <v>48</v>
      </c>
      <c r="U18" s="396"/>
      <c r="V18" s="396"/>
      <c r="W18" s="192">
        <f>COUNTIF($K$8:$K$42,"None")</f>
        <v>9</v>
      </c>
      <c r="X18" s="183">
        <f>COUNTIF($L$8:$L$42,"None")</f>
        <v>19</v>
      </c>
      <c r="Y18" s="132">
        <f>W18/SUM(W18:W26)</f>
        <v>0.25714285714285712</v>
      </c>
      <c r="Z18" s="94">
        <f>X18/SUM(X18:X26)</f>
        <v>0.54285714285714282</v>
      </c>
      <c r="AA18" s="13">
        <f t="shared" ref="AA18:AA26" si="2">RANK(Y18,$Y$18:$Y$26,0)</f>
        <v>2</v>
      </c>
      <c r="AB18" s="196">
        <f>RANK(Z18,$Z$18:$Z$26,0)</f>
        <v>1</v>
      </c>
      <c r="AC18" s="9"/>
      <c r="AD18" s="9"/>
      <c r="AF18" s="208" t="s">
        <v>141</v>
      </c>
      <c r="AG18" s="211"/>
      <c r="AH18" s="209"/>
      <c r="AI18" s="209"/>
      <c r="AJ18" s="209"/>
      <c r="AK18" s="209"/>
      <c r="AL18" s="210"/>
    </row>
    <row r="19" spans="2:38" ht="15" thickBot="1" x14ac:dyDescent="0.35">
      <c r="B19" s="225">
        <v>12</v>
      </c>
      <c r="C19" s="226"/>
      <c r="D19" s="227" t="s">
        <v>7</v>
      </c>
      <c r="E19" s="227" t="s">
        <v>14</v>
      </c>
      <c r="F19" s="227" t="s">
        <v>103</v>
      </c>
      <c r="G19" s="227" t="s">
        <v>34</v>
      </c>
      <c r="H19" s="228" t="s">
        <v>34</v>
      </c>
      <c r="I19" s="227" t="s">
        <v>76</v>
      </c>
      <c r="J19" s="239" t="s">
        <v>77</v>
      </c>
      <c r="K19" s="239" t="s">
        <v>82</v>
      </c>
      <c r="L19" s="239" t="s">
        <v>49</v>
      </c>
      <c r="M19" s="239" t="s">
        <v>48</v>
      </c>
      <c r="N19" s="239" t="s">
        <v>58</v>
      </c>
      <c r="O19" s="239" t="s">
        <v>87</v>
      </c>
      <c r="P19" s="239" t="s">
        <v>88</v>
      </c>
      <c r="Q19" s="239" t="s">
        <v>97</v>
      </c>
      <c r="R19" s="239" t="s">
        <v>96</v>
      </c>
      <c r="T19" s="306" t="s">
        <v>82</v>
      </c>
      <c r="U19" s="271"/>
      <c r="V19" s="271"/>
      <c r="W19" s="179">
        <f>COUNTIF($K$8:$K$42,"Just Walking")</f>
        <v>4</v>
      </c>
      <c r="X19" s="177">
        <f>COUNTIF($L$8:$L$42,"Just Walking")</f>
        <v>1</v>
      </c>
      <c r="Y19" s="87">
        <f>W19/SUM(W18:W26)</f>
        <v>0.11428571428571428</v>
      </c>
      <c r="Z19" s="87">
        <f>X19/SUM(X18:X26)</f>
        <v>2.8571428571428571E-2</v>
      </c>
      <c r="AA19" s="13">
        <f t="shared" si="2"/>
        <v>4</v>
      </c>
      <c r="AB19" s="196">
        <f t="shared" ref="AB19:AB26" si="3">RANK(Z19,$Z$18:$Z$26,0)</f>
        <v>6</v>
      </c>
      <c r="AC19" s="9"/>
      <c r="AD19" s="9"/>
      <c r="AF19" s="212" t="s">
        <v>38</v>
      </c>
      <c r="AG19" s="417">
        <f>AVERAGE($W$43:$X$47)</f>
        <v>7</v>
      </c>
      <c r="AH19" s="13">
        <f>MEDIAN($W$43:$W$47)</f>
        <v>5</v>
      </c>
      <c r="AI19" s="13">
        <f>VAR($W$43:$W$47)</f>
        <v>44</v>
      </c>
      <c r="AJ19" s="13">
        <f>STDEV($W$43:$W$47)</f>
        <v>6.6332495807107996</v>
      </c>
      <c r="AK19" s="419">
        <f>CORREL($W$43:$W$47,$X$43:$X$47)</f>
        <v>0.594650843494272</v>
      </c>
      <c r="AL19" s="415">
        <f>COVAR($W$43:$W$47,$X$43:$X$47)</f>
        <v>9.1999999999999993</v>
      </c>
    </row>
    <row r="20" spans="2:38" ht="15" thickBot="1" x14ac:dyDescent="0.35">
      <c r="B20" s="229">
        <v>13</v>
      </c>
      <c r="C20" s="230"/>
      <c r="D20" s="231" t="s">
        <v>8</v>
      </c>
      <c r="E20" s="231" t="s">
        <v>14</v>
      </c>
      <c r="F20" s="231" t="s">
        <v>114</v>
      </c>
      <c r="G20" s="231" t="s">
        <v>34</v>
      </c>
      <c r="H20" s="232" t="s">
        <v>34</v>
      </c>
      <c r="I20" s="231" t="s">
        <v>76</v>
      </c>
      <c r="J20" s="240" t="s">
        <v>78</v>
      </c>
      <c r="K20" s="240" t="s">
        <v>82</v>
      </c>
      <c r="L20" s="240" t="s">
        <v>50</v>
      </c>
      <c r="M20" s="240" t="s">
        <v>58</v>
      </c>
      <c r="N20" s="240" t="s">
        <v>58</v>
      </c>
      <c r="O20" s="240" t="s">
        <v>87</v>
      </c>
      <c r="P20" s="240" t="s">
        <v>87</v>
      </c>
      <c r="Q20" s="240" t="s">
        <v>96</v>
      </c>
      <c r="R20" s="240" t="s">
        <v>96</v>
      </c>
      <c r="T20" s="270" t="s">
        <v>54</v>
      </c>
      <c r="U20" s="271"/>
      <c r="V20" s="271"/>
      <c r="W20" s="179">
        <f>COUNTIF($K$8:$K$42,"Bike")</f>
        <v>1</v>
      </c>
      <c r="X20" s="177">
        <f>COUNTIF($L$8:$L$42,"Bike")</f>
        <v>2</v>
      </c>
      <c r="Y20" s="87">
        <f>W20/SUM(W18:W26)</f>
        <v>2.8571428571428571E-2</v>
      </c>
      <c r="Z20" s="87">
        <f>X20/SUM(X18:X26)</f>
        <v>5.7142857142857141E-2</v>
      </c>
      <c r="AA20" s="13">
        <f t="shared" si="2"/>
        <v>6</v>
      </c>
      <c r="AB20" s="196">
        <f t="shared" si="3"/>
        <v>4</v>
      </c>
      <c r="AC20" s="9"/>
      <c r="AD20" s="9"/>
      <c r="AF20" s="213" t="s">
        <v>39</v>
      </c>
      <c r="AG20" s="418"/>
      <c r="AH20" s="44">
        <f>MEDIAN($X$43:$X$47)</f>
        <v>6</v>
      </c>
      <c r="AI20" s="44">
        <f>VAR($X$43:$X$47)</f>
        <v>8.5</v>
      </c>
      <c r="AJ20" s="44">
        <f>STDEV($X$43:$X$47)</f>
        <v>2.9154759474226504</v>
      </c>
      <c r="AK20" s="299"/>
      <c r="AL20" s="416"/>
    </row>
    <row r="21" spans="2:38" ht="15" thickBot="1" x14ac:dyDescent="0.35">
      <c r="B21" s="225">
        <v>14</v>
      </c>
      <c r="C21" s="226" t="s">
        <v>115</v>
      </c>
      <c r="D21" s="227" t="s">
        <v>7</v>
      </c>
      <c r="E21" s="227" t="s">
        <v>13</v>
      </c>
      <c r="F21" s="227" t="s">
        <v>103</v>
      </c>
      <c r="G21" s="227" t="s">
        <v>35</v>
      </c>
      <c r="H21" s="228" t="s">
        <v>35</v>
      </c>
      <c r="I21" s="227" t="s">
        <v>74</v>
      </c>
      <c r="J21" s="239" t="s">
        <v>74</v>
      </c>
      <c r="K21" s="239" t="s">
        <v>48</v>
      </c>
      <c r="L21" s="239" t="s">
        <v>48</v>
      </c>
      <c r="M21" s="239" t="s">
        <v>48</v>
      </c>
      <c r="N21" s="239" t="s">
        <v>48</v>
      </c>
      <c r="O21" s="239" t="s">
        <v>86</v>
      </c>
      <c r="P21" s="239" t="s">
        <v>86</v>
      </c>
      <c r="Q21" s="239" t="s">
        <v>96</v>
      </c>
      <c r="R21" s="239" t="s">
        <v>94</v>
      </c>
      <c r="T21" s="270" t="s">
        <v>49</v>
      </c>
      <c r="U21" s="271"/>
      <c r="V21" s="271"/>
      <c r="W21" s="179">
        <f>COUNTIF($K$8:$K$42,"Tricycle")</f>
        <v>5</v>
      </c>
      <c r="X21" s="177">
        <f>COUNTIF($L$8:$L$42,"Tricycle")</f>
        <v>1</v>
      </c>
      <c r="Y21" s="87">
        <f>W21/SUM(W18:W26)</f>
        <v>0.14285714285714285</v>
      </c>
      <c r="Z21" s="87">
        <f>X21/SUM(X18:X26)</f>
        <v>2.8571428571428571E-2</v>
      </c>
      <c r="AA21" s="13">
        <f t="shared" si="2"/>
        <v>3</v>
      </c>
      <c r="AB21" s="196">
        <f t="shared" si="3"/>
        <v>6</v>
      </c>
      <c r="AC21" s="9"/>
      <c r="AD21" s="9"/>
    </row>
    <row r="22" spans="2:38" ht="15" thickBot="1" x14ac:dyDescent="0.35">
      <c r="B22" s="229">
        <v>15</v>
      </c>
      <c r="C22" s="230" t="s">
        <v>116</v>
      </c>
      <c r="D22" s="231" t="s">
        <v>7</v>
      </c>
      <c r="E22" s="231" t="s">
        <v>18</v>
      </c>
      <c r="F22" s="231" t="s">
        <v>117</v>
      </c>
      <c r="G22" s="231" t="s">
        <v>34</v>
      </c>
      <c r="H22" s="232" t="s">
        <v>34</v>
      </c>
      <c r="I22" s="231" t="s">
        <v>80</v>
      </c>
      <c r="J22" s="240" t="s">
        <v>80</v>
      </c>
      <c r="K22" s="240" t="s">
        <v>51</v>
      </c>
      <c r="L22" s="240" t="s">
        <v>51</v>
      </c>
      <c r="M22" s="240" t="s">
        <v>59</v>
      </c>
      <c r="N22" s="240" t="s">
        <v>59</v>
      </c>
      <c r="O22" s="240" t="s">
        <v>90</v>
      </c>
      <c r="P22" s="240" t="s">
        <v>90</v>
      </c>
      <c r="Q22" s="240" t="s">
        <v>96</v>
      </c>
      <c r="R22" s="240" t="s">
        <v>93</v>
      </c>
      <c r="T22" s="270" t="s">
        <v>50</v>
      </c>
      <c r="U22" s="271"/>
      <c r="V22" s="271"/>
      <c r="W22" s="179">
        <f>COUNTIF($K$8:$K$42,"Motorcycle")</f>
        <v>1</v>
      </c>
      <c r="X22" s="177">
        <f>COUNTIF($L$8:$L$42,"Motorcycle")</f>
        <v>2</v>
      </c>
      <c r="Y22" s="87">
        <f>W22/SUM(W18:W26)</f>
        <v>2.8571428571428571E-2</v>
      </c>
      <c r="Z22" s="87">
        <f>X22/SUM(X18:X26)</f>
        <v>5.7142857142857141E-2</v>
      </c>
      <c r="AA22" s="13">
        <f t="shared" si="2"/>
        <v>6</v>
      </c>
      <c r="AB22" s="196">
        <f t="shared" si="3"/>
        <v>4</v>
      </c>
      <c r="AC22" s="9"/>
      <c r="AD22" s="9"/>
    </row>
    <row r="23" spans="2:38" ht="15" thickBot="1" x14ac:dyDescent="0.35">
      <c r="B23" s="225">
        <v>16</v>
      </c>
      <c r="C23" s="226"/>
      <c r="D23" s="227" t="s">
        <v>8</v>
      </c>
      <c r="E23" s="227" t="s">
        <v>14</v>
      </c>
      <c r="F23" s="227" t="s">
        <v>103</v>
      </c>
      <c r="G23" s="227" t="s">
        <v>118</v>
      </c>
      <c r="H23" s="228" t="s">
        <v>118</v>
      </c>
      <c r="I23" s="227" t="s">
        <v>74</v>
      </c>
      <c r="J23" s="239" t="s">
        <v>74</v>
      </c>
      <c r="K23" s="239" t="s">
        <v>48</v>
      </c>
      <c r="L23" s="239" t="s">
        <v>48</v>
      </c>
      <c r="M23" s="239" t="s">
        <v>48</v>
      </c>
      <c r="N23" s="239" t="s">
        <v>48</v>
      </c>
      <c r="O23" s="239" t="s">
        <v>86</v>
      </c>
      <c r="P23" s="239" t="s">
        <v>86</v>
      </c>
      <c r="Q23" s="239" t="s">
        <v>93</v>
      </c>
      <c r="R23" s="239" t="s">
        <v>93</v>
      </c>
      <c r="T23" s="270" t="s">
        <v>83</v>
      </c>
      <c r="U23" s="271"/>
      <c r="V23" s="271"/>
      <c r="W23" s="179">
        <f>COUNTIF($K$8:$K$42,"Private Car")</f>
        <v>3</v>
      </c>
      <c r="X23" s="177">
        <f>COUNTIF($L$8:$L$42,"Private Car")</f>
        <v>5</v>
      </c>
      <c r="Y23" s="87">
        <f>W23/SUM(W18:W26)</f>
        <v>8.5714285714285715E-2</v>
      </c>
      <c r="Z23" s="87">
        <f>X23/SUM(X18:X26)</f>
        <v>0.14285714285714285</v>
      </c>
      <c r="AA23" s="13">
        <f t="shared" si="2"/>
        <v>5</v>
      </c>
      <c r="AB23" s="196">
        <f t="shared" si="3"/>
        <v>2</v>
      </c>
      <c r="AC23" s="9"/>
      <c r="AD23" s="9"/>
      <c r="AF23" s="467" t="s">
        <v>164</v>
      </c>
    </row>
    <row r="24" spans="2:38" ht="15" thickBot="1" x14ac:dyDescent="0.35">
      <c r="B24" s="229">
        <v>17</v>
      </c>
      <c r="C24" s="230"/>
      <c r="D24" s="231" t="s">
        <v>8</v>
      </c>
      <c r="E24" s="231" t="s">
        <v>16</v>
      </c>
      <c r="F24" s="231" t="s">
        <v>103</v>
      </c>
      <c r="G24" s="231" t="s">
        <v>34</v>
      </c>
      <c r="H24" s="232" t="s">
        <v>34</v>
      </c>
      <c r="I24" s="231" t="s">
        <v>74</v>
      </c>
      <c r="J24" s="240" t="s">
        <v>74</v>
      </c>
      <c r="K24" s="240" t="s">
        <v>48</v>
      </c>
      <c r="L24" s="240" t="s">
        <v>48</v>
      </c>
      <c r="M24" s="240" t="s">
        <v>48</v>
      </c>
      <c r="N24" s="240" t="s">
        <v>48</v>
      </c>
      <c r="O24" s="240" t="s">
        <v>86</v>
      </c>
      <c r="P24" s="240" t="s">
        <v>86</v>
      </c>
      <c r="Q24" s="240" t="s">
        <v>97</v>
      </c>
      <c r="R24" s="240" t="s">
        <v>97</v>
      </c>
      <c r="T24" s="296" t="s">
        <v>51</v>
      </c>
      <c r="U24" s="297"/>
      <c r="V24" s="297"/>
      <c r="W24" s="179">
        <f>COUNTIF($K$8:$K$42,"Jeepney")</f>
        <v>11</v>
      </c>
      <c r="X24" s="177">
        <f>COUNTIF($L$8:$L$42,"Jeepney")</f>
        <v>5</v>
      </c>
      <c r="Y24" s="87">
        <f>W24/SUM(W18:W26)</f>
        <v>0.31428571428571428</v>
      </c>
      <c r="Z24" s="87">
        <f>X24/SUM(X18:X26)</f>
        <v>0.14285714285714285</v>
      </c>
      <c r="AA24" s="13">
        <f>RANK(Y24,$Y$18:$Y$26,0)</f>
        <v>1</v>
      </c>
      <c r="AB24" s="196">
        <f t="shared" si="3"/>
        <v>2</v>
      </c>
      <c r="AC24" s="9"/>
      <c r="AD24" s="9"/>
      <c r="AF24" s="466" t="s">
        <v>167</v>
      </c>
      <c r="AG24" s="434"/>
      <c r="AH24" s="434"/>
      <c r="AI24" s="434"/>
      <c r="AJ24" s="434"/>
      <c r="AK24" s="434"/>
      <c r="AL24" s="434"/>
    </row>
    <row r="25" spans="2:38" ht="15" thickBot="1" x14ac:dyDescent="0.35">
      <c r="B25" s="225">
        <v>18</v>
      </c>
      <c r="C25" s="226"/>
      <c r="D25" s="227" t="s">
        <v>7</v>
      </c>
      <c r="E25" s="227" t="s">
        <v>16</v>
      </c>
      <c r="F25" s="227" t="s">
        <v>114</v>
      </c>
      <c r="G25" s="227" t="s">
        <v>34</v>
      </c>
      <c r="H25" s="228" t="s">
        <v>34</v>
      </c>
      <c r="I25" s="227" t="s">
        <v>74</v>
      </c>
      <c r="J25" s="239" t="s">
        <v>74</v>
      </c>
      <c r="K25" s="239" t="s">
        <v>48</v>
      </c>
      <c r="L25" s="239" t="s">
        <v>48</v>
      </c>
      <c r="M25" s="239" t="s">
        <v>48</v>
      </c>
      <c r="N25" s="239" t="s">
        <v>48</v>
      </c>
      <c r="O25" s="239" t="s">
        <v>86</v>
      </c>
      <c r="P25" s="239" t="s">
        <v>86</v>
      </c>
      <c r="Q25" s="239" t="s">
        <v>95</v>
      </c>
      <c r="R25" s="239" t="s">
        <v>95</v>
      </c>
      <c r="T25" s="296" t="s">
        <v>52</v>
      </c>
      <c r="U25" s="297"/>
      <c r="V25" s="297"/>
      <c r="W25" s="179">
        <f>COUNTIF($K$8:$K$42,"Bus")</f>
        <v>1</v>
      </c>
      <c r="X25" s="177">
        <f>COUNTIF($L$8:$L$42,"Bus")</f>
        <v>0</v>
      </c>
      <c r="Y25" s="87">
        <f>W25/SUM(W18:W26)</f>
        <v>2.8571428571428571E-2</v>
      </c>
      <c r="Z25" s="87">
        <f>X25/SUM(X18:X26)</f>
        <v>0</v>
      </c>
      <c r="AA25" s="13">
        <f t="shared" si="2"/>
        <v>6</v>
      </c>
      <c r="AB25" s="196">
        <f t="shared" si="3"/>
        <v>8</v>
      </c>
      <c r="AC25" s="9"/>
      <c r="AD25" s="9"/>
      <c r="AF25" s="468" t="s">
        <v>165</v>
      </c>
    </row>
    <row r="26" spans="2:38" ht="15" thickBot="1" x14ac:dyDescent="0.35">
      <c r="B26" s="229">
        <v>19</v>
      </c>
      <c r="C26" s="230"/>
      <c r="D26" s="231" t="s">
        <v>7</v>
      </c>
      <c r="E26" s="231" t="s">
        <v>13</v>
      </c>
      <c r="F26" s="231" t="s">
        <v>103</v>
      </c>
      <c r="G26" s="231" t="s">
        <v>36</v>
      </c>
      <c r="H26" s="232" t="s">
        <v>36</v>
      </c>
      <c r="I26" s="231" t="s">
        <v>78</v>
      </c>
      <c r="J26" s="240" t="s">
        <v>74</v>
      </c>
      <c r="K26" s="240" t="s">
        <v>51</v>
      </c>
      <c r="L26" s="240" t="s">
        <v>48</v>
      </c>
      <c r="M26" s="240" t="s">
        <v>58</v>
      </c>
      <c r="N26" s="240" t="s">
        <v>48</v>
      </c>
      <c r="O26" s="240" t="s">
        <v>88</v>
      </c>
      <c r="P26" s="240" t="s">
        <v>86</v>
      </c>
      <c r="Q26" s="240" t="s">
        <v>95</v>
      </c>
      <c r="R26" s="240" t="s">
        <v>94</v>
      </c>
      <c r="T26" s="298" t="s">
        <v>53</v>
      </c>
      <c r="U26" s="299"/>
      <c r="V26" s="299"/>
      <c r="W26" s="179">
        <f>COUNTIF($K$8:$K$42,"Others")</f>
        <v>0</v>
      </c>
      <c r="X26" s="177">
        <f>COUNTIF($L$8:$L$42,"Others")</f>
        <v>0</v>
      </c>
      <c r="Y26" s="89">
        <f>W26/SUM(W18:W26)</f>
        <v>0</v>
      </c>
      <c r="Z26" s="89">
        <f>X26/SUM(X18:X26)</f>
        <v>0</v>
      </c>
      <c r="AA26" s="13">
        <f t="shared" si="2"/>
        <v>9</v>
      </c>
      <c r="AB26" s="196">
        <f t="shared" si="3"/>
        <v>8</v>
      </c>
      <c r="AC26" s="9"/>
      <c r="AD26" s="9"/>
      <c r="AF26" s="469" t="s">
        <v>166</v>
      </c>
      <c r="AG26" s="435"/>
      <c r="AH26" s="435"/>
      <c r="AI26" s="435"/>
      <c r="AJ26" s="435"/>
      <c r="AK26" s="435"/>
      <c r="AL26" s="435"/>
    </row>
    <row r="27" spans="2:38" ht="15" thickBot="1" x14ac:dyDescent="0.35">
      <c r="B27" s="225">
        <v>20</v>
      </c>
      <c r="C27" s="226"/>
      <c r="D27" s="227" t="s">
        <v>8</v>
      </c>
      <c r="E27" s="227" t="s">
        <v>13</v>
      </c>
      <c r="F27" s="227" t="s">
        <v>107</v>
      </c>
      <c r="G27" s="227" t="s">
        <v>36</v>
      </c>
      <c r="H27" s="228" t="s">
        <v>36</v>
      </c>
      <c r="I27" s="227" t="s">
        <v>79</v>
      </c>
      <c r="J27" s="239" t="s">
        <v>79</v>
      </c>
      <c r="K27" s="239" t="s">
        <v>51</v>
      </c>
      <c r="L27" s="239" t="s">
        <v>83</v>
      </c>
      <c r="M27" s="239" t="s">
        <v>59</v>
      </c>
      <c r="N27" s="239" t="s">
        <v>58</v>
      </c>
      <c r="O27" s="239" t="s">
        <v>89</v>
      </c>
      <c r="P27" s="239" t="s">
        <v>89</v>
      </c>
      <c r="Q27" s="239" t="s">
        <v>96</v>
      </c>
      <c r="R27" s="239" t="s">
        <v>95</v>
      </c>
      <c r="T27" s="397" t="s">
        <v>11</v>
      </c>
      <c r="U27" s="398"/>
      <c r="V27" s="399"/>
      <c r="W27" s="189">
        <f>SUM(W18:W26)</f>
        <v>35</v>
      </c>
      <c r="X27" s="190">
        <f>SUM(X18:X26)</f>
        <v>35</v>
      </c>
      <c r="Y27" s="130">
        <f>SUM(Y18:Y26)</f>
        <v>1</v>
      </c>
      <c r="Z27" s="92">
        <f>SUM(Z18:Z26)</f>
        <v>1</v>
      </c>
      <c r="AA27" s="203"/>
      <c r="AB27" s="193"/>
      <c r="AC27" s="9"/>
      <c r="AD27" s="9"/>
      <c r="AF27" s="435"/>
      <c r="AG27" s="435"/>
      <c r="AH27" s="435"/>
      <c r="AI27" s="435"/>
      <c r="AJ27" s="435"/>
      <c r="AK27" s="435"/>
      <c r="AL27" s="435"/>
    </row>
    <row r="28" spans="2:38" ht="15" thickBot="1" x14ac:dyDescent="0.35">
      <c r="B28" s="229">
        <v>21</v>
      </c>
      <c r="C28" s="230" t="s">
        <v>120</v>
      </c>
      <c r="D28" s="231" t="s">
        <v>7</v>
      </c>
      <c r="E28" s="231" t="s">
        <v>13</v>
      </c>
      <c r="F28" s="231" t="s">
        <v>119</v>
      </c>
      <c r="G28" s="231" t="s">
        <v>36</v>
      </c>
      <c r="H28" s="232" t="s">
        <v>36</v>
      </c>
      <c r="I28" s="231" t="s">
        <v>79</v>
      </c>
      <c r="J28" s="240" t="s">
        <v>74</v>
      </c>
      <c r="K28" s="240" t="s">
        <v>51</v>
      </c>
      <c r="L28" s="240" t="s">
        <v>83</v>
      </c>
      <c r="M28" s="240" t="s">
        <v>58</v>
      </c>
      <c r="N28" s="240" t="s">
        <v>48</v>
      </c>
      <c r="O28" s="240" t="s">
        <v>89</v>
      </c>
      <c r="P28" s="240" t="s">
        <v>88</v>
      </c>
      <c r="Q28" s="240" t="s">
        <v>95</v>
      </c>
      <c r="R28" s="240" t="s">
        <v>93</v>
      </c>
      <c r="T28" s="425" t="s">
        <v>57</v>
      </c>
      <c r="U28" s="426"/>
      <c r="V28" s="426"/>
      <c r="W28" s="426"/>
      <c r="X28" s="426"/>
      <c r="Y28" s="426"/>
      <c r="Z28" s="426"/>
      <c r="AA28" s="426"/>
      <c r="AB28" s="427"/>
      <c r="AC28" s="34"/>
      <c r="AD28" s="34"/>
      <c r="AF28" s="435"/>
      <c r="AG28" s="435"/>
      <c r="AH28" s="435"/>
      <c r="AI28" s="435"/>
      <c r="AJ28" s="435"/>
      <c r="AK28" s="435"/>
      <c r="AL28" s="435"/>
    </row>
    <row r="29" spans="2:38" ht="15" thickBot="1" x14ac:dyDescent="0.35">
      <c r="B29" s="225">
        <v>22</v>
      </c>
      <c r="C29" s="226"/>
      <c r="D29" s="227" t="s">
        <v>8</v>
      </c>
      <c r="E29" s="227" t="s">
        <v>13</v>
      </c>
      <c r="F29" s="227" t="s">
        <v>107</v>
      </c>
      <c r="G29" s="227" t="s">
        <v>36</v>
      </c>
      <c r="H29" s="228" t="s">
        <v>36</v>
      </c>
      <c r="I29" s="227" t="s">
        <v>77</v>
      </c>
      <c r="J29" s="239" t="s">
        <v>74</v>
      </c>
      <c r="K29" s="239" t="s">
        <v>51</v>
      </c>
      <c r="L29" s="239" t="s">
        <v>48</v>
      </c>
      <c r="M29" s="239" t="s">
        <v>59</v>
      </c>
      <c r="N29" s="239" t="s">
        <v>48</v>
      </c>
      <c r="O29" s="239" t="s">
        <v>89</v>
      </c>
      <c r="P29" s="239" t="s">
        <v>86</v>
      </c>
      <c r="Q29" s="239" t="s">
        <v>96</v>
      </c>
      <c r="R29" s="239" t="s">
        <v>94</v>
      </c>
      <c r="T29" s="395" t="s">
        <v>48</v>
      </c>
      <c r="U29" s="396"/>
      <c r="V29" s="396"/>
      <c r="W29" s="185">
        <f>COUNTIF($M$8:$M$42,"None")</f>
        <v>10</v>
      </c>
      <c r="X29" s="183">
        <f>COUNTIF($N$8:$N$42,"None")</f>
        <v>22</v>
      </c>
      <c r="Y29" s="132">
        <f>W29/SUM(W29:W32)</f>
        <v>0.2857142857142857</v>
      </c>
      <c r="Z29" s="94">
        <f>X29/SUM(X29:X32)</f>
        <v>0.62857142857142856</v>
      </c>
      <c r="AA29" s="13">
        <f>RANK(Y29,$Y$29:$Y$32,0)</f>
        <v>3</v>
      </c>
      <c r="AB29" s="196">
        <f>RANK(Z29,$Z$29:$Z$32,0)</f>
        <v>1</v>
      </c>
      <c r="AC29" s="9"/>
      <c r="AD29" s="9"/>
      <c r="AF29" s="465"/>
      <c r="AG29" s="435"/>
      <c r="AH29" s="435"/>
      <c r="AI29" s="435"/>
      <c r="AJ29" s="435"/>
      <c r="AK29" s="435"/>
      <c r="AL29" s="435"/>
    </row>
    <row r="30" spans="2:38" ht="15" thickBot="1" x14ac:dyDescent="0.35">
      <c r="B30" s="229">
        <v>23</v>
      </c>
      <c r="C30" s="230" t="s">
        <v>121</v>
      </c>
      <c r="D30" s="231" t="s">
        <v>8</v>
      </c>
      <c r="E30" s="231" t="s">
        <v>13</v>
      </c>
      <c r="F30" s="231" t="s">
        <v>119</v>
      </c>
      <c r="G30" s="231" t="s">
        <v>36</v>
      </c>
      <c r="H30" s="232" t="s">
        <v>36</v>
      </c>
      <c r="I30" s="231" t="s">
        <v>81</v>
      </c>
      <c r="J30" s="240" t="s">
        <v>74</v>
      </c>
      <c r="K30" s="240" t="s">
        <v>82</v>
      </c>
      <c r="L30" s="240" t="s">
        <v>48</v>
      </c>
      <c r="M30" s="240" t="s">
        <v>58</v>
      </c>
      <c r="N30" s="240" t="s">
        <v>48</v>
      </c>
      <c r="O30" s="240" t="s">
        <v>87</v>
      </c>
      <c r="P30" s="240" t="s">
        <v>86</v>
      </c>
      <c r="Q30" s="240" t="s">
        <v>96</v>
      </c>
      <c r="R30" s="240" t="s">
        <v>93</v>
      </c>
      <c r="T30" s="270" t="s">
        <v>58</v>
      </c>
      <c r="U30" s="271"/>
      <c r="V30" s="271"/>
      <c r="W30" s="177">
        <f>COUNTIF($M$8:$M$42,"1 full trip")</f>
        <v>14</v>
      </c>
      <c r="X30" s="177">
        <f>COUNTIF($N$8:$N$42,"1 full trip")</f>
        <v>7</v>
      </c>
      <c r="Y30" s="87">
        <f>W30/SUM(W29:W32)</f>
        <v>0.4</v>
      </c>
      <c r="Z30" s="87">
        <f>X30/SUM(X29:X32)</f>
        <v>0.2</v>
      </c>
      <c r="AA30" s="13">
        <f>RANK(Y30,$Y$29:$Y$32,0)</f>
        <v>1</v>
      </c>
      <c r="AB30" s="196">
        <f>RANK(Z30,$Z$29:$Z$32,0)</f>
        <v>2</v>
      </c>
      <c r="AC30" s="9"/>
      <c r="AD30" s="9"/>
      <c r="AF30" s="467" t="s">
        <v>164</v>
      </c>
    </row>
    <row r="31" spans="2:38" ht="15" thickBot="1" x14ac:dyDescent="0.35">
      <c r="B31" s="225">
        <v>24</v>
      </c>
      <c r="C31" s="226" t="s">
        <v>122</v>
      </c>
      <c r="D31" s="227" t="s">
        <v>7</v>
      </c>
      <c r="E31" s="227" t="s">
        <v>13</v>
      </c>
      <c r="F31" s="227" t="s">
        <v>123</v>
      </c>
      <c r="G31" s="227" t="s">
        <v>36</v>
      </c>
      <c r="H31" s="228" t="s">
        <v>36</v>
      </c>
      <c r="I31" s="227" t="s">
        <v>79</v>
      </c>
      <c r="J31" s="239" t="s">
        <v>79</v>
      </c>
      <c r="K31" s="239" t="s">
        <v>51</v>
      </c>
      <c r="L31" s="239" t="s">
        <v>51</v>
      </c>
      <c r="M31" s="239" t="s">
        <v>59</v>
      </c>
      <c r="N31" s="239" t="s">
        <v>59</v>
      </c>
      <c r="O31" s="239" t="s">
        <v>89</v>
      </c>
      <c r="P31" s="239" t="s">
        <v>89</v>
      </c>
      <c r="Q31" s="239" t="s">
        <v>96</v>
      </c>
      <c r="R31" s="239" t="s">
        <v>95</v>
      </c>
      <c r="T31" s="270" t="s">
        <v>59</v>
      </c>
      <c r="U31" s="271"/>
      <c r="V31" s="271"/>
      <c r="W31" s="177">
        <f>COUNTIF($M$8:$M$42,"2-3 trips")</f>
        <v>11</v>
      </c>
      <c r="X31" s="177">
        <f>COUNTIF($N$8:$N$42,"2-3 trips")</f>
        <v>5</v>
      </c>
      <c r="Y31" s="87">
        <f>W31/SUM(W29:W32)</f>
        <v>0.31428571428571428</v>
      </c>
      <c r="Z31" s="87">
        <f>X31/SUM(X29:X32)</f>
        <v>0.14285714285714285</v>
      </c>
      <c r="AA31" s="13">
        <f>RANK(Y31,$Y$29:$Y$32,0)</f>
        <v>2</v>
      </c>
      <c r="AB31" s="196">
        <f>RANK(Z31,$Z$29:$Z$32,0)</f>
        <v>3</v>
      </c>
      <c r="AC31" s="9"/>
      <c r="AD31" s="9"/>
      <c r="AF31" s="466" t="s">
        <v>162</v>
      </c>
      <c r="AG31" s="434"/>
      <c r="AH31" s="434"/>
      <c r="AI31" s="434"/>
      <c r="AJ31" s="434"/>
      <c r="AK31" s="434"/>
      <c r="AL31" s="434"/>
    </row>
    <row r="32" spans="2:38" ht="15" thickBot="1" x14ac:dyDescent="0.35">
      <c r="B32" s="229">
        <v>25</v>
      </c>
      <c r="C32" s="230"/>
      <c r="D32" s="231" t="s">
        <v>7</v>
      </c>
      <c r="E32" s="231" t="s">
        <v>13</v>
      </c>
      <c r="F32" s="231" t="s">
        <v>124</v>
      </c>
      <c r="G32" s="231" t="s">
        <v>36</v>
      </c>
      <c r="H32" s="232" t="s">
        <v>36</v>
      </c>
      <c r="I32" s="231" t="s">
        <v>74</v>
      </c>
      <c r="J32" s="240" t="s">
        <v>74</v>
      </c>
      <c r="K32" s="240" t="s">
        <v>48</v>
      </c>
      <c r="L32" s="240" t="s">
        <v>48</v>
      </c>
      <c r="M32" s="240" t="s">
        <v>48</v>
      </c>
      <c r="N32" s="240" t="s">
        <v>48</v>
      </c>
      <c r="O32" s="240" t="s">
        <v>86</v>
      </c>
      <c r="P32" s="240" t="s">
        <v>86</v>
      </c>
      <c r="Q32" s="240" t="s">
        <v>95</v>
      </c>
      <c r="R32" s="240" t="s">
        <v>95</v>
      </c>
      <c r="T32" s="277" t="s">
        <v>84</v>
      </c>
      <c r="U32" s="278"/>
      <c r="V32" s="278"/>
      <c r="W32" s="177">
        <f>COUNTIF($M$8:$M$42,"More than 4 trips")</f>
        <v>0</v>
      </c>
      <c r="X32" s="177">
        <f>COUNTIF($N$8:$N$42,"More than 4 trips")</f>
        <v>1</v>
      </c>
      <c r="Y32" s="89">
        <f>W32/SUM(W29:W32)</f>
        <v>0</v>
      </c>
      <c r="Z32" s="89">
        <f>X32/SUM(X29:X32)</f>
        <v>2.8571428571428571E-2</v>
      </c>
      <c r="AA32" s="13">
        <f>RANK(Y32,$Y$29:$Y$32,0)</f>
        <v>4</v>
      </c>
      <c r="AB32" s="196">
        <f>RANK(Z32,$Z$29:$Z$32,0)</f>
        <v>4</v>
      </c>
      <c r="AC32" s="9"/>
      <c r="AD32" s="9"/>
      <c r="AF32" s="473" t="s">
        <v>165</v>
      </c>
    </row>
    <row r="33" spans="2:47" ht="15" customHeight="1" thickBot="1" x14ac:dyDescent="0.35">
      <c r="B33" s="225">
        <v>26</v>
      </c>
      <c r="C33" s="226"/>
      <c r="D33" s="227" t="s">
        <v>7</v>
      </c>
      <c r="E33" s="227" t="s">
        <v>13</v>
      </c>
      <c r="F33" s="227" t="s">
        <v>126</v>
      </c>
      <c r="G33" s="227" t="s">
        <v>36</v>
      </c>
      <c r="H33" s="228" t="s">
        <v>36</v>
      </c>
      <c r="I33" s="227" t="s">
        <v>81</v>
      </c>
      <c r="J33" s="239" t="s">
        <v>81</v>
      </c>
      <c r="K33" s="239" t="s">
        <v>51</v>
      </c>
      <c r="L33" s="239" t="s">
        <v>50</v>
      </c>
      <c r="M33" s="239" t="s">
        <v>59</v>
      </c>
      <c r="N33" s="239" t="s">
        <v>58</v>
      </c>
      <c r="O33" s="239" t="s">
        <v>88</v>
      </c>
      <c r="P33" s="239" t="s">
        <v>88</v>
      </c>
      <c r="Q33" s="239" t="s">
        <v>95</v>
      </c>
      <c r="R33" s="239" t="s">
        <v>97</v>
      </c>
      <c r="T33" s="397" t="s">
        <v>11</v>
      </c>
      <c r="U33" s="398"/>
      <c r="V33" s="399"/>
      <c r="W33" s="189">
        <f>SUM(W29:W32)</f>
        <v>35</v>
      </c>
      <c r="X33" s="190">
        <f>SUM(X29:X32)</f>
        <v>35</v>
      </c>
      <c r="Y33" s="130">
        <f>SUM(Y29:Y32)</f>
        <v>1</v>
      </c>
      <c r="Z33" s="92">
        <f>SUM(Z29:Z32)</f>
        <v>0.99999999999999989</v>
      </c>
      <c r="AA33" s="202"/>
      <c r="AB33" s="187"/>
      <c r="AC33" s="9"/>
      <c r="AD33" s="9"/>
      <c r="AF33" s="474" t="s">
        <v>205</v>
      </c>
      <c r="AG33" s="475"/>
      <c r="AH33" s="475"/>
      <c r="AI33" s="475"/>
      <c r="AJ33" s="475"/>
      <c r="AK33" s="475"/>
      <c r="AL33" s="476"/>
      <c r="AN33" s="487" t="s">
        <v>208</v>
      </c>
      <c r="AO33" s="488"/>
      <c r="AP33" s="488"/>
      <c r="AQ33" s="488"/>
      <c r="AR33" s="488"/>
      <c r="AS33" s="488"/>
      <c r="AT33" s="488"/>
      <c r="AU33" s="489"/>
    </row>
    <row r="34" spans="2:47" ht="15" thickBot="1" x14ac:dyDescent="0.35">
      <c r="B34" s="229">
        <v>27</v>
      </c>
      <c r="C34" s="230"/>
      <c r="D34" s="231" t="s">
        <v>7</v>
      </c>
      <c r="E34" s="231" t="s">
        <v>13</v>
      </c>
      <c r="F34" s="231" t="s">
        <v>119</v>
      </c>
      <c r="G34" s="231" t="s">
        <v>36</v>
      </c>
      <c r="H34" s="232" t="s">
        <v>36</v>
      </c>
      <c r="I34" s="231" t="s">
        <v>81</v>
      </c>
      <c r="J34" s="240" t="s">
        <v>81</v>
      </c>
      <c r="K34" s="240" t="s">
        <v>51</v>
      </c>
      <c r="L34" s="240" t="s">
        <v>51</v>
      </c>
      <c r="M34" s="240" t="s">
        <v>59</v>
      </c>
      <c r="N34" s="240" t="s">
        <v>84</v>
      </c>
      <c r="O34" s="240" t="s">
        <v>89</v>
      </c>
      <c r="P34" s="240" t="s">
        <v>90</v>
      </c>
      <c r="Q34" s="240" t="s">
        <v>95</v>
      </c>
      <c r="R34" s="240" t="s">
        <v>95</v>
      </c>
      <c r="T34" s="403" t="s">
        <v>85</v>
      </c>
      <c r="U34" s="404"/>
      <c r="V34" s="404"/>
      <c r="W34" s="404"/>
      <c r="X34" s="404"/>
      <c r="Y34" s="404"/>
      <c r="Z34" s="404"/>
      <c r="AA34" s="404"/>
      <c r="AB34" s="405"/>
      <c r="AC34" s="37"/>
      <c r="AD34" s="37"/>
      <c r="AF34" s="477"/>
      <c r="AG34" s="470"/>
      <c r="AH34" s="470"/>
      <c r="AI34" s="470"/>
      <c r="AJ34" s="470"/>
      <c r="AK34" s="470"/>
      <c r="AL34" s="478"/>
      <c r="AN34" s="490"/>
      <c r="AO34" s="472"/>
      <c r="AP34" s="472"/>
      <c r="AQ34" s="472"/>
      <c r="AR34" s="472"/>
      <c r="AS34" s="472"/>
      <c r="AT34" s="472"/>
      <c r="AU34" s="491"/>
    </row>
    <row r="35" spans="2:47" ht="15" thickBot="1" x14ac:dyDescent="0.35">
      <c r="B35" s="225">
        <v>28</v>
      </c>
      <c r="C35" s="226"/>
      <c r="D35" s="227" t="s">
        <v>8</v>
      </c>
      <c r="E35" s="227" t="s">
        <v>15</v>
      </c>
      <c r="F35" s="227" t="s">
        <v>125</v>
      </c>
      <c r="G35" s="227" t="s">
        <v>34</v>
      </c>
      <c r="H35" s="228" t="s">
        <v>34</v>
      </c>
      <c r="I35" s="227" t="s">
        <v>80</v>
      </c>
      <c r="J35" s="239" t="s">
        <v>80</v>
      </c>
      <c r="K35" s="239" t="s">
        <v>51</v>
      </c>
      <c r="L35" s="239" t="s">
        <v>51</v>
      </c>
      <c r="M35" s="239" t="s">
        <v>59</v>
      </c>
      <c r="N35" s="239" t="s">
        <v>59</v>
      </c>
      <c r="O35" s="239" t="s">
        <v>90</v>
      </c>
      <c r="P35" s="239" t="s">
        <v>90</v>
      </c>
      <c r="Q35" s="239" t="s">
        <v>96</v>
      </c>
      <c r="R35" s="239" t="s">
        <v>96</v>
      </c>
      <c r="T35" s="423" t="s">
        <v>86</v>
      </c>
      <c r="U35" s="396"/>
      <c r="V35" s="396"/>
      <c r="W35" s="183">
        <f>COUNTIF($O$8:$O$42,"No travel time")</f>
        <v>9</v>
      </c>
      <c r="X35" s="183">
        <f>COUNTIF($P$8:$P$42,"No travel time")</f>
        <v>20</v>
      </c>
      <c r="Y35" s="132">
        <f>W35/SUM(W35:W40)</f>
        <v>0.25714285714285712</v>
      </c>
      <c r="Z35" s="94">
        <f>X35/SUM(X35:X40)</f>
        <v>0.5714285714285714</v>
      </c>
      <c r="AA35" s="200">
        <f t="shared" ref="AA35:AA40" si="4">RANK(Y35,$Y$35:$Y$40,0)</f>
        <v>2</v>
      </c>
      <c r="AB35" s="196">
        <f t="shared" ref="AB35:AB40" si="5">RANK(Z35,Z35:Z40,0)</f>
        <v>1</v>
      </c>
      <c r="AC35" s="9"/>
      <c r="AD35" s="9"/>
      <c r="AF35" s="484"/>
      <c r="AG35" s="485"/>
      <c r="AH35" s="485"/>
      <c r="AI35" s="485"/>
      <c r="AJ35" s="485"/>
      <c r="AK35" s="485"/>
      <c r="AL35" s="486"/>
      <c r="AN35" s="490"/>
      <c r="AO35" s="472"/>
      <c r="AP35" s="472"/>
      <c r="AQ35" s="472"/>
      <c r="AR35" s="472"/>
      <c r="AS35" s="472"/>
      <c r="AT35" s="472"/>
      <c r="AU35" s="491"/>
    </row>
    <row r="36" spans="2:47" ht="15" customHeight="1" thickBot="1" x14ac:dyDescent="0.35">
      <c r="B36" s="229">
        <v>29</v>
      </c>
      <c r="C36" s="230" t="s">
        <v>127</v>
      </c>
      <c r="D36" s="231" t="s">
        <v>8</v>
      </c>
      <c r="E36" s="231" t="s">
        <v>14</v>
      </c>
      <c r="F36" s="231" t="s">
        <v>107</v>
      </c>
      <c r="G36" s="231" t="s">
        <v>34</v>
      </c>
      <c r="H36" s="232" t="s">
        <v>34</v>
      </c>
      <c r="I36" s="231" t="s">
        <v>80</v>
      </c>
      <c r="J36" s="240" t="s">
        <v>74</v>
      </c>
      <c r="K36" s="240" t="s">
        <v>83</v>
      </c>
      <c r="L36" s="240" t="s">
        <v>83</v>
      </c>
      <c r="M36" s="240" t="s">
        <v>58</v>
      </c>
      <c r="N36" s="240" t="s">
        <v>48</v>
      </c>
      <c r="O36" s="240" t="s">
        <v>90</v>
      </c>
      <c r="P36" s="240" t="s">
        <v>90</v>
      </c>
      <c r="Q36" s="240" t="s">
        <v>95</v>
      </c>
      <c r="R36" s="240" t="s">
        <v>97</v>
      </c>
      <c r="T36" s="270" t="s">
        <v>87</v>
      </c>
      <c r="U36" s="271"/>
      <c r="V36" s="271"/>
      <c r="W36" s="177">
        <f>COUNTIF($O$8:$O$42,"Less than 10 mins")</f>
        <v>10</v>
      </c>
      <c r="X36" s="177">
        <f>COUNTIF($P$8:$P$42,"Less than 10 mins")</f>
        <v>3</v>
      </c>
      <c r="Y36" s="87">
        <f>W36/SUM(W35:W40)</f>
        <v>0.2857142857142857</v>
      </c>
      <c r="Z36" s="87">
        <f>X36/SUM(X35:X40)</f>
        <v>8.5714285714285715E-2</v>
      </c>
      <c r="AA36" s="200">
        <f t="shared" si="4"/>
        <v>1</v>
      </c>
      <c r="AB36" s="196">
        <f t="shared" si="5"/>
        <v>4</v>
      </c>
      <c r="AC36" s="9"/>
      <c r="AD36" s="9"/>
      <c r="AF36" s="479" t="s">
        <v>206</v>
      </c>
      <c r="AG36" s="471"/>
      <c r="AH36" s="471"/>
      <c r="AI36" s="471"/>
      <c r="AJ36" s="471"/>
      <c r="AK36" s="471"/>
      <c r="AL36" s="480"/>
      <c r="AN36" s="490"/>
      <c r="AO36" s="472"/>
      <c r="AP36" s="472"/>
      <c r="AQ36" s="472"/>
      <c r="AR36" s="472"/>
      <c r="AS36" s="472"/>
      <c r="AT36" s="472"/>
      <c r="AU36" s="491"/>
    </row>
    <row r="37" spans="2:47" ht="15" thickBot="1" x14ac:dyDescent="0.35">
      <c r="B37" s="225">
        <v>30</v>
      </c>
      <c r="C37" s="235" t="s">
        <v>128</v>
      </c>
      <c r="D37" s="227" t="s">
        <v>8</v>
      </c>
      <c r="E37" s="227" t="s">
        <v>13</v>
      </c>
      <c r="F37" s="227" t="s">
        <v>107</v>
      </c>
      <c r="G37" s="227" t="s">
        <v>34</v>
      </c>
      <c r="H37" s="228" t="s">
        <v>34</v>
      </c>
      <c r="I37" s="227" t="s">
        <v>77</v>
      </c>
      <c r="J37" s="239" t="s">
        <v>74</v>
      </c>
      <c r="K37" s="239" t="s">
        <v>51</v>
      </c>
      <c r="L37" s="239" t="s">
        <v>48</v>
      </c>
      <c r="M37" s="239" t="s">
        <v>58</v>
      </c>
      <c r="N37" s="239" t="s">
        <v>48</v>
      </c>
      <c r="O37" s="239" t="s">
        <v>88</v>
      </c>
      <c r="P37" s="239" t="s">
        <v>86</v>
      </c>
      <c r="Q37" s="239" t="s">
        <v>95</v>
      </c>
      <c r="R37" s="239" t="s">
        <v>94</v>
      </c>
      <c r="T37" s="270" t="s">
        <v>88</v>
      </c>
      <c r="U37" s="271"/>
      <c r="V37" s="271"/>
      <c r="W37" s="177">
        <f>COUNTIF($O$8:$O$42,"10 - 30 mins")</f>
        <v>6</v>
      </c>
      <c r="X37" s="177">
        <f>COUNTIF($P$8:$P$42,"10 - 30 mins")</f>
        <v>4</v>
      </c>
      <c r="Y37" s="87">
        <f>W37/SUM(W35:W40)</f>
        <v>0.17142857142857143</v>
      </c>
      <c r="Z37" s="87">
        <f>X37/SUM(X35:X40)</f>
        <v>0.11428571428571428</v>
      </c>
      <c r="AA37" s="200">
        <f t="shared" si="4"/>
        <v>3</v>
      </c>
      <c r="AB37" s="196">
        <f t="shared" si="5"/>
        <v>3</v>
      </c>
      <c r="AC37" s="9"/>
      <c r="AD37" s="9"/>
      <c r="AF37" s="479"/>
      <c r="AG37" s="471"/>
      <c r="AH37" s="471"/>
      <c r="AI37" s="471"/>
      <c r="AJ37" s="471"/>
      <c r="AK37" s="471"/>
      <c r="AL37" s="480"/>
      <c r="AN37" s="490"/>
      <c r="AO37" s="472"/>
      <c r="AP37" s="472"/>
      <c r="AQ37" s="472"/>
      <c r="AR37" s="472"/>
      <c r="AS37" s="472"/>
      <c r="AT37" s="472"/>
      <c r="AU37" s="491"/>
    </row>
    <row r="38" spans="2:47" ht="15" thickBot="1" x14ac:dyDescent="0.35">
      <c r="B38" s="229">
        <v>31</v>
      </c>
      <c r="C38" s="230"/>
      <c r="D38" s="231" t="s">
        <v>8</v>
      </c>
      <c r="E38" s="231" t="s">
        <v>13</v>
      </c>
      <c r="F38" s="231" t="s">
        <v>107</v>
      </c>
      <c r="G38" s="231" t="s">
        <v>118</v>
      </c>
      <c r="H38" s="232" t="s">
        <v>34</v>
      </c>
      <c r="I38" s="231" t="s">
        <v>77</v>
      </c>
      <c r="J38" s="240" t="s">
        <v>74</v>
      </c>
      <c r="K38" s="240" t="s">
        <v>83</v>
      </c>
      <c r="L38" s="240" t="s">
        <v>48</v>
      </c>
      <c r="M38" s="240" t="s">
        <v>59</v>
      </c>
      <c r="N38" s="240" t="s">
        <v>48</v>
      </c>
      <c r="O38" s="240" t="s">
        <v>88</v>
      </c>
      <c r="P38" s="240" t="s">
        <v>86</v>
      </c>
      <c r="Q38" s="240" t="s">
        <v>94</v>
      </c>
      <c r="R38" s="240" t="s">
        <v>97</v>
      </c>
      <c r="T38" s="270" t="s">
        <v>89</v>
      </c>
      <c r="U38" s="271"/>
      <c r="V38" s="271"/>
      <c r="W38" s="177">
        <f>COUNTIF($O$8:$O$42,"31 mins to 1 hour")</f>
        <v>5</v>
      </c>
      <c r="X38" s="177">
        <f>COUNTIF($P$8:$P$42,"31 mins to 1 hour")</f>
        <v>3</v>
      </c>
      <c r="Y38" s="87">
        <f>W38/SUM(W35:W40)</f>
        <v>0.14285714285714285</v>
      </c>
      <c r="Z38" s="87">
        <f>X38/SUM(X35:X40)</f>
        <v>8.5714285714285715E-2</v>
      </c>
      <c r="AA38" s="200">
        <f t="shared" si="4"/>
        <v>4</v>
      </c>
      <c r="AB38" s="196">
        <f t="shared" si="5"/>
        <v>4</v>
      </c>
      <c r="AC38" s="9"/>
      <c r="AD38" s="9"/>
      <c r="AF38" s="479"/>
      <c r="AG38" s="471"/>
      <c r="AH38" s="471"/>
      <c r="AI38" s="471"/>
      <c r="AJ38" s="471"/>
      <c r="AK38" s="471"/>
      <c r="AL38" s="480"/>
      <c r="AN38" s="490"/>
      <c r="AO38" s="472"/>
      <c r="AP38" s="472"/>
      <c r="AQ38" s="472"/>
      <c r="AR38" s="472"/>
      <c r="AS38" s="472"/>
      <c r="AT38" s="472"/>
      <c r="AU38" s="491"/>
    </row>
    <row r="39" spans="2:47" ht="15" thickBot="1" x14ac:dyDescent="0.35">
      <c r="B39" s="225">
        <v>32</v>
      </c>
      <c r="C39" s="226"/>
      <c r="D39" s="227" t="s">
        <v>7</v>
      </c>
      <c r="E39" s="227" t="s">
        <v>18</v>
      </c>
      <c r="F39" s="227" t="s">
        <v>108</v>
      </c>
      <c r="G39" s="227" t="s">
        <v>112</v>
      </c>
      <c r="H39" s="228" t="s">
        <v>118</v>
      </c>
      <c r="I39" s="227" t="s">
        <v>74</v>
      </c>
      <c r="J39" s="239" t="s">
        <v>74</v>
      </c>
      <c r="K39" s="239" t="s">
        <v>48</v>
      </c>
      <c r="L39" s="239" t="s">
        <v>48</v>
      </c>
      <c r="M39" s="239" t="s">
        <v>48</v>
      </c>
      <c r="N39" s="239" t="s">
        <v>48</v>
      </c>
      <c r="O39" s="239" t="s">
        <v>86</v>
      </c>
      <c r="P39" s="239" t="s">
        <v>86</v>
      </c>
      <c r="Q39" s="239" t="s">
        <v>95</v>
      </c>
      <c r="R39" s="239" t="s">
        <v>95</v>
      </c>
      <c r="T39" s="270" t="s">
        <v>90</v>
      </c>
      <c r="U39" s="271"/>
      <c r="V39" s="271"/>
      <c r="W39" s="177">
        <f>COUNTIF($O$8:$O$42,"1 - 2 hours")</f>
        <v>5</v>
      </c>
      <c r="X39" s="177">
        <f>COUNTIF($P$8:$P$42,"1 - 2 hours")</f>
        <v>5</v>
      </c>
      <c r="Y39" s="87">
        <f>W39/SUM(W35:W40)</f>
        <v>0.14285714285714285</v>
      </c>
      <c r="Z39" s="87">
        <f>X39/SUM(X35:X40)</f>
        <v>0.14285714285714285</v>
      </c>
      <c r="AA39" s="200">
        <f t="shared" si="4"/>
        <v>4</v>
      </c>
      <c r="AB39" s="196">
        <f t="shared" si="5"/>
        <v>2</v>
      </c>
      <c r="AC39" s="9"/>
      <c r="AD39" s="9"/>
      <c r="AF39" s="479"/>
      <c r="AG39" s="471"/>
      <c r="AH39" s="471"/>
      <c r="AI39" s="471"/>
      <c r="AJ39" s="471"/>
      <c r="AK39" s="471"/>
      <c r="AL39" s="480"/>
      <c r="AN39" s="490"/>
      <c r="AO39" s="472"/>
      <c r="AP39" s="472"/>
      <c r="AQ39" s="472"/>
      <c r="AR39" s="472"/>
      <c r="AS39" s="472"/>
      <c r="AT39" s="472"/>
      <c r="AU39" s="491"/>
    </row>
    <row r="40" spans="2:47" ht="15" thickBot="1" x14ac:dyDescent="0.35">
      <c r="B40" s="229">
        <v>33</v>
      </c>
      <c r="C40" s="230"/>
      <c r="D40" s="231" t="s">
        <v>8</v>
      </c>
      <c r="E40" s="231" t="s">
        <v>15</v>
      </c>
      <c r="F40" s="231" t="s">
        <v>125</v>
      </c>
      <c r="G40" s="231" t="s">
        <v>118</v>
      </c>
      <c r="H40" s="232" t="s">
        <v>34</v>
      </c>
      <c r="I40" s="231" t="s">
        <v>74</v>
      </c>
      <c r="J40" s="240" t="s">
        <v>74</v>
      </c>
      <c r="K40" s="240" t="s">
        <v>48</v>
      </c>
      <c r="L40" s="240" t="s">
        <v>48</v>
      </c>
      <c r="M40" s="240" t="s">
        <v>48</v>
      </c>
      <c r="N40" s="240" t="s">
        <v>48</v>
      </c>
      <c r="O40" s="240" t="s">
        <v>86</v>
      </c>
      <c r="P40" s="240" t="s">
        <v>86</v>
      </c>
      <c r="Q40" s="240" t="s">
        <v>95</v>
      </c>
      <c r="R40" s="240" t="s">
        <v>95</v>
      </c>
      <c r="T40" s="277" t="s">
        <v>91</v>
      </c>
      <c r="U40" s="278"/>
      <c r="V40" s="278"/>
      <c r="W40" s="177">
        <f>COUNTIF($O$8:$O$42,"More than 2 hours")</f>
        <v>0</v>
      </c>
      <c r="X40" s="177">
        <f>COUNTIF($P$8:$P$42,"More than 2 hours")</f>
        <v>0</v>
      </c>
      <c r="Y40" s="89">
        <f>W40/SUM(W35:W40)</f>
        <v>0</v>
      </c>
      <c r="Z40" s="89">
        <f>X40/SUM(X35:X40)</f>
        <v>0</v>
      </c>
      <c r="AA40" s="200">
        <f t="shared" si="4"/>
        <v>6</v>
      </c>
      <c r="AB40" s="196">
        <f t="shared" si="5"/>
        <v>5</v>
      </c>
      <c r="AC40" s="9"/>
      <c r="AD40" s="9"/>
      <c r="AF40" s="479"/>
      <c r="AG40" s="471"/>
      <c r="AH40" s="471"/>
      <c r="AI40" s="471"/>
      <c r="AJ40" s="471"/>
      <c r="AK40" s="471"/>
      <c r="AL40" s="480"/>
      <c r="AN40" s="490"/>
      <c r="AO40" s="472"/>
      <c r="AP40" s="472"/>
      <c r="AQ40" s="472"/>
      <c r="AR40" s="472"/>
      <c r="AS40" s="472"/>
      <c r="AT40" s="472"/>
      <c r="AU40" s="491"/>
    </row>
    <row r="41" spans="2:47" ht="15" thickBot="1" x14ac:dyDescent="0.35">
      <c r="B41" s="225">
        <v>34</v>
      </c>
      <c r="C41" s="226"/>
      <c r="D41" s="227" t="s">
        <v>8</v>
      </c>
      <c r="E41" s="227" t="s">
        <v>15</v>
      </c>
      <c r="F41" s="227" t="s">
        <v>117</v>
      </c>
      <c r="G41" s="227" t="s">
        <v>35</v>
      </c>
      <c r="H41" s="228" t="s">
        <v>118</v>
      </c>
      <c r="I41" s="227" t="s">
        <v>77</v>
      </c>
      <c r="J41" s="239" t="s">
        <v>74</v>
      </c>
      <c r="K41" s="239" t="s">
        <v>50</v>
      </c>
      <c r="L41" s="239" t="s">
        <v>48</v>
      </c>
      <c r="M41" s="239" t="s">
        <v>58</v>
      </c>
      <c r="N41" s="239" t="s">
        <v>48</v>
      </c>
      <c r="O41" s="239" t="s">
        <v>87</v>
      </c>
      <c r="P41" s="239" t="s">
        <v>86</v>
      </c>
      <c r="Q41" s="239" t="s">
        <v>96</v>
      </c>
      <c r="R41" s="239" t="s">
        <v>95</v>
      </c>
      <c r="T41" s="397" t="s">
        <v>11</v>
      </c>
      <c r="U41" s="398"/>
      <c r="V41" s="399"/>
      <c r="W41" s="189">
        <f>SUM(W35:W40)</f>
        <v>35</v>
      </c>
      <c r="X41" s="190">
        <f>SUM(X35:X40)</f>
        <v>35</v>
      </c>
      <c r="Y41" s="130">
        <f>SUM(Y35:Y40)</f>
        <v>0.99999999999999978</v>
      </c>
      <c r="Z41" s="92">
        <f>SUM(Z35:Z40)</f>
        <v>1</v>
      </c>
      <c r="AA41" s="194"/>
      <c r="AB41" s="187"/>
      <c r="AC41" s="9"/>
      <c r="AD41" s="9"/>
      <c r="AF41" s="479"/>
      <c r="AG41" s="471"/>
      <c r="AH41" s="471"/>
      <c r="AI41" s="471"/>
      <c r="AJ41" s="471"/>
      <c r="AK41" s="471"/>
      <c r="AL41" s="480"/>
      <c r="AN41" s="490"/>
      <c r="AO41" s="472"/>
      <c r="AP41" s="472"/>
      <c r="AQ41" s="472"/>
      <c r="AR41" s="472"/>
      <c r="AS41" s="472"/>
      <c r="AT41" s="472"/>
      <c r="AU41" s="491"/>
    </row>
    <row r="42" spans="2:47" ht="15" thickBot="1" x14ac:dyDescent="0.35">
      <c r="B42" s="229">
        <v>35</v>
      </c>
      <c r="C42" s="230"/>
      <c r="D42" s="231" t="s">
        <v>8</v>
      </c>
      <c r="E42" s="231" t="s">
        <v>17</v>
      </c>
      <c r="F42" s="231" t="s">
        <v>119</v>
      </c>
      <c r="G42" s="231" t="s">
        <v>112</v>
      </c>
      <c r="H42" s="232" t="s">
        <v>35</v>
      </c>
      <c r="I42" s="231" t="s">
        <v>74</v>
      </c>
      <c r="J42" s="240" t="s">
        <v>76</v>
      </c>
      <c r="K42" s="240" t="s">
        <v>48</v>
      </c>
      <c r="L42" s="240" t="s">
        <v>82</v>
      </c>
      <c r="M42" s="240" t="s">
        <v>48</v>
      </c>
      <c r="N42" s="240" t="s">
        <v>58</v>
      </c>
      <c r="O42" s="240" t="s">
        <v>86</v>
      </c>
      <c r="P42" s="240" t="s">
        <v>87</v>
      </c>
      <c r="Q42" s="240" t="s">
        <v>95</v>
      </c>
      <c r="R42" s="240" t="s">
        <v>95</v>
      </c>
      <c r="T42" s="403" t="s">
        <v>92</v>
      </c>
      <c r="U42" s="404"/>
      <c r="V42" s="404"/>
      <c r="W42" s="404"/>
      <c r="X42" s="404"/>
      <c r="Y42" s="404"/>
      <c r="Z42" s="404"/>
      <c r="AA42" s="404"/>
      <c r="AB42" s="405"/>
      <c r="AC42" s="37"/>
      <c r="AD42" s="37"/>
      <c r="AF42" s="479"/>
      <c r="AG42" s="471"/>
      <c r="AH42" s="471"/>
      <c r="AI42" s="471"/>
      <c r="AJ42" s="471"/>
      <c r="AK42" s="471"/>
      <c r="AL42" s="480"/>
      <c r="AN42" s="490"/>
      <c r="AO42" s="472"/>
      <c r="AP42" s="472"/>
      <c r="AQ42" s="472"/>
      <c r="AR42" s="472"/>
      <c r="AS42" s="472"/>
      <c r="AT42" s="472"/>
      <c r="AU42" s="491"/>
    </row>
    <row r="43" spans="2:47" ht="15" thickBot="1" x14ac:dyDescent="0.35">
      <c r="L43" s="38"/>
      <c r="T43" s="395" t="s">
        <v>93</v>
      </c>
      <c r="U43" s="396"/>
      <c r="V43" s="396"/>
      <c r="W43" s="183">
        <f>COUNTIF($Q$8:$Q$42,"Minimal Satisfaction")</f>
        <v>1</v>
      </c>
      <c r="X43" s="183">
        <f>COUNTIF($R$8:$R$42,"Minimal Satisfaction")</f>
        <v>5</v>
      </c>
      <c r="Y43" s="132">
        <f>W43/SUM(W43:W47)</f>
        <v>2.8571428571428571E-2</v>
      </c>
      <c r="Z43" s="94">
        <f>X43/SUM(X43:X47)</f>
        <v>0.14285714285714285</v>
      </c>
      <c r="AA43" s="110">
        <f>RANK(Y43,$Y$43:$Y$47,0)</f>
        <v>4</v>
      </c>
      <c r="AB43" s="196">
        <f>RANK(Z43,$Z$43:$Z$47,0)</f>
        <v>4</v>
      </c>
      <c r="AC43" s="3"/>
      <c r="AD43" s="3"/>
      <c r="AF43" s="479"/>
      <c r="AG43" s="471"/>
      <c r="AH43" s="471"/>
      <c r="AI43" s="471"/>
      <c r="AJ43" s="471"/>
      <c r="AK43" s="471"/>
      <c r="AL43" s="480"/>
      <c r="AN43" s="490"/>
      <c r="AO43" s="472"/>
      <c r="AP43" s="472"/>
      <c r="AQ43" s="472"/>
      <c r="AR43" s="472"/>
      <c r="AS43" s="472"/>
      <c r="AT43" s="472"/>
      <c r="AU43" s="491"/>
    </row>
    <row r="44" spans="2:47" ht="15" thickBot="1" x14ac:dyDescent="0.35">
      <c r="L44" s="38"/>
      <c r="T44" s="270" t="s">
        <v>94</v>
      </c>
      <c r="U44" s="271"/>
      <c r="V44" s="271"/>
      <c r="W44" s="177">
        <f>COUNTIF($Q$8:$Q$42,"Low Satisfaction")</f>
        <v>1</v>
      </c>
      <c r="X44" s="177">
        <f>COUNTIF($R$8:$R$42,"Low Satisfaction")</f>
        <v>5</v>
      </c>
      <c r="Y44" s="87">
        <f>W44/SUM(W43:W47)</f>
        <v>2.8571428571428571E-2</v>
      </c>
      <c r="Z44" s="87">
        <f>X44/SUM(X43:X47)</f>
        <v>0.14285714285714285</v>
      </c>
      <c r="AA44" s="110">
        <f>RANK(Y44,$Y$43:$Y$47,0)</f>
        <v>4</v>
      </c>
      <c r="AB44" s="196">
        <f>RANK(Z44,$Z$43:$Z$47,0)</f>
        <v>4</v>
      </c>
      <c r="AC44" s="3"/>
      <c r="AD44" s="3"/>
      <c r="AF44" s="479"/>
      <c r="AG44" s="471"/>
      <c r="AH44" s="471"/>
      <c r="AI44" s="471"/>
      <c r="AJ44" s="471"/>
      <c r="AK44" s="471"/>
      <c r="AL44" s="480"/>
      <c r="AN44" s="490"/>
      <c r="AO44" s="472"/>
      <c r="AP44" s="472"/>
      <c r="AQ44" s="472"/>
      <c r="AR44" s="472"/>
      <c r="AS44" s="472"/>
      <c r="AT44" s="472"/>
      <c r="AU44" s="491"/>
    </row>
    <row r="45" spans="2:47" ht="15" thickBot="1" x14ac:dyDescent="0.35">
      <c r="B45" s="284" t="s">
        <v>6</v>
      </c>
      <c r="C45" s="10"/>
      <c r="D45" s="23" t="s">
        <v>0</v>
      </c>
      <c r="E45" s="24" t="s">
        <v>9</v>
      </c>
      <c r="F45" s="24" t="s">
        <v>10</v>
      </c>
      <c r="G45" s="131" t="s">
        <v>129</v>
      </c>
      <c r="H45" s="37"/>
      <c r="I45" s="214" t="s">
        <v>161</v>
      </c>
      <c r="J45" t="s">
        <v>172</v>
      </c>
      <c r="L45" s="214" t="s">
        <v>163</v>
      </c>
      <c r="M45" t="s">
        <v>171</v>
      </c>
      <c r="O45" s="214" t="s">
        <v>161</v>
      </c>
      <c r="P45" t="s">
        <v>169</v>
      </c>
      <c r="T45" s="270" t="s">
        <v>95</v>
      </c>
      <c r="U45" s="271"/>
      <c r="V45" s="271"/>
      <c r="W45" s="177">
        <f>COUNTIF($Q$8:$Q$42,"Average Satisfaction")</f>
        <v>13</v>
      </c>
      <c r="X45" s="177">
        <f>COUNTIF($R$8:$R$42,"Average Satisfaction")</f>
        <v>12</v>
      </c>
      <c r="Y45" s="87">
        <f>W45/SUM(W43:W47)</f>
        <v>0.37142857142857144</v>
      </c>
      <c r="Z45" s="87">
        <f>X45/SUM(X43:X47)</f>
        <v>0.34285714285714286</v>
      </c>
      <c r="AA45" s="110">
        <f>RANK(Y45,$Y$43:$Y$47,0)</f>
        <v>2</v>
      </c>
      <c r="AB45" s="196">
        <f>RANK(Z45,$Z$43:$Z$47,0)</f>
        <v>1</v>
      </c>
      <c r="AF45" s="479"/>
      <c r="AG45" s="471"/>
      <c r="AH45" s="471"/>
      <c r="AI45" s="471"/>
      <c r="AJ45" s="471"/>
      <c r="AK45" s="471"/>
      <c r="AL45" s="480"/>
      <c r="AN45" s="490"/>
      <c r="AO45" s="472"/>
      <c r="AP45" s="472"/>
      <c r="AQ45" s="472"/>
      <c r="AR45" s="472"/>
      <c r="AS45" s="472"/>
      <c r="AT45" s="472"/>
      <c r="AU45" s="491"/>
    </row>
    <row r="46" spans="2:47" ht="15" thickBot="1" x14ac:dyDescent="0.35">
      <c r="B46" s="285"/>
      <c r="C46" s="8"/>
      <c r="D46" s="49" t="s">
        <v>7</v>
      </c>
      <c r="E46" s="177">
        <f>COUNTIF(Gender,"Male")</f>
        <v>18</v>
      </c>
      <c r="F46" s="94">
        <f>E$46/SUM(E46:E47)</f>
        <v>0.51428571428571423</v>
      </c>
      <c r="G46" s="117">
        <f>RANK(F46,$F$46:$F$47,0)</f>
        <v>1</v>
      </c>
      <c r="H46" s="39"/>
      <c r="I46" s="249" t="s">
        <v>8</v>
      </c>
      <c r="J46" s="215">
        <v>17</v>
      </c>
      <c r="L46" s="249" t="s">
        <v>8</v>
      </c>
      <c r="M46" s="215"/>
      <c r="O46" s="249" t="s">
        <v>8</v>
      </c>
      <c r="P46" s="215"/>
      <c r="T46" s="270" t="s">
        <v>96</v>
      </c>
      <c r="U46" s="271"/>
      <c r="V46" s="271"/>
      <c r="W46" s="177">
        <f>COUNTIF($Q$8:$Q$42,"Above Average Satisfaction")</f>
        <v>15</v>
      </c>
      <c r="X46" s="177">
        <f>COUNTIF($R$8:$R$42,"Above Average Satisfaction")</f>
        <v>6</v>
      </c>
      <c r="Y46" s="87">
        <f>W46/SUM(W43:W47)</f>
        <v>0.42857142857142855</v>
      </c>
      <c r="Z46" s="87">
        <f>X46/SUM(X43:X47)</f>
        <v>0.17142857142857143</v>
      </c>
      <c r="AA46" s="110">
        <f>RANK(Y46,$Y$43:$Y$47,0)</f>
        <v>1</v>
      </c>
      <c r="AB46" s="196">
        <f>RANK(Z46,$Z$43:$Z$47,0)</f>
        <v>3</v>
      </c>
      <c r="AF46" s="479"/>
      <c r="AG46" s="471"/>
      <c r="AH46" s="471"/>
      <c r="AI46" s="471"/>
      <c r="AJ46" s="471"/>
      <c r="AK46" s="471"/>
      <c r="AL46" s="480"/>
      <c r="AN46" s="490"/>
      <c r="AO46" s="472"/>
      <c r="AP46" s="472"/>
      <c r="AQ46" s="472"/>
      <c r="AR46" s="472"/>
      <c r="AS46" s="472"/>
      <c r="AT46" s="472"/>
      <c r="AU46" s="491"/>
    </row>
    <row r="47" spans="2:47" ht="15" thickBot="1" x14ac:dyDescent="0.35">
      <c r="B47" s="286"/>
      <c r="C47" s="8"/>
      <c r="D47" s="50" t="s">
        <v>8</v>
      </c>
      <c r="E47" s="175">
        <f>COUNTIF(Gender,"Female")</f>
        <v>17</v>
      </c>
      <c r="F47" s="133">
        <f>E$47/SUM(E46:E47)</f>
        <v>0.48571428571428571</v>
      </c>
      <c r="G47" s="176">
        <f>RANK(F47,$F$46:$F$47,0)</f>
        <v>2</v>
      </c>
      <c r="H47" s="39"/>
      <c r="I47" s="216" t="s">
        <v>13</v>
      </c>
      <c r="J47" s="215">
        <v>6</v>
      </c>
      <c r="L47" s="216" t="s">
        <v>13</v>
      </c>
      <c r="M47" s="215"/>
      <c r="O47" s="216" t="s">
        <v>13</v>
      </c>
      <c r="P47" s="215"/>
      <c r="T47" s="277" t="s">
        <v>97</v>
      </c>
      <c r="U47" s="278"/>
      <c r="V47" s="278"/>
      <c r="W47" s="177">
        <f>COUNTIF($Q$8:$Q$42,"High Satisfaction")</f>
        <v>5</v>
      </c>
      <c r="X47" s="177">
        <f>COUNTIF($R$8:$R$42,"High Satisfaction")</f>
        <v>7</v>
      </c>
      <c r="Y47" s="89">
        <f>W47/SUM(W43:W47)</f>
        <v>0.14285714285714285</v>
      </c>
      <c r="Z47" s="89">
        <f>X47/SUM(X43:X47)</f>
        <v>0.2</v>
      </c>
      <c r="AA47" s="110">
        <f>RANK(Y47,$Y$43:$Y$47,0)</f>
        <v>3</v>
      </c>
      <c r="AB47" s="196">
        <f>RANK(Z47,$Z$43:$Z$47,0)</f>
        <v>2</v>
      </c>
      <c r="AF47" s="479"/>
      <c r="AG47" s="471"/>
      <c r="AH47" s="471"/>
      <c r="AI47" s="471"/>
      <c r="AJ47" s="471"/>
      <c r="AK47" s="471"/>
      <c r="AL47" s="480"/>
      <c r="AN47" s="490"/>
      <c r="AO47" s="472"/>
      <c r="AP47" s="472"/>
      <c r="AQ47" s="472"/>
      <c r="AR47" s="472"/>
      <c r="AS47" s="472"/>
      <c r="AT47" s="472"/>
      <c r="AU47" s="491"/>
    </row>
    <row r="48" spans="2:47" ht="15" thickBot="1" x14ac:dyDescent="0.35">
      <c r="B48" s="34"/>
      <c r="C48" s="8"/>
      <c r="D48" s="32"/>
      <c r="E48" s="33"/>
      <c r="F48" s="2"/>
      <c r="I48" s="216" t="s">
        <v>14</v>
      </c>
      <c r="J48" s="215">
        <v>4</v>
      </c>
      <c r="L48" s="243" t="s">
        <v>119</v>
      </c>
      <c r="M48" s="215">
        <v>1</v>
      </c>
      <c r="O48" s="243" t="s">
        <v>34</v>
      </c>
      <c r="P48" s="215">
        <v>1</v>
      </c>
      <c r="T48" s="287" t="s">
        <v>11</v>
      </c>
      <c r="U48" s="288"/>
      <c r="V48" s="289"/>
      <c r="W48" s="95">
        <f>SUM(W43:W47)</f>
        <v>35</v>
      </c>
      <c r="X48" s="91">
        <f>SUM(X43:X47)</f>
        <v>35</v>
      </c>
      <c r="Y48" s="92">
        <f>SUM(Y43:Y47)</f>
        <v>1</v>
      </c>
      <c r="Z48" s="92">
        <f>SUM(Z43:Z47)</f>
        <v>1</v>
      </c>
      <c r="AA48" s="194"/>
      <c r="AB48" s="193"/>
      <c r="AF48" s="481"/>
      <c r="AG48" s="482"/>
      <c r="AH48" s="482"/>
      <c r="AI48" s="482"/>
      <c r="AJ48" s="482"/>
      <c r="AK48" s="482"/>
      <c r="AL48" s="483"/>
      <c r="AN48" s="492"/>
      <c r="AO48" s="493"/>
      <c r="AP48" s="493"/>
      <c r="AQ48" s="493"/>
      <c r="AR48" s="493"/>
      <c r="AS48" s="493"/>
      <c r="AT48" s="493"/>
      <c r="AU48" s="494"/>
    </row>
    <row r="49" spans="3:31" ht="15" thickBot="1" x14ac:dyDescent="0.35">
      <c r="C49" s="27"/>
      <c r="D49" s="127" t="s">
        <v>11</v>
      </c>
      <c r="E49" s="128">
        <f>E46+E47</f>
        <v>35</v>
      </c>
      <c r="F49" s="129">
        <f>SUM(F46:F47)</f>
        <v>1</v>
      </c>
      <c r="I49" s="216" t="s">
        <v>15</v>
      </c>
      <c r="J49" s="215">
        <v>3</v>
      </c>
      <c r="L49" s="243" t="s">
        <v>107</v>
      </c>
      <c r="M49" s="215">
        <v>4</v>
      </c>
      <c r="O49" s="243" t="s">
        <v>36</v>
      </c>
      <c r="P49" s="215">
        <v>4</v>
      </c>
      <c r="AB49" s="3"/>
    </row>
    <row r="50" spans="3:31" ht="15" thickBot="1" x14ac:dyDescent="0.35">
      <c r="D50" s="126" t="s">
        <v>131</v>
      </c>
      <c r="E50" s="392" t="str">
        <f>INDEX($D$46:$D$47,MATCH(SMALL($F$46:$F$47,1),$F$46:$F$47,0))</f>
        <v>Female</v>
      </c>
      <c r="F50" s="392"/>
      <c r="G50" s="65" cm="1">
        <f t="array" ref="G50">INDEX($F$46:$F$47,MATCH(E50,$D$46:$D$47,0),0)</f>
        <v>0.48571428571428571</v>
      </c>
      <c r="I50" s="216" t="s">
        <v>16</v>
      </c>
      <c r="J50" s="215">
        <v>1</v>
      </c>
      <c r="L50" s="243" t="s">
        <v>103</v>
      </c>
      <c r="M50" s="215">
        <v>1</v>
      </c>
      <c r="O50" s="243" t="s">
        <v>118</v>
      </c>
      <c r="P50" s="215">
        <v>1</v>
      </c>
      <c r="R50" s="451" t="s">
        <v>202</v>
      </c>
      <c r="S50" s="452"/>
      <c r="T50" s="452"/>
      <c r="U50" s="453"/>
      <c r="W50" s="454" t="s">
        <v>203</v>
      </c>
      <c r="X50" s="455"/>
      <c r="Y50" s="455"/>
      <c r="Z50" s="456"/>
      <c r="AB50" s="457" t="s">
        <v>204</v>
      </c>
      <c r="AC50" s="458"/>
      <c r="AD50" s="458"/>
      <c r="AE50" s="459"/>
    </row>
    <row r="51" spans="3:31" ht="15" thickBot="1" x14ac:dyDescent="0.35">
      <c r="D51" s="126" t="s">
        <v>130</v>
      </c>
      <c r="E51" s="392" t="str">
        <f>INDEX($D$46:$D$47,MATCH(LARGE($F$46:$F$47,1),$F$46:$F$47,0))</f>
        <v>Male</v>
      </c>
      <c r="F51" s="392"/>
      <c r="G51" s="65" cm="1">
        <f t="array" ref="G51">INDEX($F$46:$F$47,MATCH(E51,$D$46:$D$47,0),0)</f>
        <v>0.51428571428571423</v>
      </c>
      <c r="I51" s="216" t="s">
        <v>17</v>
      </c>
      <c r="J51" s="215">
        <v>2</v>
      </c>
      <c r="L51" s="216" t="s">
        <v>14</v>
      </c>
      <c r="M51" s="215"/>
      <c r="O51" s="216" t="s">
        <v>14</v>
      </c>
      <c r="P51" s="215"/>
      <c r="AB51" s="3"/>
    </row>
    <row r="52" spans="3:31" ht="15" thickBot="1" x14ac:dyDescent="0.35">
      <c r="H52" s="3"/>
      <c r="I52" s="216" t="s">
        <v>18</v>
      </c>
      <c r="J52" s="215">
        <v>1</v>
      </c>
      <c r="L52" s="243" t="s">
        <v>107</v>
      </c>
      <c r="M52" s="215">
        <v>1</v>
      </c>
      <c r="O52" s="243" t="s">
        <v>34</v>
      </c>
      <c r="P52" s="215">
        <v>3</v>
      </c>
      <c r="R52" s="430" t="s">
        <v>173</v>
      </c>
      <c r="S52" s="433"/>
      <c r="T52" s="433"/>
      <c r="U52" s="433"/>
      <c r="W52" s="431" t="s">
        <v>177</v>
      </c>
      <c r="X52" s="432"/>
      <c r="Y52" s="432"/>
      <c r="Z52" s="432"/>
      <c r="AB52" s="445" t="s">
        <v>188</v>
      </c>
      <c r="AC52" s="446"/>
      <c r="AD52" s="446"/>
      <c r="AE52" s="446"/>
    </row>
    <row r="53" spans="3:31" ht="15" thickBot="1" x14ac:dyDescent="0.35">
      <c r="D53" s="23" t="s">
        <v>1</v>
      </c>
      <c r="E53" s="24" t="s">
        <v>9</v>
      </c>
      <c r="F53" s="24" t="s">
        <v>10</v>
      </c>
      <c r="G53" s="131" t="s">
        <v>129</v>
      </c>
      <c r="I53" s="249" t="s">
        <v>7</v>
      </c>
      <c r="J53" s="215">
        <v>18</v>
      </c>
      <c r="L53" s="243" t="s">
        <v>114</v>
      </c>
      <c r="M53" s="215">
        <v>1</v>
      </c>
      <c r="O53" s="243" t="s">
        <v>118</v>
      </c>
      <c r="P53" s="215">
        <v>1</v>
      </c>
      <c r="R53" s="214" t="s">
        <v>174</v>
      </c>
      <c r="S53" s="214" t="s">
        <v>0</v>
      </c>
      <c r="W53" s="214" t="s">
        <v>168</v>
      </c>
      <c r="X53" s="214" t="s">
        <v>0</v>
      </c>
      <c r="AB53" s="214" t="s">
        <v>168</v>
      </c>
      <c r="AC53" s="214" t="s">
        <v>0</v>
      </c>
    </row>
    <row r="54" spans="3:31" x14ac:dyDescent="0.3">
      <c r="D54" s="178" t="s">
        <v>12</v>
      </c>
      <c r="E54" s="177">
        <f>COUNTIF(Age,"18 or lower")</f>
        <v>0</v>
      </c>
      <c r="F54" s="130">
        <f>E$54/SUM(E54:E61)</f>
        <v>0</v>
      </c>
      <c r="G54" s="182">
        <f t="shared" ref="G54:G61" si="6">RANK(F54,$F$54:$F$61,0)</f>
        <v>7</v>
      </c>
      <c r="I54" s="216" t="s">
        <v>13</v>
      </c>
      <c r="J54" s="215">
        <v>12</v>
      </c>
      <c r="L54" s="243" t="s">
        <v>103</v>
      </c>
      <c r="M54" s="215">
        <v>2</v>
      </c>
      <c r="O54" s="216" t="s">
        <v>15</v>
      </c>
      <c r="P54" s="215"/>
      <c r="R54" s="214" t="s">
        <v>182</v>
      </c>
      <c r="S54" t="s">
        <v>8</v>
      </c>
      <c r="T54" t="s">
        <v>7</v>
      </c>
      <c r="U54" t="s">
        <v>150</v>
      </c>
      <c r="W54" s="214" t="s">
        <v>181</v>
      </c>
      <c r="X54" t="s">
        <v>8</v>
      </c>
      <c r="Y54" t="s">
        <v>7</v>
      </c>
      <c r="Z54" t="s">
        <v>150</v>
      </c>
      <c r="AB54" s="214" t="s">
        <v>189</v>
      </c>
      <c r="AC54" t="s">
        <v>8</v>
      </c>
      <c r="AD54" t="s">
        <v>7</v>
      </c>
      <c r="AE54" t="s">
        <v>150</v>
      </c>
    </row>
    <row r="55" spans="3:31" x14ac:dyDescent="0.3">
      <c r="D55" s="171" t="s">
        <v>13</v>
      </c>
      <c r="E55" s="172">
        <f>COUNTIF(Age,"19 - 24")</f>
        <v>18</v>
      </c>
      <c r="F55" s="87">
        <f>E$55/SUM(E54:E61)</f>
        <v>0.51428571428571423</v>
      </c>
      <c r="G55" s="174">
        <f t="shared" si="6"/>
        <v>1</v>
      </c>
      <c r="I55" s="216" t="s">
        <v>14</v>
      </c>
      <c r="J55" s="215">
        <v>2</v>
      </c>
      <c r="L55" s="216" t="s">
        <v>15</v>
      </c>
      <c r="M55" s="215"/>
      <c r="O55" s="243" t="s">
        <v>34</v>
      </c>
      <c r="P55" s="215">
        <v>1</v>
      </c>
      <c r="R55" s="241" t="s">
        <v>13</v>
      </c>
      <c r="S55" s="215">
        <v>6</v>
      </c>
      <c r="T55" s="215">
        <v>12</v>
      </c>
      <c r="U55" s="215">
        <v>18</v>
      </c>
      <c r="W55" s="242" t="s">
        <v>77</v>
      </c>
      <c r="X55" s="215">
        <v>5</v>
      </c>
      <c r="Y55" s="215">
        <v>4</v>
      </c>
      <c r="Z55" s="215">
        <v>9</v>
      </c>
      <c r="AB55" s="249" t="s">
        <v>54</v>
      </c>
      <c r="AC55" s="215"/>
      <c r="AD55" s="215"/>
      <c r="AE55" s="215"/>
    </row>
    <row r="56" spans="3:31" x14ac:dyDescent="0.3">
      <c r="D56" s="171" t="s">
        <v>14</v>
      </c>
      <c r="E56" s="172">
        <f>COUNTIF(Age,"25 - 29")</f>
        <v>6</v>
      </c>
      <c r="F56" s="132">
        <f>E$56/SUM(E54:E61)</f>
        <v>0.17142857142857143</v>
      </c>
      <c r="G56" s="173">
        <f t="shared" si="6"/>
        <v>2</v>
      </c>
      <c r="I56" s="216" t="s">
        <v>16</v>
      </c>
      <c r="J56" s="215">
        <v>1</v>
      </c>
      <c r="L56" s="243" t="s">
        <v>117</v>
      </c>
      <c r="M56" s="215">
        <v>1</v>
      </c>
      <c r="O56" s="243" t="s">
        <v>35</v>
      </c>
      <c r="P56" s="215">
        <v>1</v>
      </c>
      <c r="R56" s="216" t="s">
        <v>119</v>
      </c>
      <c r="S56" s="215">
        <v>1</v>
      </c>
      <c r="T56" s="215">
        <v>2</v>
      </c>
      <c r="U56" s="215">
        <v>3</v>
      </c>
      <c r="W56" s="216" t="s">
        <v>34</v>
      </c>
      <c r="X56" s="215">
        <v>2</v>
      </c>
      <c r="Y56" s="215">
        <v>1</v>
      </c>
      <c r="Z56" s="215">
        <v>3</v>
      </c>
      <c r="AB56" s="216" t="s">
        <v>34</v>
      </c>
      <c r="AC56" s="215"/>
      <c r="AD56" s="215">
        <v>1</v>
      </c>
      <c r="AE56" s="215">
        <v>1</v>
      </c>
    </row>
    <row r="57" spans="3:31" x14ac:dyDescent="0.3">
      <c r="D57" s="42" t="s">
        <v>15</v>
      </c>
      <c r="E57" s="172">
        <f>COUNTIF(Age,"30 - 34")</f>
        <v>3</v>
      </c>
      <c r="F57" s="87">
        <f>E$57/SUM(E54:E61)</f>
        <v>8.5714285714285715E-2</v>
      </c>
      <c r="G57" s="173">
        <f t="shared" si="6"/>
        <v>3</v>
      </c>
      <c r="I57" s="216" t="s">
        <v>17</v>
      </c>
      <c r="J57" s="215">
        <v>1</v>
      </c>
      <c r="L57" s="243" t="s">
        <v>125</v>
      </c>
      <c r="M57" s="215">
        <v>2</v>
      </c>
      <c r="O57" s="243" t="s">
        <v>118</v>
      </c>
      <c r="P57" s="215">
        <v>1</v>
      </c>
      <c r="R57" s="216" t="s">
        <v>107</v>
      </c>
      <c r="S57" s="215">
        <v>4</v>
      </c>
      <c r="T57" s="215">
        <v>1</v>
      </c>
      <c r="U57" s="215">
        <v>5</v>
      </c>
      <c r="W57" s="216" t="s">
        <v>35</v>
      </c>
      <c r="X57" s="215">
        <v>1</v>
      </c>
      <c r="Y57" s="215"/>
      <c r="Z57" s="215">
        <v>1</v>
      </c>
      <c r="AB57" s="249" t="s">
        <v>52</v>
      </c>
      <c r="AC57" s="215"/>
      <c r="AD57" s="215"/>
      <c r="AE57" s="215"/>
    </row>
    <row r="58" spans="3:31" x14ac:dyDescent="0.3">
      <c r="D58" s="42" t="s">
        <v>16</v>
      </c>
      <c r="E58" s="172">
        <f>COUNTIF(Age,"35 - 39")</f>
        <v>2</v>
      </c>
      <c r="F58" s="87">
        <f>E$58/SUM(E54:E61)</f>
        <v>5.7142857142857141E-2</v>
      </c>
      <c r="G58" s="173">
        <f t="shared" si="6"/>
        <v>6</v>
      </c>
      <c r="I58" s="216" t="s">
        <v>18</v>
      </c>
      <c r="J58" s="215">
        <v>2</v>
      </c>
      <c r="L58" s="216" t="s">
        <v>16</v>
      </c>
      <c r="M58" s="215"/>
      <c r="O58" s="216" t="s">
        <v>16</v>
      </c>
      <c r="P58" s="215"/>
      <c r="R58" s="216" t="s">
        <v>103</v>
      </c>
      <c r="S58" s="215">
        <v>1</v>
      </c>
      <c r="T58" s="215">
        <v>5</v>
      </c>
      <c r="U58" s="215">
        <v>6</v>
      </c>
      <c r="W58" s="216" t="s">
        <v>36</v>
      </c>
      <c r="X58" s="215">
        <v>1</v>
      </c>
      <c r="Y58" s="215">
        <v>3</v>
      </c>
      <c r="Z58" s="215">
        <v>4</v>
      </c>
      <c r="AB58" s="216" t="s">
        <v>36</v>
      </c>
      <c r="AC58" s="215">
        <v>1</v>
      </c>
      <c r="AD58" s="215"/>
      <c r="AE58" s="215">
        <v>1</v>
      </c>
    </row>
    <row r="59" spans="3:31" x14ac:dyDescent="0.3">
      <c r="D59" s="42" t="s">
        <v>17</v>
      </c>
      <c r="E59" s="172">
        <f>COUNTIF(Age,"40 - 44")</f>
        <v>3</v>
      </c>
      <c r="F59" s="87">
        <f>E$59/SUM(E54:E61)</f>
        <v>8.5714285714285715E-2</v>
      </c>
      <c r="G59" s="174">
        <f t="shared" si="6"/>
        <v>3</v>
      </c>
      <c r="I59" s="249" t="s">
        <v>150</v>
      </c>
      <c r="J59" s="215">
        <v>35</v>
      </c>
      <c r="L59" s="243" t="s">
        <v>103</v>
      </c>
      <c r="M59" s="215">
        <v>1</v>
      </c>
      <c r="O59" s="243" t="s">
        <v>34</v>
      </c>
      <c r="P59" s="215">
        <v>1</v>
      </c>
      <c r="R59" s="216" t="s">
        <v>126</v>
      </c>
      <c r="S59" s="215"/>
      <c r="T59" s="215">
        <v>1</v>
      </c>
      <c r="U59" s="215">
        <v>1</v>
      </c>
      <c r="W59" s="216" t="s">
        <v>118</v>
      </c>
      <c r="X59" s="215">
        <v>1</v>
      </c>
      <c r="Y59" s="215"/>
      <c r="Z59" s="215">
        <v>1</v>
      </c>
      <c r="AB59" s="249" t="s">
        <v>51</v>
      </c>
      <c r="AC59" s="215"/>
      <c r="AD59" s="215"/>
      <c r="AE59" s="215"/>
    </row>
    <row r="60" spans="3:31" x14ac:dyDescent="0.3">
      <c r="D60" s="42" t="s">
        <v>18</v>
      </c>
      <c r="E60" s="172">
        <f>COUNTIF(Age,"45 - 49")</f>
        <v>3</v>
      </c>
      <c r="F60" s="132">
        <f>E$60/SUM(E54:E61)</f>
        <v>8.5714285714285715E-2</v>
      </c>
      <c r="G60" s="173">
        <f t="shared" si="6"/>
        <v>3</v>
      </c>
      <c r="L60" s="216" t="s">
        <v>17</v>
      </c>
      <c r="M60" s="215"/>
      <c r="O60" s="216" t="s">
        <v>17</v>
      </c>
      <c r="P60" s="215"/>
      <c r="R60" s="216" t="s">
        <v>106</v>
      </c>
      <c r="S60" s="215"/>
      <c r="T60" s="215">
        <v>1</v>
      </c>
      <c r="U60" s="215">
        <v>1</v>
      </c>
      <c r="W60" s="242" t="s">
        <v>79</v>
      </c>
      <c r="X60" s="215">
        <v>1</v>
      </c>
      <c r="Y60" s="215">
        <v>2</v>
      </c>
      <c r="Z60" s="215">
        <v>3</v>
      </c>
      <c r="AB60" s="216" t="s">
        <v>34</v>
      </c>
      <c r="AC60" s="215">
        <v>2</v>
      </c>
      <c r="AD60" s="215">
        <v>2</v>
      </c>
      <c r="AE60" s="215">
        <v>4</v>
      </c>
    </row>
    <row r="61" spans="3:31" ht="15" thickBot="1" x14ac:dyDescent="0.35">
      <c r="D61" s="43" t="s">
        <v>19</v>
      </c>
      <c r="E61" s="175">
        <f>COUNTIF(Age,"50 and above")</f>
        <v>0</v>
      </c>
      <c r="F61" s="142">
        <f>E$61/SUM(E54:E61)</f>
        <v>0</v>
      </c>
      <c r="G61" s="176">
        <f t="shared" si="6"/>
        <v>7</v>
      </c>
      <c r="L61" s="243" t="s">
        <v>119</v>
      </c>
      <c r="M61" s="215">
        <v>1</v>
      </c>
      <c r="O61" s="243" t="s">
        <v>34</v>
      </c>
      <c r="P61" s="215">
        <v>1</v>
      </c>
      <c r="R61" s="216" t="s">
        <v>124</v>
      </c>
      <c r="S61" s="215"/>
      <c r="T61" s="215">
        <v>1</v>
      </c>
      <c r="U61" s="215">
        <v>1</v>
      </c>
      <c r="W61" s="216" t="s">
        <v>36</v>
      </c>
      <c r="X61" s="215">
        <v>1</v>
      </c>
      <c r="Y61" s="215">
        <v>2</v>
      </c>
      <c r="Z61" s="215">
        <v>3</v>
      </c>
      <c r="AB61" s="216" t="s">
        <v>36</v>
      </c>
      <c r="AC61" s="215">
        <v>2</v>
      </c>
      <c r="AD61" s="215">
        <v>5</v>
      </c>
      <c r="AE61" s="215">
        <v>7</v>
      </c>
    </row>
    <row r="62" spans="3:31" ht="15" thickBot="1" x14ac:dyDescent="0.35">
      <c r="D62" s="32"/>
      <c r="E62" s="33"/>
      <c r="F62" s="33"/>
      <c r="L62" s="243" t="s">
        <v>103</v>
      </c>
      <c r="M62" s="215">
        <v>1</v>
      </c>
      <c r="O62" s="243" t="s">
        <v>112</v>
      </c>
      <c r="P62" s="215">
        <v>1</v>
      </c>
      <c r="R62" s="216" t="s">
        <v>123</v>
      </c>
      <c r="S62" s="215"/>
      <c r="T62" s="215">
        <v>1</v>
      </c>
      <c r="U62" s="215">
        <v>1</v>
      </c>
      <c r="W62" s="242" t="s">
        <v>80</v>
      </c>
      <c r="X62" s="215">
        <v>2</v>
      </c>
      <c r="Y62" s="215">
        <v>1</v>
      </c>
      <c r="Z62" s="215">
        <v>3</v>
      </c>
      <c r="AB62" s="249" t="s">
        <v>82</v>
      </c>
      <c r="AC62" s="215"/>
      <c r="AD62" s="215"/>
      <c r="AE62" s="215"/>
    </row>
    <row r="63" spans="3:31" ht="15" thickBot="1" x14ac:dyDescent="0.35">
      <c r="D63" s="123" t="s">
        <v>11</v>
      </c>
      <c r="E63" s="124">
        <f>SUM(E$54:E$61)</f>
        <v>35</v>
      </c>
      <c r="F63" s="125">
        <f>SUM(F$54:F$61)</f>
        <v>1</v>
      </c>
      <c r="L63" s="216" t="s">
        <v>18</v>
      </c>
      <c r="M63" s="215"/>
      <c r="O63" s="216" t="s">
        <v>18</v>
      </c>
      <c r="P63" s="215"/>
      <c r="R63" s="241" t="s">
        <v>14</v>
      </c>
      <c r="S63" s="215">
        <v>4</v>
      </c>
      <c r="T63" s="215">
        <v>2</v>
      </c>
      <c r="U63" s="215">
        <v>6</v>
      </c>
      <c r="W63" s="216" t="s">
        <v>34</v>
      </c>
      <c r="X63" s="215">
        <v>2</v>
      </c>
      <c r="Y63" s="215">
        <v>1</v>
      </c>
      <c r="Z63" s="215">
        <v>3</v>
      </c>
      <c r="AB63" s="216" t="s">
        <v>34</v>
      </c>
      <c r="AC63" s="215">
        <v>1</v>
      </c>
      <c r="AD63" s="215">
        <v>1</v>
      </c>
      <c r="AE63" s="215">
        <v>2</v>
      </c>
    </row>
    <row r="64" spans="3:31" ht="15" thickBot="1" x14ac:dyDescent="0.35">
      <c r="D64" s="126" t="s">
        <v>131</v>
      </c>
      <c r="E64" s="406" t="str" cm="1">
        <f t="array" ref="E64">_xlfn.TEXTJOIN(", ",TRUE,IF($F$54:$F$61=SMALL($F$54:$F$61,1),$D$54:$D$61,""))</f>
        <v>18 or lower, 50 and above</v>
      </c>
      <c r="F64" s="406"/>
      <c r="G64" s="65">
        <f>INDEX($F$54:$F$61,MATCH(SMALL($F$54:$F$61,1),$F$54:$F$61,0))</f>
        <v>0</v>
      </c>
      <c r="L64" s="243" t="s">
        <v>103</v>
      </c>
      <c r="M64" s="215">
        <v>1</v>
      </c>
      <c r="O64" s="243" t="s">
        <v>112</v>
      </c>
      <c r="P64" s="215">
        <v>1</v>
      </c>
      <c r="R64" s="216" t="s">
        <v>107</v>
      </c>
      <c r="S64" s="215">
        <v>1</v>
      </c>
      <c r="T64" s="215"/>
      <c r="U64" s="215">
        <v>1</v>
      </c>
      <c r="W64" s="242" t="s">
        <v>78</v>
      </c>
      <c r="X64" s="215">
        <v>1</v>
      </c>
      <c r="Y64" s="215">
        <v>1</v>
      </c>
      <c r="Z64" s="215">
        <v>2</v>
      </c>
      <c r="AB64" s="216" t="s">
        <v>36</v>
      </c>
      <c r="AC64" s="215">
        <v>1</v>
      </c>
      <c r="AD64" s="215">
        <v>1</v>
      </c>
      <c r="AE64" s="215">
        <v>2</v>
      </c>
    </row>
    <row r="65" spans="4:31" ht="15" thickBot="1" x14ac:dyDescent="0.35">
      <c r="D65" s="126" t="s">
        <v>130</v>
      </c>
      <c r="E65" s="406" t="str" cm="1">
        <f t="array" ref="E65">_xlfn.TEXTJOIN(", ",TRUE,IF($F$54:$F$61=LARGE($F$54:$F$61,1),$D$54:$D$61,""))</f>
        <v>19 - 24</v>
      </c>
      <c r="F65" s="406"/>
      <c r="G65" s="122">
        <f>INDEX($F$54:$F$61,MATCH(LARGE($F$54:$F$61,1),$F$54:$F$61,0))</f>
        <v>0.51428571428571423</v>
      </c>
      <c r="L65" s="249" t="s">
        <v>7</v>
      </c>
      <c r="M65" s="215"/>
      <c r="O65" s="249" t="s">
        <v>7</v>
      </c>
      <c r="P65" s="215"/>
      <c r="R65" s="216" t="s">
        <v>108</v>
      </c>
      <c r="S65" s="215"/>
      <c r="T65" s="215">
        <v>1</v>
      </c>
      <c r="U65" s="215">
        <v>1</v>
      </c>
      <c r="W65" s="216" t="s">
        <v>34</v>
      </c>
      <c r="X65" s="215">
        <v>1</v>
      </c>
      <c r="Y65" s="215"/>
      <c r="Z65" s="215">
        <v>1</v>
      </c>
      <c r="AB65" s="249" t="s">
        <v>50</v>
      </c>
      <c r="AC65" s="215"/>
      <c r="AD65" s="215"/>
      <c r="AE65" s="215"/>
    </row>
    <row r="66" spans="4:31" ht="15" thickBot="1" x14ac:dyDescent="0.35">
      <c r="L66" s="216" t="s">
        <v>13</v>
      </c>
      <c r="M66" s="215"/>
      <c r="O66" s="216" t="s">
        <v>13</v>
      </c>
      <c r="P66" s="215"/>
      <c r="R66" s="216" t="s">
        <v>114</v>
      </c>
      <c r="S66" s="215">
        <v>1</v>
      </c>
      <c r="T66" s="215"/>
      <c r="U66" s="215">
        <v>1</v>
      </c>
      <c r="W66" s="216" t="s">
        <v>36</v>
      </c>
      <c r="X66" s="215"/>
      <c r="Y66" s="215">
        <v>1</v>
      </c>
      <c r="Z66" s="215">
        <v>1</v>
      </c>
      <c r="AB66" s="216" t="s">
        <v>35</v>
      </c>
      <c r="AC66" s="215">
        <v>1</v>
      </c>
      <c r="AD66" s="215"/>
      <c r="AE66" s="215">
        <v>1</v>
      </c>
    </row>
    <row r="67" spans="4:31" ht="15" thickBot="1" x14ac:dyDescent="0.35">
      <c r="D67" s="48" t="s">
        <v>4</v>
      </c>
      <c r="E67" s="24" t="s">
        <v>9</v>
      </c>
      <c r="F67" s="136" t="s">
        <v>10</v>
      </c>
      <c r="G67" s="137" t="s">
        <v>129</v>
      </c>
      <c r="L67" s="243" t="s">
        <v>119</v>
      </c>
      <c r="M67" s="215">
        <v>2</v>
      </c>
      <c r="O67" s="243" t="s">
        <v>35</v>
      </c>
      <c r="P67" s="215">
        <v>1</v>
      </c>
      <c r="R67" s="216" t="s">
        <v>103</v>
      </c>
      <c r="S67" s="215">
        <v>2</v>
      </c>
      <c r="T67" s="215">
        <v>1</v>
      </c>
      <c r="U67" s="215">
        <v>3</v>
      </c>
      <c r="W67" s="242" t="s">
        <v>76</v>
      </c>
      <c r="X67" s="215">
        <v>1</v>
      </c>
      <c r="Y67" s="215">
        <v>2</v>
      </c>
      <c r="Z67" s="215">
        <v>3</v>
      </c>
      <c r="AB67" s="249" t="s">
        <v>48</v>
      </c>
      <c r="AC67" s="215"/>
      <c r="AD67" s="215"/>
      <c r="AE67" s="215"/>
    </row>
    <row r="68" spans="4:31" x14ac:dyDescent="0.3">
      <c r="D68" s="49" t="s">
        <v>119</v>
      </c>
      <c r="E68" s="177">
        <f>COUNTIF(Residence,"Alitagtag")</f>
        <v>4</v>
      </c>
      <c r="F68" s="94">
        <f t="shared" ref="F68:F78" si="7">E68/SUM($E$68:$E$78)</f>
        <v>0.11428571428571428</v>
      </c>
      <c r="G68" s="182">
        <f t="shared" ref="G68:G78" si="8">RANK(F68,$F$68:$F$78,0)</f>
        <v>3</v>
      </c>
      <c r="L68" s="243" t="s">
        <v>107</v>
      </c>
      <c r="M68" s="215">
        <v>1</v>
      </c>
      <c r="O68" s="243" t="s">
        <v>36</v>
      </c>
      <c r="P68" s="215">
        <v>11</v>
      </c>
      <c r="R68" s="241" t="s">
        <v>15</v>
      </c>
      <c r="S68" s="215">
        <v>3</v>
      </c>
      <c r="T68" s="215"/>
      <c r="U68" s="215">
        <v>3</v>
      </c>
      <c r="W68" s="216" t="s">
        <v>34</v>
      </c>
      <c r="X68" s="215">
        <v>1</v>
      </c>
      <c r="Y68" s="215">
        <v>1</v>
      </c>
      <c r="Z68" s="215">
        <v>2</v>
      </c>
      <c r="AB68" s="216" t="s">
        <v>34</v>
      </c>
      <c r="AC68" s="215">
        <v>1</v>
      </c>
      <c r="AD68" s="215">
        <v>1</v>
      </c>
      <c r="AE68" s="215">
        <v>2</v>
      </c>
    </row>
    <row r="69" spans="4:31" x14ac:dyDescent="0.3">
      <c r="D69" s="51" t="s">
        <v>107</v>
      </c>
      <c r="E69" s="172">
        <f>COUNTIF(Residence,"Batangas City")</f>
        <v>6</v>
      </c>
      <c r="F69" s="87">
        <f t="shared" si="7"/>
        <v>0.17142857142857143</v>
      </c>
      <c r="G69" s="184">
        <f t="shared" si="8"/>
        <v>2</v>
      </c>
      <c r="L69" s="243" t="s">
        <v>103</v>
      </c>
      <c r="M69" s="215">
        <v>5</v>
      </c>
      <c r="O69" s="216" t="s">
        <v>14</v>
      </c>
      <c r="P69" s="215"/>
      <c r="R69" s="216" t="s">
        <v>117</v>
      </c>
      <c r="S69" s="215">
        <v>1</v>
      </c>
      <c r="T69" s="215"/>
      <c r="U69" s="215">
        <v>1</v>
      </c>
      <c r="W69" s="216" t="s">
        <v>36</v>
      </c>
      <c r="X69" s="215"/>
      <c r="Y69" s="215">
        <v>1</v>
      </c>
      <c r="Z69" s="215">
        <v>1</v>
      </c>
      <c r="AB69" s="216" t="s">
        <v>35</v>
      </c>
      <c r="AC69" s="215"/>
      <c r="AD69" s="215">
        <v>1</v>
      </c>
      <c r="AE69" s="215">
        <v>1</v>
      </c>
    </row>
    <row r="70" spans="4:31" x14ac:dyDescent="0.3">
      <c r="D70" s="51" t="s">
        <v>108</v>
      </c>
      <c r="E70" s="183">
        <f>COUNTIF(Residence,"Cuenca")</f>
        <v>2</v>
      </c>
      <c r="F70" s="87">
        <f t="shared" si="7"/>
        <v>5.7142857142857141E-2</v>
      </c>
      <c r="G70" s="11">
        <f t="shared" si="8"/>
        <v>4</v>
      </c>
      <c r="L70" s="243" t="s">
        <v>126</v>
      </c>
      <c r="M70" s="215">
        <v>1</v>
      </c>
      <c r="O70" s="243" t="s">
        <v>34</v>
      </c>
      <c r="P70" s="215">
        <v>2</v>
      </c>
      <c r="R70" s="216" t="s">
        <v>125</v>
      </c>
      <c r="S70" s="215">
        <v>2</v>
      </c>
      <c r="T70" s="215"/>
      <c r="U70" s="215">
        <v>2</v>
      </c>
      <c r="W70" s="242" t="s">
        <v>81</v>
      </c>
      <c r="X70" s="215">
        <v>2</v>
      </c>
      <c r="Y70" s="215">
        <v>4</v>
      </c>
      <c r="Z70" s="215">
        <v>6</v>
      </c>
      <c r="AB70" s="216" t="s">
        <v>36</v>
      </c>
      <c r="AC70" s="215"/>
      <c r="AD70" s="215">
        <v>1</v>
      </c>
      <c r="AE70" s="215">
        <v>1</v>
      </c>
    </row>
    <row r="71" spans="4:31" x14ac:dyDescent="0.3">
      <c r="D71" s="51" t="s">
        <v>114</v>
      </c>
      <c r="E71" s="183">
        <f>COUNTIF(Residence,"Ibaan")</f>
        <v>2</v>
      </c>
      <c r="F71" s="87">
        <f t="shared" si="7"/>
        <v>5.7142857142857141E-2</v>
      </c>
      <c r="G71" s="173">
        <f t="shared" si="8"/>
        <v>4</v>
      </c>
      <c r="L71" s="243" t="s">
        <v>106</v>
      </c>
      <c r="M71" s="215">
        <v>1</v>
      </c>
      <c r="O71" s="216" t="s">
        <v>16</v>
      </c>
      <c r="P71" s="215"/>
      <c r="R71" s="241" t="s">
        <v>16</v>
      </c>
      <c r="S71" s="215">
        <v>1</v>
      </c>
      <c r="T71" s="215">
        <v>1</v>
      </c>
      <c r="U71" s="215">
        <v>2</v>
      </c>
      <c r="W71" s="216" t="s">
        <v>34</v>
      </c>
      <c r="X71" s="215"/>
      <c r="Y71" s="215">
        <v>1</v>
      </c>
      <c r="Z71" s="215">
        <v>1</v>
      </c>
      <c r="AB71" s="216" t="s">
        <v>118</v>
      </c>
      <c r="AC71" s="215">
        <v>2</v>
      </c>
      <c r="AD71" s="215"/>
      <c r="AE71" s="215">
        <v>2</v>
      </c>
    </row>
    <row r="72" spans="4:31" x14ac:dyDescent="0.3">
      <c r="D72" s="52" t="s">
        <v>103</v>
      </c>
      <c r="E72" s="183">
        <f>COUNTIF(Residence,"Lipa City")</f>
        <v>13</v>
      </c>
      <c r="F72" s="87">
        <f t="shared" si="7"/>
        <v>0.37142857142857144</v>
      </c>
      <c r="G72" s="181">
        <f t="shared" si="8"/>
        <v>1</v>
      </c>
      <c r="H72" s="120"/>
      <c r="L72" s="243" t="s">
        <v>124</v>
      </c>
      <c r="M72" s="215">
        <v>1</v>
      </c>
      <c r="O72" s="243" t="s">
        <v>34</v>
      </c>
      <c r="P72" s="215">
        <v>1</v>
      </c>
      <c r="R72" s="216" t="s">
        <v>114</v>
      </c>
      <c r="S72" s="215"/>
      <c r="T72" s="215">
        <v>1</v>
      </c>
      <c r="U72" s="215">
        <v>1</v>
      </c>
      <c r="W72" s="216" t="s">
        <v>36</v>
      </c>
      <c r="X72" s="215">
        <v>2</v>
      </c>
      <c r="Y72" s="215">
        <v>3</v>
      </c>
      <c r="Z72" s="215">
        <v>5</v>
      </c>
      <c r="AB72" s="216" t="s">
        <v>112</v>
      </c>
      <c r="AC72" s="215">
        <v>2</v>
      </c>
      <c r="AD72" s="215">
        <v>1</v>
      </c>
      <c r="AE72" s="215">
        <v>3</v>
      </c>
    </row>
    <row r="73" spans="4:31" x14ac:dyDescent="0.3">
      <c r="D73" s="52" t="s">
        <v>117</v>
      </c>
      <c r="E73" s="172">
        <f>COUNTIF(Residence,"Rosario")</f>
        <v>2</v>
      </c>
      <c r="F73" s="87">
        <f t="shared" si="7"/>
        <v>5.7142857142857141E-2</v>
      </c>
      <c r="G73" s="11">
        <f t="shared" si="8"/>
        <v>4</v>
      </c>
      <c r="L73" s="243" t="s">
        <v>123</v>
      </c>
      <c r="M73" s="215">
        <v>1</v>
      </c>
      <c r="O73" s="216" t="s">
        <v>17</v>
      </c>
      <c r="P73" s="215"/>
      <c r="R73" s="216" t="s">
        <v>103</v>
      </c>
      <c r="S73" s="215">
        <v>1</v>
      </c>
      <c r="T73" s="215"/>
      <c r="U73" s="215">
        <v>1</v>
      </c>
      <c r="W73" s="242" t="s">
        <v>74</v>
      </c>
      <c r="X73" s="215">
        <v>5</v>
      </c>
      <c r="Y73" s="215">
        <v>4</v>
      </c>
      <c r="Z73" s="215">
        <v>9</v>
      </c>
      <c r="AB73" s="249" t="s">
        <v>83</v>
      </c>
      <c r="AC73" s="215"/>
      <c r="AD73" s="215"/>
      <c r="AE73" s="215"/>
    </row>
    <row r="74" spans="4:31" x14ac:dyDescent="0.3">
      <c r="D74" s="51" t="s">
        <v>126</v>
      </c>
      <c r="E74" s="183">
        <f>COUNTIF(Residence,"San Jose")</f>
        <v>1</v>
      </c>
      <c r="F74" s="87">
        <f t="shared" si="7"/>
        <v>2.8571428571428571E-2</v>
      </c>
      <c r="G74" s="173">
        <f t="shared" si="8"/>
        <v>8</v>
      </c>
      <c r="L74" s="216" t="s">
        <v>14</v>
      </c>
      <c r="M74" s="215"/>
      <c r="O74" s="243" t="s">
        <v>34</v>
      </c>
      <c r="P74" s="215">
        <v>1</v>
      </c>
      <c r="R74" s="241" t="s">
        <v>17</v>
      </c>
      <c r="S74" s="215">
        <v>2</v>
      </c>
      <c r="T74" s="215">
        <v>1</v>
      </c>
      <c r="U74" s="215">
        <v>3</v>
      </c>
      <c r="W74" s="216" t="s">
        <v>34</v>
      </c>
      <c r="X74" s="215">
        <v>1</v>
      </c>
      <c r="Y74" s="215">
        <v>1</v>
      </c>
      <c r="Z74" s="215">
        <v>2</v>
      </c>
      <c r="AB74" s="216" t="s">
        <v>34</v>
      </c>
      <c r="AC74" s="215">
        <v>1</v>
      </c>
      <c r="AD74" s="215"/>
      <c r="AE74" s="215">
        <v>1</v>
      </c>
    </row>
    <row r="75" spans="4:31" x14ac:dyDescent="0.3">
      <c r="D75" s="51" t="s">
        <v>106</v>
      </c>
      <c r="E75" s="183">
        <f>COUNTIF(Residence,"San Juan")</f>
        <v>1</v>
      </c>
      <c r="F75" s="132">
        <f t="shared" si="7"/>
        <v>2.8571428571428571E-2</v>
      </c>
      <c r="G75" s="173">
        <f t="shared" si="8"/>
        <v>8</v>
      </c>
      <c r="L75" s="243" t="s">
        <v>108</v>
      </c>
      <c r="M75" s="215">
        <v>1</v>
      </c>
      <c r="O75" s="216" t="s">
        <v>18</v>
      </c>
      <c r="P75" s="215"/>
      <c r="R75" s="216" t="s">
        <v>119</v>
      </c>
      <c r="S75" s="215">
        <v>1</v>
      </c>
      <c r="T75" s="215"/>
      <c r="U75" s="215">
        <v>1</v>
      </c>
      <c r="W75" s="216" t="s">
        <v>35</v>
      </c>
      <c r="X75" s="215"/>
      <c r="Y75" s="215">
        <v>1</v>
      </c>
      <c r="Z75" s="215">
        <v>1</v>
      </c>
      <c r="AB75" s="216" t="s">
        <v>36</v>
      </c>
      <c r="AC75" s="215"/>
      <c r="AD75" s="215">
        <v>1</v>
      </c>
      <c r="AE75" s="215">
        <v>1</v>
      </c>
    </row>
    <row r="76" spans="4:31" x14ac:dyDescent="0.3">
      <c r="D76" s="51" t="s">
        <v>124</v>
      </c>
      <c r="E76" s="172">
        <f>COUNTIF(Residence,"Santa Teresita")</f>
        <v>1</v>
      </c>
      <c r="F76" s="87">
        <f t="shared" si="7"/>
        <v>2.8571428571428571E-2</v>
      </c>
      <c r="G76" s="173">
        <f t="shared" si="8"/>
        <v>8</v>
      </c>
      <c r="L76" s="243" t="s">
        <v>103</v>
      </c>
      <c r="M76" s="215">
        <v>1</v>
      </c>
      <c r="O76" s="243" t="s">
        <v>34</v>
      </c>
      <c r="P76" s="215">
        <v>1</v>
      </c>
      <c r="R76" s="216" t="s">
        <v>103</v>
      </c>
      <c r="S76" s="215">
        <v>1</v>
      </c>
      <c r="T76" s="215">
        <v>1</v>
      </c>
      <c r="U76" s="215">
        <v>2</v>
      </c>
      <c r="W76" s="216" t="s">
        <v>36</v>
      </c>
      <c r="X76" s="215"/>
      <c r="Y76" s="215">
        <v>1</v>
      </c>
      <c r="Z76" s="215">
        <v>1</v>
      </c>
      <c r="AB76" s="216" t="s">
        <v>118</v>
      </c>
      <c r="AC76" s="215">
        <v>1</v>
      </c>
      <c r="AD76" s="215"/>
      <c r="AE76" s="215">
        <v>1</v>
      </c>
    </row>
    <row r="77" spans="4:31" x14ac:dyDescent="0.3">
      <c r="D77" s="51" t="s">
        <v>125</v>
      </c>
      <c r="E77" s="172">
        <f>COUNTIF(Residence,"Tanauan")</f>
        <v>2</v>
      </c>
      <c r="F77" s="132">
        <f t="shared" si="7"/>
        <v>5.7142857142857141E-2</v>
      </c>
      <c r="G77" s="184">
        <f t="shared" si="8"/>
        <v>4</v>
      </c>
      <c r="L77" s="216" t="s">
        <v>16</v>
      </c>
      <c r="M77" s="215"/>
      <c r="O77" s="243" t="s">
        <v>112</v>
      </c>
      <c r="P77" s="215">
        <v>1</v>
      </c>
      <c r="R77" s="241" t="s">
        <v>18</v>
      </c>
      <c r="S77" s="215">
        <v>1</v>
      </c>
      <c r="T77" s="215">
        <v>2</v>
      </c>
      <c r="U77" s="215">
        <v>3</v>
      </c>
      <c r="W77" s="216" t="s">
        <v>118</v>
      </c>
      <c r="X77" s="215">
        <v>2</v>
      </c>
      <c r="Y77" s="215"/>
      <c r="Z77" s="215">
        <v>2</v>
      </c>
      <c r="AB77" s="249" t="s">
        <v>49</v>
      </c>
      <c r="AC77" s="215"/>
      <c r="AD77" s="215"/>
      <c r="AE77" s="215"/>
    </row>
    <row r="78" spans="4:31" ht="15" thickBot="1" x14ac:dyDescent="0.35">
      <c r="D78" s="108" t="s">
        <v>123</v>
      </c>
      <c r="E78" s="175">
        <f>COUNTIF(Residence,"Taysan")</f>
        <v>1</v>
      </c>
      <c r="F78" s="121">
        <f t="shared" si="7"/>
        <v>2.8571428571428571E-2</v>
      </c>
      <c r="G78" s="134">
        <f t="shared" si="8"/>
        <v>8</v>
      </c>
      <c r="L78" s="243" t="s">
        <v>114</v>
      </c>
      <c r="M78" s="215">
        <v>1</v>
      </c>
      <c r="O78" s="249" t="s">
        <v>150</v>
      </c>
      <c r="P78" s="215">
        <v>35</v>
      </c>
      <c r="R78" s="216" t="s">
        <v>108</v>
      </c>
      <c r="S78" s="215"/>
      <c r="T78" s="215">
        <v>1</v>
      </c>
      <c r="U78" s="215">
        <v>1</v>
      </c>
      <c r="W78" s="216" t="s">
        <v>112</v>
      </c>
      <c r="X78" s="215">
        <v>2</v>
      </c>
      <c r="Y78" s="215">
        <v>1</v>
      </c>
      <c r="Z78" s="215">
        <v>3</v>
      </c>
      <c r="AB78" s="216" t="s">
        <v>34</v>
      </c>
      <c r="AC78" s="215">
        <v>2</v>
      </c>
      <c r="AD78" s="215"/>
      <c r="AE78" s="215">
        <v>2</v>
      </c>
    </row>
    <row r="79" spans="4:31" ht="15" thickBot="1" x14ac:dyDescent="0.35">
      <c r="D79" s="32"/>
      <c r="E79" s="109"/>
      <c r="F79" s="33"/>
      <c r="L79" s="216" t="s">
        <v>17</v>
      </c>
      <c r="M79" s="215"/>
      <c r="R79" s="216" t="s">
        <v>103</v>
      </c>
      <c r="S79" s="215">
        <v>1</v>
      </c>
      <c r="T79" s="215"/>
      <c r="U79" s="215">
        <v>1</v>
      </c>
      <c r="W79" s="242" t="s">
        <v>150</v>
      </c>
      <c r="X79" s="215">
        <v>17</v>
      </c>
      <c r="Y79" s="215">
        <v>18</v>
      </c>
      <c r="Z79" s="215">
        <v>35</v>
      </c>
      <c r="AB79" s="216" t="s">
        <v>36</v>
      </c>
      <c r="AC79" s="215"/>
      <c r="AD79" s="215">
        <v>3</v>
      </c>
      <c r="AE79" s="215">
        <v>3</v>
      </c>
    </row>
    <row r="80" spans="4:31" ht="15" thickBot="1" x14ac:dyDescent="0.35">
      <c r="D80" s="127" t="s">
        <v>11</v>
      </c>
      <c r="E80" s="128">
        <f>SUM(E68:E78)</f>
        <v>35</v>
      </c>
      <c r="F80" s="129">
        <f>SUM(F68:F78)</f>
        <v>1</v>
      </c>
      <c r="L80" s="243" t="s">
        <v>103</v>
      </c>
      <c r="M80" s="215">
        <v>1</v>
      </c>
      <c r="R80" s="216" t="s">
        <v>117</v>
      </c>
      <c r="S80" s="215"/>
      <c r="T80" s="215">
        <v>1</v>
      </c>
      <c r="U80" s="215">
        <v>1</v>
      </c>
      <c r="W80" s="8"/>
      <c r="X80" s="8"/>
      <c r="Y80" s="8"/>
      <c r="Z80" s="8"/>
      <c r="AB80" s="249" t="s">
        <v>150</v>
      </c>
      <c r="AC80" s="215">
        <v>17</v>
      </c>
      <c r="AD80" s="215">
        <v>18</v>
      </c>
      <c r="AE80" s="215">
        <v>35</v>
      </c>
    </row>
    <row r="81" spans="4:31" ht="15" thickBot="1" x14ac:dyDescent="0.35">
      <c r="D81" s="126" t="s">
        <v>131</v>
      </c>
      <c r="E81" s="392" t="str" cm="1">
        <f t="array" ref="E81">_xlfn.TEXTJOIN(", ",TRUE,IF($F$68:$F$78=SMALL($F$68:$F$78,1),$D$68:$D$78,""))</f>
        <v>San Jose, San Juan, Santa Teresita, Taysan</v>
      </c>
      <c r="F81" s="392"/>
      <c r="G81" s="65">
        <f>INDEX($F$68:$F$78,MATCH(SMALL($F$68:$F$78,1),$F$68:$F$78,0))</f>
        <v>2.8571428571428571E-2</v>
      </c>
      <c r="L81" s="216" t="s">
        <v>18</v>
      </c>
      <c r="M81" s="215"/>
      <c r="R81" s="241" t="s">
        <v>150</v>
      </c>
      <c r="S81" s="215">
        <v>17</v>
      </c>
      <c r="T81" s="215">
        <v>18</v>
      </c>
      <c r="U81" s="215">
        <v>35</v>
      </c>
      <c r="W81" s="431" t="s">
        <v>190</v>
      </c>
      <c r="X81" s="432"/>
      <c r="Y81" s="432"/>
      <c r="Z81" s="432"/>
      <c r="AB81" s="9"/>
      <c r="AC81" s="8"/>
      <c r="AD81" s="8"/>
      <c r="AE81" s="8"/>
    </row>
    <row r="82" spans="4:31" ht="15" thickBot="1" x14ac:dyDescent="0.35">
      <c r="D82" s="126" t="s">
        <v>130</v>
      </c>
      <c r="E82" s="392" t="str" cm="1">
        <f t="array" ref="E82">_xlfn.TEXTJOIN(", ",TRUE,IF($F$68:$F$78=LARGE($F$68:$F$78,1),$D$68:$D$78,""))</f>
        <v>Lipa City</v>
      </c>
      <c r="F82" s="392"/>
      <c r="G82" s="65">
        <f>INDEX($F$68:$F$78,MATCH(LARGE($F$68:$F$78,1),$F$68:$F$78,0))</f>
        <v>0.37142857142857144</v>
      </c>
      <c r="L82" s="243" t="s">
        <v>108</v>
      </c>
      <c r="M82" s="215">
        <v>1</v>
      </c>
      <c r="O82" s="214" t="s">
        <v>161</v>
      </c>
      <c r="P82" t="s">
        <v>170</v>
      </c>
      <c r="R82" s="8"/>
      <c r="S82" s="8"/>
      <c r="T82" s="8"/>
      <c r="U82" s="8"/>
      <c r="W82" s="214" t="s">
        <v>168</v>
      </c>
      <c r="X82" s="214" t="s">
        <v>0</v>
      </c>
      <c r="AB82" s="445" t="s">
        <v>191</v>
      </c>
      <c r="AC82" s="446"/>
      <c r="AD82" s="446"/>
      <c r="AE82" s="446"/>
    </row>
    <row r="83" spans="4:31" ht="15" thickBot="1" x14ac:dyDescent="0.35">
      <c r="L83" s="243" t="s">
        <v>117</v>
      </c>
      <c r="M83" s="215">
        <v>1</v>
      </c>
      <c r="O83" s="249" t="s">
        <v>8</v>
      </c>
      <c r="P83" s="215"/>
      <c r="R83" s="8"/>
      <c r="S83" s="8"/>
      <c r="T83" s="8"/>
      <c r="U83" s="8"/>
      <c r="W83" s="214" t="s">
        <v>180</v>
      </c>
      <c r="X83" t="s">
        <v>8</v>
      </c>
      <c r="Y83" t="s">
        <v>7</v>
      </c>
      <c r="Z83" t="s">
        <v>150</v>
      </c>
      <c r="AB83" s="214" t="s">
        <v>168</v>
      </c>
      <c r="AC83" s="214" t="s">
        <v>0</v>
      </c>
    </row>
    <row r="84" spans="4:31" x14ac:dyDescent="0.3">
      <c r="D84" s="361" t="s">
        <v>104</v>
      </c>
      <c r="E84" s="363" t="s">
        <v>9</v>
      </c>
      <c r="F84" s="363" t="s">
        <v>10</v>
      </c>
      <c r="G84" s="413" t="s">
        <v>129</v>
      </c>
      <c r="L84" s="249" t="s">
        <v>150</v>
      </c>
      <c r="M84" s="215">
        <v>35</v>
      </c>
      <c r="O84" s="216" t="s">
        <v>13</v>
      </c>
      <c r="P84" s="215"/>
      <c r="R84" s="430" t="s">
        <v>175</v>
      </c>
      <c r="S84" s="430"/>
      <c r="T84" s="430"/>
      <c r="U84" s="430"/>
      <c r="W84" s="244" t="s">
        <v>77</v>
      </c>
      <c r="X84" s="215"/>
      <c r="Y84" s="215"/>
      <c r="Z84" s="215"/>
      <c r="AB84" s="214" t="s">
        <v>192</v>
      </c>
      <c r="AC84" t="s">
        <v>8</v>
      </c>
      <c r="AD84" t="s">
        <v>7</v>
      </c>
      <c r="AE84" t="s">
        <v>150</v>
      </c>
    </row>
    <row r="85" spans="4:31" ht="15" thickBot="1" x14ac:dyDescent="0.35">
      <c r="D85" s="362"/>
      <c r="E85" s="364"/>
      <c r="F85" s="364"/>
      <c r="G85" s="414"/>
      <c r="O85" s="243" t="s">
        <v>34</v>
      </c>
      <c r="P85" s="215">
        <v>2</v>
      </c>
      <c r="R85" s="214" t="s">
        <v>168</v>
      </c>
      <c r="S85" s="214" t="s">
        <v>0</v>
      </c>
      <c r="W85" s="216" t="s">
        <v>34</v>
      </c>
      <c r="X85" s="215">
        <v>1</v>
      </c>
      <c r="Y85" s="215">
        <v>2</v>
      </c>
      <c r="Z85" s="215">
        <v>3</v>
      </c>
      <c r="AB85" s="249" t="s">
        <v>54</v>
      </c>
      <c r="AC85" s="215"/>
      <c r="AD85" s="215"/>
      <c r="AE85" s="215"/>
    </row>
    <row r="86" spans="4:31" x14ac:dyDescent="0.3">
      <c r="D86" s="49" t="s">
        <v>34</v>
      </c>
      <c r="E86" s="177">
        <f>COUNTIF(Pre_Occupation,"Full-time")</f>
        <v>12</v>
      </c>
      <c r="F86" s="132">
        <f>E86/SUM($E$86:$E$94)</f>
        <v>0.34285714285714286</v>
      </c>
      <c r="G86" s="138">
        <f>RANK(F86,$F$86:$F$94,0)</f>
        <v>2</v>
      </c>
      <c r="O86" s="243" t="s">
        <v>36</v>
      </c>
      <c r="P86" s="215">
        <v>4</v>
      </c>
      <c r="R86" s="214" t="s">
        <v>104</v>
      </c>
      <c r="S86" t="s">
        <v>8</v>
      </c>
      <c r="T86" t="s">
        <v>7</v>
      </c>
      <c r="U86" t="s">
        <v>150</v>
      </c>
      <c r="W86" s="216" t="s">
        <v>35</v>
      </c>
      <c r="X86" s="215"/>
      <c r="Y86" s="215">
        <v>1</v>
      </c>
      <c r="Z86" s="215">
        <v>1</v>
      </c>
      <c r="AB86" s="216" t="s">
        <v>34</v>
      </c>
      <c r="AC86" s="215"/>
      <c r="AD86" s="215">
        <v>1</v>
      </c>
      <c r="AE86" s="215">
        <v>1</v>
      </c>
    </row>
    <row r="87" spans="4:31" x14ac:dyDescent="0.3">
      <c r="D87" s="52" t="s">
        <v>35</v>
      </c>
      <c r="E87" s="172">
        <f>COUNTIF(Pre_Occupation,"Part-time")</f>
        <v>2</v>
      </c>
      <c r="F87" s="87">
        <f>E87/SUM($E$86:$E$94)</f>
        <v>5.7142857142857141E-2</v>
      </c>
      <c r="G87" s="143">
        <f>RANK(F87,$F$86:$F$94,0)</f>
        <v>5</v>
      </c>
      <c r="O87" s="216" t="s">
        <v>14</v>
      </c>
      <c r="P87" s="215"/>
      <c r="R87" s="242" t="s">
        <v>34</v>
      </c>
      <c r="S87" s="215">
        <v>7</v>
      </c>
      <c r="T87" s="215">
        <v>5</v>
      </c>
      <c r="U87" s="215">
        <v>12</v>
      </c>
      <c r="W87" s="244" t="s">
        <v>79</v>
      </c>
      <c r="X87" s="215"/>
      <c r="Y87" s="215"/>
      <c r="Z87" s="215"/>
      <c r="AB87" s="216" t="s">
        <v>35</v>
      </c>
      <c r="AC87" s="215"/>
      <c r="AD87" s="215">
        <v>1</v>
      </c>
      <c r="AE87" s="215">
        <v>1</v>
      </c>
    </row>
    <row r="88" spans="4:31" x14ac:dyDescent="0.3">
      <c r="D88" s="376" t="s">
        <v>112</v>
      </c>
      <c r="E88" s="370">
        <f>COUNTIF(Pre_Occupation,"Unemployed, not looking for work")</f>
        <v>3</v>
      </c>
      <c r="F88" s="407">
        <f>E88/SUM(E86:E94)</f>
        <v>8.5714285714285715E-2</v>
      </c>
      <c r="G88" s="410">
        <f>RANK(F88,$F$86:$F$94,0)</f>
        <v>3</v>
      </c>
      <c r="O88" s="243" t="s">
        <v>34</v>
      </c>
      <c r="P88" s="215">
        <v>3</v>
      </c>
      <c r="R88" s="242" t="s">
        <v>35</v>
      </c>
      <c r="S88" s="215">
        <v>1</v>
      </c>
      <c r="T88" s="215">
        <v>1</v>
      </c>
      <c r="U88" s="215">
        <v>2</v>
      </c>
      <c r="W88" s="216" t="s">
        <v>36</v>
      </c>
      <c r="X88" s="215">
        <v>1</v>
      </c>
      <c r="Y88" s="215">
        <v>1</v>
      </c>
      <c r="Z88" s="215">
        <v>2</v>
      </c>
      <c r="AB88" s="249" t="s">
        <v>51</v>
      </c>
      <c r="AC88" s="215"/>
      <c r="AD88" s="215"/>
      <c r="AE88" s="215"/>
    </row>
    <row r="89" spans="4:31" x14ac:dyDescent="0.3">
      <c r="D89" s="377"/>
      <c r="E89" s="371"/>
      <c r="F89" s="408"/>
      <c r="G89" s="411"/>
      <c r="O89" s="243" t="s">
        <v>118</v>
      </c>
      <c r="P89" s="215">
        <v>1</v>
      </c>
      <c r="R89" s="242" t="s">
        <v>36</v>
      </c>
      <c r="S89" s="215">
        <v>4</v>
      </c>
      <c r="T89" s="215">
        <v>11</v>
      </c>
      <c r="U89" s="215">
        <v>15</v>
      </c>
      <c r="W89" s="244" t="s">
        <v>80</v>
      </c>
      <c r="X89" s="215"/>
      <c r="Y89" s="215"/>
      <c r="Z89" s="215"/>
      <c r="AB89" s="216" t="s">
        <v>34</v>
      </c>
      <c r="AC89" s="215">
        <v>1</v>
      </c>
      <c r="AD89" s="215">
        <v>2</v>
      </c>
      <c r="AE89" s="215">
        <v>3</v>
      </c>
    </row>
    <row r="90" spans="4:31" x14ac:dyDescent="0.3">
      <c r="D90" s="378"/>
      <c r="E90" s="372"/>
      <c r="F90" s="409"/>
      <c r="G90" s="412"/>
      <c r="O90" s="216" t="s">
        <v>15</v>
      </c>
      <c r="P90" s="215"/>
      <c r="R90" s="242" t="s">
        <v>118</v>
      </c>
      <c r="S90" s="215">
        <v>3</v>
      </c>
      <c r="T90" s="215"/>
      <c r="U90" s="215">
        <v>3</v>
      </c>
      <c r="W90" s="216" t="s">
        <v>34</v>
      </c>
      <c r="X90" s="215">
        <v>1</v>
      </c>
      <c r="Y90" s="215">
        <v>1</v>
      </c>
      <c r="Z90" s="215">
        <v>2</v>
      </c>
      <c r="AB90" s="216" t="s">
        <v>36</v>
      </c>
      <c r="AC90" s="215"/>
      <c r="AD90" s="215">
        <v>2</v>
      </c>
      <c r="AE90" s="215">
        <v>2</v>
      </c>
    </row>
    <row r="91" spans="4:31" ht="14.4" customHeight="1" x14ac:dyDescent="0.3">
      <c r="D91" s="376" t="s">
        <v>118</v>
      </c>
      <c r="E91" s="370">
        <f>COUNTIF(Pre_Occupation,"Unemployed, looking for work")</f>
        <v>3</v>
      </c>
      <c r="F91" s="407">
        <f>E91/SUM(E86:E94)</f>
        <v>8.5714285714285715E-2</v>
      </c>
      <c r="G91" s="410">
        <f>RANK(F91,$F$86:$F$94,0)</f>
        <v>3</v>
      </c>
      <c r="O91" s="243" t="s">
        <v>34</v>
      </c>
      <c r="P91" s="215">
        <v>2</v>
      </c>
      <c r="R91" s="242" t="s">
        <v>112</v>
      </c>
      <c r="S91" s="215">
        <v>2</v>
      </c>
      <c r="T91" s="215">
        <v>1</v>
      </c>
      <c r="U91" s="215">
        <v>3</v>
      </c>
      <c r="W91" s="244" t="s">
        <v>78</v>
      </c>
      <c r="X91" s="215"/>
      <c r="Y91" s="215"/>
      <c r="Z91" s="215"/>
      <c r="AB91" s="249" t="s">
        <v>82</v>
      </c>
      <c r="AC91" s="215"/>
      <c r="AD91" s="215"/>
      <c r="AE91" s="215"/>
    </row>
    <row r="92" spans="4:31" x14ac:dyDescent="0.3">
      <c r="D92" s="377"/>
      <c r="E92" s="371"/>
      <c r="F92" s="408"/>
      <c r="G92" s="411"/>
      <c r="O92" s="243" t="s">
        <v>118</v>
      </c>
      <c r="P92" s="215">
        <v>1</v>
      </c>
      <c r="R92" s="242" t="s">
        <v>150</v>
      </c>
      <c r="S92" s="215">
        <v>17</v>
      </c>
      <c r="T92" s="215">
        <v>18</v>
      </c>
      <c r="U92" s="215">
        <v>35</v>
      </c>
      <c r="W92" s="216" t="s">
        <v>34</v>
      </c>
      <c r="X92" s="215">
        <v>1</v>
      </c>
      <c r="Y92" s="215"/>
      <c r="Z92" s="215">
        <v>1</v>
      </c>
      <c r="AB92" s="216" t="s">
        <v>35</v>
      </c>
      <c r="AC92" s="215">
        <v>1</v>
      </c>
      <c r="AD92" s="215"/>
      <c r="AE92" s="215">
        <v>1</v>
      </c>
    </row>
    <row r="93" spans="4:31" ht="14.4" customHeight="1" x14ac:dyDescent="0.3">
      <c r="D93" s="378"/>
      <c r="E93" s="372"/>
      <c r="F93" s="409"/>
      <c r="G93" s="412"/>
      <c r="O93" s="216" t="s">
        <v>16</v>
      </c>
      <c r="P93" s="215"/>
      <c r="R93" s="8"/>
      <c r="S93" s="8"/>
      <c r="T93" s="8"/>
      <c r="U93" s="8"/>
      <c r="W93" s="244" t="s">
        <v>76</v>
      </c>
      <c r="X93" s="215"/>
      <c r="Y93" s="215"/>
      <c r="Z93" s="215"/>
      <c r="AB93" s="249" t="s">
        <v>50</v>
      </c>
      <c r="AC93" s="215"/>
      <c r="AD93" s="215"/>
      <c r="AE93" s="215"/>
    </row>
    <row r="94" spans="4:31" ht="15" customHeight="1" thickBot="1" x14ac:dyDescent="0.35">
      <c r="D94" s="108" t="s">
        <v>36</v>
      </c>
      <c r="E94" s="29">
        <f>COUNTIF(Pre_Occupation,"Student")</f>
        <v>15</v>
      </c>
      <c r="F94" s="121">
        <f>E94/SUM(E86:E94)</f>
        <v>0.42857142857142855</v>
      </c>
      <c r="G94" s="139">
        <f>RANK(F94,$F$86:$F$94,0)</f>
        <v>1</v>
      </c>
      <c r="O94" s="243" t="s">
        <v>34</v>
      </c>
      <c r="P94" s="215">
        <v>1</v>
      </c>
      <c r="R94" s="8"/>
      <c r="S94" s="8"/>
      <c r="T94" s="8"/>
      <c r="U94" s="8"/>
      <c r="W94" s="216" t="s">
        <v>35</v>
      </c>
      <c r="X94" s="215">
        <v>1</v>
      </c>
      <c r="Y94" s="215"/>
      <c r="Z94" s="215">
        <v>1</v>
      </c>
      <c r="AB94" s="216" t="s">
        <v>34</v>
      </c>
      <c r="AC94" s="215">
        <v>1</v>
      </c>
      <c r="AD94" s="215"/>
      <c r="AE94" s="215">
        <v>1</v>
      </c>
    </row>
    <row r="95" spans="4:31" ht="15" thickBot="1" x14ac:dyDescent="0.35">
      <c r="D95" s="32"/>
      <c r="E95" s="33"/>
      <c r="F95" s="33"/>
      <c r="O95" s="216" t="s">
        <v>17</v>
      </c>
      <c r="P95" s="215"/>
      <c r="R95" s="430" t="s">
        <v>176</v>
      </c>
      <c r="S95" s="430"/>
      <c r="T95" s="430"/>
      <c r="U95" s="430"/>
      <c r="W95" s="244" t="s">
        <v>81</v>
      </c>
      <c r="X95" s="215"/>
      <c r="Y95" s="215"/>
      <c r="Z95" s="215"/>
      <c r="AB95" s="216" t="s">
        <v>36</v>
      </c>
      <c r="AC95" s="215"/>
      <c r="AD95" s="215">
        <v>1</v>
      </c>
      <c r="AE95" s="215">
        <v>1</v>
      </c>
    </row>
    <row r="96" spans="4:31" ht="15" thickBot="1" x14ac:dyDescent="0.35">
      <c r="D96" s="127" t="s">
        <v>11</v>
      </c>
      <c r="E96" s="128">
        <f>SUM(E86:E94)</f>
        <v>35</v>
      </c>
      <c r="F96" s="129">
        <f>SUM(F86:F94)</f>
        <v>1</v>
      </c>
      <c r="O96" s="243" t="s">
        <v>34</v>
      </c>
      <c r="P96" s="215">
        <v>1</v>
      </c>
      <c r="R96" s="214" t="s">
        <v>174</v>
      </c>
      <c r="S96" s="214" t="s">
        <v>0</v>
      </c>
      <c r="W96" s="216" t="s">
        <v>34</v>
      </c>
      <c r="X96" s="215"/>
      <c r="Y96" s="215">
        <v>1</v>
      </c>
      <c r="Z96" s="215">
        <v>1</v>
      </c>
      <c r="AB96" s="249" t="s">
        <v>48</v>
      </c>
      <c r="AC96" s="215"/>
      <c r="AD96" s="215"/>
      <c r="AE96" s="215"/>
    </row>
    <row r="97" spans="4:31" ht="15" thickBot="1" x14ac:dyDescent="0.35">
      <c r="D97" s="126" t="s">
        <v>131</v>
      </c>
      <c r="E97" s="392" t="str">
        <f>INDEX($D$86:$D$94,MATCH(SMALL($F$86:$F$94,1),$F$86:$F$94,0))</f>
        <v>Part-time</v>
      </c>
      <c r="F97" s="392"/>
      <c r="G97" s="65" cm="1">
        <f t="array" ref="G97">INDEX($F$86:$F$94,MATCH(E97,$D$86:$D$94,0),0)</f>
        <v>5.7142857142857141E-2</v>
      </c>
      <c r="O97" s="243" t="s">
        <v>35</v>
      </c>
      <c r="P97" s="215">
        <v>1</v>
      </c>
      <c r="R97" s="214" t="s">
        <v>105</v>
      </c>
      <c r="S97" t="s">
        <v>8</v>
      </c>
      <c r="T97" t="s">
        <v>7</v>
      </c>
      <c r="U97" t="s">
        <v>150</v>
      </c>
      <c r="W97" s="216" t="s">
        <v>36</v>
      </c>
      <c r="X97" s="215">
        <v>1</v>
      </c>
      <c r="Y97" s="215">
        <v>2</v>
      </c>
      <c r="Z97" s="215">
        <v>3</v>
      </c>
      <c r="AB97" s="216" t="s">
        <v>34</v>
      </c>
      <c r="AC97" s="215">
        <v>5</v>
      </c>
      <c r="AD97" s="215">
        <v>1</v>
      </c>
      <c r="AE97" s="215">
        <v>6</v>
      </c>
    </row>
    <row r="98" spans="4:31" ht="15" thickBot="1" x14ac:dyDescent="0.35">
      <c r="D98" s="126" t="s">
        <v>130</v>
      </c>
      <c r="E98" s="392" t="str">
        <f>INDEX($D$86:$D$94,MATCH(LARGE($F$86:$F$94,1),$F$86:$F$94,0))</f>
        <v>Student</v>
      </c>
      <c r="F98" s="392"/>
      <c r="G98" s="65" cm="1">
        <f t="array" ref="G98">INDEX($F$86:$F$94,MATCH(E98,$D$86:$D$94,0),0)</f>
        <v>0.42857142857142855</v>
      </c>
      <c r="O98" s="216" t="s">
        <v>18</v>
      </c>
      <c r="P98" s="215"/>
      <c r="R98" s="242" t="s">
        <v>34</v>
      </c>
      <c r="S98" s="215">
        <v>9</v>
      </c>
      <c r="T98" s="215">
        <v>5</v>
      </c>
      <c r="U98" s="215">
        <v>14</v>
      </c>
      <c r="W98" s="244" t="s">
        <v>74</v>
      </c>
      <c r="X98" s="215"/>
      <c r="Y98" s="215"/>
      <c r="Z98" s="215"/>
      <c r="AB98" s="216" t="s">
        <v>35</v>
      </c>
      <c r="AC98" s="215"/>
      <c r="AD98" s="215">
        <v>1</v>
      </c>
      <c r="AE98" s="215">
        <v>1</v>
      </c>
    </row>
    <row r="99" spans="4:31" ht="15" thickBot="1" x14ac:dyDescent="0.35">
      <c r="O99" s="243" t="s">
        <v>112</v>
      </c>
      <c r="P99" s="215">
        <v>1</v>
      </c>
      <c r="R99" s="242" t="s">
        <v>35</v>
      </c>
      <c r="S99" s="215">
        <v>1</v>
      </c>
      <c r="T99" s="215">
        <v>2</v>
      </c>
      <c r="U99" s="215">
        <v>3</v>
      </c>
      <c r="W99" s="216" t="s">
        <v>34</v>
      </c>
      <c r="X99" s="215">
        <v>6</v>
      </c>
      <c r="Y99" s="215">
        <v>1</v>
      </c>
      <c r="Z99" s="215">
        <v>7</v>
      </c>
      <c r="AB99" s="216" t="s">
        <v>36</v>
      </c>
      <c r="AC99" s="215">
        <v>2</v>
      </c>
      <c r="AD99" s="215">
        <v>6</v>
      </c>
      <c r="AE99" s="215">
        <v>8</v>
      </c>
    </row>
    <row r="100" spans="4:31" x14ac:dyDescent="0.3">
      <c r="D100" s="361" t="s">
        <v>105</v>
      </c>
      <c r="E100" s="363" t="s">
        <v>9</v>
      </c>
      <c r="F100" s="365" t="s">
        <v>10</v>
      </c>
      <c r="G100" s="420" t="s">
        <v>129</v>
      </c>
      <c r="O100" s="249" t="s">
        <v>7</v>
      </c>
      <c r="P100" s="215"/>
      <c r="R100" s="242" t="s">
        <v>36</v>
      </c>
      <c r="S100" s="215">
        <v>4</v>
      </c>
      <c r="T100" s="215">
        <v>10</v>
      </c>
      <c r="U100" s="215">
        <v>14</v>
      </c>
      <c r="W100" s="216" t="s">
        <v>35</v>
      </c>
      <c r="X100" s="215"/>
      <c r="Y100" s="215">
        <v>1</v>
      </c>
      <c r="Z100" s="215">
        <v>1</v>
      </c>
      <c r="AB100" s="216" t="s">
        <v>118</v>
      </c>
      <c r="AC100" s="215">
        <v>2</v>
      </c>
      <c r="AD100" s="215">
        <v>1</v>
      </c>
      <c r="AE100" s="215">
        <v>3</v>
      </c>
    </row>
    <row r="101" spans="4:31" ht="15" thickBot="1" x14ac:dyDescent="0.35">
      <c r="D101" s="362"/>
      <c r="E101" s="364"/>
      <c r="F101" s="366"/>
      <c r="G101" s="421"/>
      <c r="O101" s="216" t="s">
        <v>13</v>
      </c>
      <c r="P101" s="215"/>
      <c r="R101" s="242" t="s">
        <v>118</v>
      </c>
      <c r="S101" s="215">
        <v>2</v>
      </c>
      <c r="T101" s="215">
        <v>1</v>
      </c>
      <c r="U101" s="215">
        <v>3</v>
      </c>
      <c r="W101" s="216" t="s">
        <v>118</v>
      </c>
      <c r="X101" s="215">
        <v>2</v>
      </c>
      <c r="Y101" s="215">
        <v>1</v>
      </c>
      <c r="Z101" s="215">
        <v>3</v>
      </c>
      <c r="AB101" s="216" t="s">
        <v>112</v>
      </c>
      <c r="AC101" s="215">
        <v>1</v>
      </c>
      <c r="AD101" s="215"/>
      <c r="AE101" s="215">
        <v>1</v>
      </c>
    </row>
    <row r="102" spans="4:31" x14ac:dyDescent="0.3">
      <c r="D102" s="52" t="s">
        <v>34</v>
      </c>
      <c r="E102" s="183">
        <f>COUNTIF(Post_Occupation,"Full-time")</f>
        <v>14</v>
      </c>
      <c r="F102" s="94">
        <f>E102/SUM(E102:E110)</f>
        <v>0.4</v>
      </c>
      <c r="G102" s="138">
        <f>RANK(F102,$F$102:$F$110,0)</f>
        <v>1</v>
      </c>
      <c r="O102" s="243" t="s">
        <v>35</v>
      </c>
      <c r="P102" s="215">
        <v>2</v>
      </c>
      <c r="R102" s="242" t="s">
        <v>112</v>
      </c>
      <c r="S102" s="215">
        <v>1</v>
      </c>
      <c r="T102" s="215"/>
      <c r="U102" s="215">
        <v>1</v>
      </c>
      <c r="W102" s="216" t="s">
        <v>112</v>
      </c>
      <c r="X102" s="215">
        <v>1</v>
      </c>
      <c r="Y102" s="215"/>
      <c r="Z102" s="215">
        <v>1</v>
      </c>
      <c r="AB102" s="249" t="s">
        <v>83</v>
      </c>
      <c r="AC102" s="215"/>
      <c r="AD102" s="215"/>
      <c r="AE102" s="215"/>
    </row>
    <row r="103" spans="4:31" x14ac:dyDescent="0.3">
      <c r="D103" s="52" t="s">
        <v>35</v>
      </c>
      <c r="E103" s="172">
        <f>COUNTIF(Post_Occupation,"Part-time")</f>
        <v>3</v>
      </c>
      <c r="F103" s="87">
        <f>E103/SUM(E102:E110)</f>
        <v>8.5714285714285715E-2</v>
      </c>
      <c r="G103" s="143">
        <f>RANK(F103,$F$102:$F$110,0)</f>
        <v>3</v>
      </c>
      <c r="O103" s="243" t="s">
        <v>36</v>
      </c>
      <c r="P103" s="215">
        <v>10</v>
      </c>
      <c r="R103" s="242" t="s">
        <v>150</v>
      </c>
      <c r="S103" s="215">
        <v>17</v>
      </c>
      <c r="T103" s="215">
        <v>18</v>
      </c>
      <c r="U103" s="215">
        <v>35</v>
      </c>
      <c r="W103" s="216" t="s">
        <v>36</v>
      </c>
      <c r="X103" s="215">
        <v>2</v>
      </c>
      <c r="Y103" s="215">
        <v>7</v>
      </c>
      <c r="Z103" s="215">
        <v>9</v>
      </c>
      <c r="AB103" s="216" t="s">
        <v>34</v>
      </c>
      <c r="AC103" s="215">
        <v>2</v>
      </c>
      <c r="AD103" s="215"/>
      <c r="AE103" s="215">
        <v>2</v>
      </c>
    </row>
    <row r="104" spans="4:31" x14ac:dyDescent="0.3">
      <c r="D104" s="376" t="s">
        <v>112</v>
      </c>
      <c r="E104" s="370">
        <f>COUNTIF(Post_Occupation,"Unemployed, not looking for work")</f>
        <v>1</v>
      </c>
      <c r="F104" s="407">
        <f>E104/SUM(E102:E110)</f>
        <v>2.8571428571428571E-2</v>
      </c>
      <c r="G104" s="410">
        <f>RANK(F104,$F$102:$F$110,0)</f>
        <v>5</v>
      </c>
      <c r="O104" s="216" t="s">
        <v>14</v>
      </c>
      <c r="P104" s="215"/>
      <c r="R104" s="8"/>
      <c r="S104" s="8"/>
      <c r="T104" s="8"/>
      <c r="U104" s="8"/>
      <c r="W104" s="244" t="s">
        <v>150</v>
      </c>
      <c r="X104" s="215">
        <v>17</v>
      </c>
      <c r="Y104" s="215">
        <v>18</v>
      </c>
      <c r="Z104" s="215">
        <v>35</v>
      </c>
      <c r="AB104" s="216" t="s">
        <v>36</v>
      </c>
      <c r="AC104" s="215">
        <v>2</v>
      </c>
      <c r="AD104" s="215">
        <v>1</v>
      </c>
      <c r="AE104" s="215">
        <v>3</v>
      </c>
    </row>
    <row r="105" spans="4:31" x14ac:dyDescent="0.3">
      <c r="D105" s="377"/>
      <c r="E105" s="371"/>
      <c r="F105" s="408"/>
      <c r="G105" s="411"/>
      <c r="O105" s="243" t="s">
        <v>34</v>
      </c>
      <c r="P105" s="215">
        <v>2</v>
      </c>
      <c r="R105" s="8"/>
      <c r="S105" s="8"/>
      <c r="T105" s="8"/>
      <c r="U105" s="8"/>
      <c r="W105" s="8"/>
      <c r="X105" s="8"/>
      <c r="Y105" s="8"/>
      <c r="Z105" s="8"/>
      <c r="AB105" s="249" t="s">
        <v>49</v>
      </c>
      <c r="AC105" s="215"/>
      <c r="AD105" s="215"/>
      <c r="AE105" s="215"/>
    </row>
    <row r="106" spans="4:31" ht="15" thickBot="1" x14ac:dyDescent="0.35">
      <c r="D106" s="378"/>
      <c r="E106" s="372"/>
      <c r="F106" s="409"/>
      <c r="G106" s="412"/>
      <c r="O106" s="216" t="s">
        <v>16</v>
      </c>
      <c r="P106" s="215"/>
      <c r="W106" s="431" t="s">
        <v>178</v>
      </c>
      <c r="X106" s="432"/>
      <c r="Y106" s="432"/>
      <c r="Z106" s="432"/>
      <c r="AB106" s="216" t="s">
        <v>34</v>
      </c>
      <c r="AC106" s="215"/>
      <c r="AD106" s="215">
        <v>1</v>
      </c>
      <c r="AE106" s="215">
        <v>1</v>
      </c>
    </row>
    <row r="107" spans="4:31" ht="15" thickBot="1" x14ac:dyDescent="0.35">
      <c r="D107" s="376" t="s">
        <v>118</v>
      </c>
      <c r="E107" s="370">
        <f>COUNTIF(Post_Occupation,"Unemployed, looking for work")</f>
        <v>3</v>
      </c>
      <c r="F107" s="407">
        <f>E107/SUM(E102:E110)</f>
        <v>8.5714285714285715E-2</v>
      </c>
      <c r="G107" s="410">
        <f>RANK(F107,$F$102:$F$110,0)</f>
        <v>3</v>
      </c>
      <c r="O107" s="243" t="s">
        <v>34</v>
      </c>
      <c r="P107" s="215">
        <v>1</v>
      </c>
      <c r="R107" s="496" t="s">
        <v>207</v>
      </c>
      <c r="S107" s="495"/>
      <c r="W107" s="214" t="s">
        <v>168</v>
      </c>
      <c r="X107" s="214" t="s">
        <v>0</v>
      </c>
      <c r="AB107" s="249" t="s">
        <v>150</v>
      </c>
      <c r="AC107" s="215">
        <v>17</v>
      </c>
      <c r="AD107" s="215">
        <v>18</v>
      </c>
      <c r="AE107" s="215">
        <v>35</v>
      </c>
    </row>
    <row r="108" spans="4:31" x14ac:dyDescent="0.3">
      <c r="D108" s="377"/>
      <c r="E108" s="371"/>
      <c r="F108" s="408"/>
      <c r="G108" s="411"/>
      <c r="O108" s="216" t="s">
        <v>17</v>
      </c>
      <c r="P108" s="215"/>
      <c r="W108" s="214" t="s">
        <v>179</v>
      </c>
      <c r="X108" t="s">
        <v>8</v>
      </c>
      <c r="Y108" t="s">
        <v>7</v>
      </c>
      <c r="Z108" t="s">
        <v>150</v>
      </c>
      <c r="AB108" s="8"/>
      <c r="AC108" s="8"/>
      <c r="AD108" s="8"/>
      <c r="AE108" s="8"/>
    </row>
    <row r="109" spans="4:31" x14ac:dyDescent="0.3">
      <c r="D109" s="378"/>
      <c r="E109" s="372"/>
      <c r="F109" s="409"/>
      <c r="G109" s="412"/>
      <c r="O109" s="243" t="s">
        <v>34</v>
      </c>
      <c r="P109" s="215">
        <v>1</v>
      </c>
      <c r="W109" s="245" t="s">
        <v>77</v>
      </c>
      <c r="X109" s="215"/>
      <c r="Y109" s="215"/>
      <c r="Z109" s="215"/>
      <c r="AB109" s="445" t="s">
        <v>193</v>
      </c>
      <c r="AC109" s="445"/>
      <c r="AD109" s="445"/>
      <c r="AE109" s="445"/>
    </row>
    <row r="110" spans="4:31" ht="15" thickBot="1" x14ac:dyDescent="0.35">
      <c r="D110" s="108" t="s">
        <v>36</v>
      </c>
      <c r="E110" s="29">
        <f>COUNTIF(Post_Occupation,"Student")</f>
        <v>14</v>
      </c>
      <c r="F110" s="141">
        <f>E110/SUM(E102:E110)</f>
        <v>0.4</v>
      </c>
      <c r="G110" s="140">
        <f>RANK(F110,$F$102:$F$110,0)</f>
        <v>1</v>
      </c>
      <c r="O110" s="216" t="s">
        <v>18</v>
      </c>
      <c r="P110" s="215"/>
      <c r="W110" s="216" t="s">
        <v>13</v>
      </c>
      <c r="X110" s="215">
        <v>3</v>
      </c>
      <c r="Y110" s="215">
        <v>3</v>
      </c>
      <c r="Z110" s="215">
        <v>6</v>
      </c>
      <c r="AB110" s="214" t="s">
        <v>168</v>
      </c>
      <c r="AC110" s="214" t="s">
        <v>0</v>
      </c>
    </row>
    <row r="111" spans="4:31" ht="15" thickBot="1" x14ac:dyDescent="0.35">
      <c r="D111" s="32"/>
      <c r="E111" s="33"/>
      <c r="F111" s="33"/>
      <c r="O111" s="243" t="s">
        <v>34</v>
      </c>
      <c r="P111" s="215">
        <v>1</v>
      </c>
      <c r="W111" s="216" t="s">
        <v>15</v>
      </c>
      <c r="X111" s="215">
        <v>1</v>
      </c>
      <c r="Y111" s="215"/>
      <c r="Z111" s="215">
        <v>1</v>
      </c>
      <c r="AB111" s="214" t="s">
        <v>194</v>
      </c>
      <c r="AC111" t="s">
        <v>8</v>
      </c>
      <c r="AD111" t="s">
        <v>7</v>
      </c>
      <c r="AE111" t="s">
        <v>150</v>
      </c>
    </row>
    <row r="112" spans="4:31" ht="15" thickBot="1" x14ac:dyDescent="0.35">
      <c r="D112" s="28" t="s">
        <v>11</v>
      </c>
      <c r="E112" s="128">
        <f>SUM(E102:E110)</f>
        <v>35</v>
      </c>
      <c r="F112" s="129">
        <f>SUM(F102:F110)</f>
        <v>1</v>
      </c>
      <c r="O112" s="243" t="s">
        <v>118</v>
      </c>
      <c r="P112" s="215">
        <v>1</v>
      </c>
      <c r="W112" s="216" t="s">
        <v>17</v>
      </c>
      <c r="X112" s="215">
        <v>1</v>
      </c>
      <c r="Y112" s="215">
        <v>1</v>
      </c>
      <c r="Z112" s="215">
        <v>2</v>
      </c>
      <c r="AB112" s="244" t="s">
        <v>54</v>
      </c>
      <c r="AC112" s="215"/>
      <c r="AD112" s="215"/>
      <c r="AE112" s="215"/>
    </row>
    <row r="113" spans="4:31" ht="15" thickBot="1" x14ac:dyDescent="0.35">
      <c r="D113" s="126" t="s">
        <v>131</v>
      </c>
      <c r="E113" s="392" t="str" cm="1">
        <f t="array" ref="E113">_xlfn.TEXTJOIN(", ",TRUE,IF($F$102:$F$110=SMALL($F$102:$F$110,1),$D$102:$D$110,""))</f>
        <v>Unemployed, not looking for work</v>
      </c>
      <c r="F113" s="392"/>
      <c r="G113" s="65">
        <f>INDEX($F$102:$F$110,MATCH(SMALL($F$102:$F$110,1),$F$102:$F$110,0))</f>
        <v>2.8571428571428571E-2</v>
      </c>
      <c r="O113" s="249" t="s">
        <v>150</v>
      </c>
      <c r="P113" s="215">
        <v>35</v>
      </c>
      <c r="W113" s="245" t="s">
        <v>79</v>
      </c>
      <c r="X113" s="215"/>
      <c r="Y113" s="215"/>
      <c r="Z113" s="215"/>
      <c r="AB113" s="216" t="s">
        <v>17</v>
      </c>
      <c r="AC113" s="215"/>
      <c r="AD113" s="215">
        <v>1</v>
      </c>
      <c r="AE113" s="215">
        <v>1</v>
      </c>
    </row>
    <row r="114" spans="4:31" ht="15" thickBot="1" x14ac:dyDescent="0.35">
      <c r="D114" s="126" t="s">
        <v>130</v>
      </c>
      <c r="E114" s="392" t="str" cm="1">
        <f t="array" ref="E114">_xlfn.TEXTJOIN(", ",TRUE,IF($F$102:$F$110=LARGE($F$102:$F$110,1),$D$102:$D$110,""))</f>
        <v>Full-time, Student</v>
      </c>
      <c r="F114" s="392"/>
      <c r="G114" s="65">
        <f>INDEX($F$102:$F$110,MATCH(LARGE($F$102:$F$110,1),$F$102:$F$110,0))</f>
        <v>0.4</v>
      </c>
      <c r="W114" s="216" t="s">
        <v>13</v>
      </c>
      <c r="X114" s="215">
        <v>1</v>
      </c>
      <c r="Y114" s="215">
        <v>2</v>
      </c>
      <c r="Z114" s="215">
        <v>3</v>
      </c>
      <c r="AB114" s="244" t="s">
        <v>52</v>
      </c>
      <c r="AC114" s="215"/>
      <c r="AD114" s="215"/>
      <c r="AE114" s="215"/>
    </row>
    <row r="115" spans="4:31" x14ac:dyDescent="0.3">
      <c r="W115" s="245" t="s">
        <v>80</v>
      </c>
      <c r="X115" s="215"/>
      <c r="Y115" s="215"/>
      <c r="Z115" s="215"/>
      <c r="AB115" s="216" t="s">
        <v>13</v>
      </c>
      <c r="AC115" s="215">
        <v>1</v>
      </c>
      <c r="AD115" s="215"/>
      <c r="AE115" s="215">
        <v>1</v>
      </c>
    </row>
    <row r="116" spans="4:31" x14ac:dyDescent="0.3">
      <c r="W116" s="216" t="s">
        <v>14</v>
      </c>
      <c r="X116" s="215">
        <v>1</v>
      </c>
      <c r="Y116" s="215"/>
      <c r="Z116" s="215">
        <v>1</v>
      </c>
      <c r="AB116" s="244" t="s">
        <v>51</v>
      </c>
      <c r="AC116" s="215"/>
      <c r="AD116" s="215"/>
      <c r="AE116" s="215"/>
    </row>
    <row r="117" spans="4:31" x14ac:dyDescent="0.3">
      <c r="W117" s="216" t="s">
        <v>15</v>
      </c>
      <c r="X117" s="215">
        <v>1</v>
      </c>
      <c r="Y117" s="215"/>
      <c r="Z117" s="215">
        <v>1</v>
      </c>
      <c r="AB117" s="216" t="s">
        <v>13</v>
      </c>
      <c r="AC117" s="215">
        <v>3</v>
      </c>
      <c r="AD117" s="215">
        <v>5</v>
      </c>
      <c r="AE117" s="215">
        <v>8</v>
      </c>
    </row>
    <row r="118" spans="4:31" x14ac:dyDescent="0.3">
      <c r="W118" s="216" t="s">
        <v>18</v>
      </c>
      <c r="X118" s="215"/>
      <c r="Y118" s="215">
        <v>1</v>
      </c>
      <c r="Z118" s="215">
        <v>1</v>
      </c>
      <c r="AB118" s="216" t="s">
        <v>14</v>
      </c>
      <c r="AC118" s="215"/>
      <c r="AD118" s="215">
        <v>1</v>
      </c>
      <c r="AE118" s="215">
        <v>1</v>
      </c>
    </row>
    <row r="119" spans="4:31" x14ac:dyDescent="0.3">
      <c r="W119" s="245" t="s">
        <v>78</v>
      </c>
      <c r="X119" s="215"/>
      <c r="Y119" s="215"/>
      <c r="Z119" s="215"/>
      <c r="AB119" s="216" t="s">
        <v>15</v>
      </c>
      <c r="AC119" s="215">
        <v>1</v>
      </c>
      <c r="AD119" s="215"/>
      <c r="AE119" s="215">
        <v>1</v>
      </c>
    </row>
    <row r="120" spans="4:31" x14ac:dyDescent="0.3">
      <c r="W120" s="216" t="s">
        <v>13</v>
      </c>
      <c r="X120" s="215"/>
      <c r="Y120" s="215">
        <v>1</v>
      </c>
      <c r="Z120" s="215">
        <v>1</v>
      </c>
      <c r="AB120" s="216" t="s">
        <v>18</v>
      </c>
      <c r="AC120" s="215"/>
      <c r="AD120" s="215">
        <v>1</v>
      </c>
      <c r="AE120" s="215">
        <v>1</v>
      </c>
    </row>
    <row r="121" spans="4:31" x14ac:dyDescent="0.3">
      <c r="W121" s="216" t="s">
        <v>14</v>
      </c>
      <c r="X121" s="215">
        <v>1</v>
      </c>
      <c r="Y121" s="215"/>
      <c r="Z121" s="215">
        <v>1</v>
      </c>
      <c r="AB121" s="244" t="s">
        <v>82</v>
      </c>
      <c r="AC121" s="215"/>
      <c r="AD121" s="215"/>
      <c r="AE121" s="215"/>
    </row>
    <row r="122" spans="4:31" x14ac:dyDescent="0.3">
      <c r="W122" s="245" t="s">
        <v>76</v>
      </c>
      <c r="X122" s="215"/>
      <c r="Y122" s="215"/>
      <c r="Z122" s="215"/>
      <c r="AB122" s="216" t="s">
        <v>13</v>
      </c>
      <c r="AC122" s="215">
        <v>1</v>
      </c>
      <c r="AD122" s="215">
        <v>1</v>
      </c>
      <c r="AE122" s="215">
        <v>2</v>
      </c>
    </row>
    <row r="123" spans="4:31" x14ac:dyDescent="0.3">
      <c r="D123" s="5" t="s">
        <v>33</v>
      </c>
      <c r="E123" s="5"/>
      <c r="F123" s="447" t="s">
        <v>74</v>
      </c>
      <c r="G123" s="448" t="s">
        <v>48</v>
      </c>
      <c r="H123" s="448" t="s">
        <v>48</v>
      </c>
      <c r="I123" s="448"/>
      <c r="J123" s="449" t="s">
        <v>86</v>
      </c>
      <c r="K123" s="448" t="s">
        <v>93</v>
      </c>
      <c r="L123" s="163"/>
      <c r="W123" s="216" t="s">
        <v>13</v>
      </c>
      <c r="X123" s="215"/>
      <c r="Y123" s="215">
        <v>1</v>
      </c>
      <c r="Z123" s="215">
        <v>1</v>
      </c>
      <c r="AB123" s="216" t="s">
        <v>14</v>
      </c>
      <c r="AC123" s="215">
        <v>1</v>
      </c>
      <c r="AD123" s="215">
        <v>1</v>
      </c>
      <c r="AE123" s="215">
        <v>2</v>
      </c>
    </row>
    <row r="124" spans="4:31" x14ac:dyDescent="0.3">
      <c r="D124" s="5" t="s">
        <v>34</v>
      </c>
      <c r="E124" s="5"/>
      <c r="F124" s="448" t="s">
        <v>76</v>
      </c>
      <c r="G124" s="449" t="s">
        <v>82</v>
      </c>
      <c r="H124" s="448" t="s">
        <v>58</v>
      </c>
      <c r="I124" s="448"/>
      <c r="J124" s="448" t="s">
        <v>87</v>
      </c>
      <c r="K124" s="448" t="s">
        <v>94</v>
      </c>
      <c r="L124" s="163"/>
      <c r="W124" s="216" t="s">
        <v>14</v>
      </c>
      <c r="X124" s="215">
        <v>1</v>
      </c>
      <c r="Y124" s="215">
        <v>1</v>
      </c>
      <c r="Z124" s="215">
        <v>2</v>
      </c>
      <c r="AB124" s="244" t="s">
        <v>50</v>
      </c>
      <c r="AC124" s="215"/>
      <c r="AD124" s="215"/>
      <c r="AE124" s="215"/>
    </row>
    <row r="125" spans="4:31" x14ac:dyDescent="0.3">
      <c r="D125" s="5" t="s">
        <v>35</v>
      </c>
      <c r="E125" s="5"/>
      <c r="F125" s="449" t="s">
        <v>77</v>
      </c>
      <c r="G125" s="448" t="s">
        <v>54</v>
      </c>
      <c r="H125" s="448" t="s">
        <v>59</v>
      </c>
      <c r="I125" s="448"/>
      <c r="J125" s="448" t="s">
        <v>88</v>
      </c>
      <c r="K125" s="448" t="s">
        <v>95</v>
      </c>
      <c r="L125" s="163"/>
      <c r="W125" s="245" t="s">
        <v>81</v>
      </c>
      <c r="X125" s="215"/>
      <c r="Y125" s="215"/>
      <c r="Z125" s="215"/>
      <c r="AB125" s="216" t="s">
        <v>15</v>
      </c>
      <c r="AC125" s="215">
        <v>1</v>
      </c>
      <c r="AD125" s="215"/>
      <c r="AE125" s="215">
        <v>1</v>
      </c>
    </row>
    <row r="126" spans="4:31" x14ac:dyDescent="0.3">
      <c r="D126" s="5" t="s">
        <v>112</v>
      </c>
      <c r="E126" s="5"/>
      <c r="F126" s="448" t="s">
        <v>78</v>
      </c>
      <c r="G126" s="448" t="s">
        <v>49</v>
      </c>
      <c r="H126" s="448" t="s">
        <v>84</v>
      </c>
      <c r="I126" s="448"/>
      <c r="J126" s="448" t="s">
        <v>89</v>
      </c>
      <c r="K126" s="448" t="s">
        <v>96</v>
      </c>
      <c r="L126" s="163"/>
      <c r="W126" s="216" t="s">
        <v>13</v>
      </c>
      <c r="X126" s="215">
        <v>2</v>
      </c>
      <c r="Y126" s="215">
        <v>3</v>
      </c>
      <c r="Z126" s="215">
        <v>5</v>
      </c>
      <c r="AB126" s="244" t="s">
        <v>48</v>
      </c>
      <c r="AC126" s="215"/>
      <c r="AD126" s="215"/>
      <c r="AE126" s="215"/>
    </row>
    <row r="127" spans="4:31" x14ac:dyDescent="0.3">
      <c r="D127" s="5" t="s">
        <v>118</v>
      </c>
      <c r="E127" s="5"/>
      <c r="F127" s="448" t="s">
        <v>79</v>
      </c>
      <c r="G127" s="448" t="s">
        <v>50</v>
      </c>
      <c r="H127" s="448"/>
      <c r="I127" s="448"/>
      <c r="J127" s="448" t="s">
        <v>90</v>
      </c>
      <c r="K127" s="448" t="s">
        <v>97</v>
      </c>
      <c r="L127" s="163"/>
      <c r="W127" s="216" t="s">
        <v>14</v>
      </c>
      <c r="X127" s="215"/>
      <c r="Y127" s="215">
        <v>1</v>
      </c>
      <c r="Z127" s="215">
        <v>1</v>
      </c>
      <c r="AB127" s="216" t="s">
        <v>13</v>
      </c>
      <c r="AC127" s="215"/>
      <c r="AD127" s="215">
        <v>2</v>
      </c>
      <c r="AE127" s="215">
        <v>2</v>
      </c>
    </row>
    <row r="128" spans="4:31" x14ac:dyDescent="0.3">
      <c r="D128" s="5" t="s">
        <v>36</v>
      </c>
      <c r="E128" s="5"/>
      <c r="F128" s="448" t="s">
        <v>80</v>
      </c>
      <c r="G128" s="448" t="s">
        <v>83</v>
      </c>
      <c r="H128" s="448"/>
      <c r="I128" s="448"/>
      <c r="J128" s="448" t="s">
        <v>91</v>
      </c>
      <c r="K128" s="448"/>
      <c r="L128" s="163"/>
      <c r="W128" s="245" t="s">
        <v>74</v>
      </c>
      <c r="X128" s="215"/>
      <c r="Y128" s="215"/>
      <c r="Z128" s="215"/>
      <c r="AB128" s="216" t="s">
        <v>14</v>
      </c>
      <c r="AC128" s="215">
        <v>1</v>
      </c>
      <c r="AD128" s="215"/>
      <c r="AE128" s="215">
        <v>1</v>
      </c>
    </row>
    <row r="129" spans="4:31" x14ac:dyDescent="0.3">
      <c r="D129" s="5"/>
      <c r="E129" s="5"/>
      <c r="F129" s="448" t="s">
        <v>81</v>
      </c>
      <c r="G129" s="450" t="s">
        <v>51</v>
      </c>
      <c r="H129" s="450"/>
      <c r="I129" s="450"/>
      <c r="J129" s="450"/>
      <c r="K129" s="5"/>
      <c r="W129" s="216" t="s">
        <v>13</v>
      </c>
      <c r="X129" s="215"/>
      <c r="Y129" s="215">
        <v>2</v>
      </c>
      <c r="Z129" s="215">
        <v>2</v>
      </c>
      <c r="AB129" s="216" t="s">
        <v>15</v>
      </c>
      <c r="AC129" s="215">
        <v>1</v>
      </c>
      <c r="AD129" s="215"/>
      <c r="AE129" s="215">
        <v>1</v>
      </c>
    </row>
    <row r="130" spans="4:31" x14ac:dyDescent="0.3">
      <c r="D130" s="5"/>
      <c r="E130" s="5"/>
      <c r="F130" s="5"/>
      <c r="G130" s="450" t="s">
        <v>52</v>
      </c>
      <c r="H130" s="450"/>
      <c r="I130" s="450"/>
      <c r="J130" s="450"/>
      <c r="K130" s="5"/>
      <c r="W130" s="216" t="s">
        <v>14</v>
      </c>
      <c r="X130" s="215">
        <v>1</v>
      </c>
      <c r="Y130" s="215"/>
      <c r="Z130" s="215">
        <v>1</v>
      </c>
      <c r="AB130" s="216" t="s">
        <v>16</v>
      </c>
      <c r="AC130" s="215">
        <v>1</v>
      </c>
      <c r="AD130" s="215">
        <v>1</v>
      </c>
      <c r="AE130" s="215">
        <v>2</v>
      </c>
    </row>
    <row r="131" spans="4:31" x14ac:dyDescent="0.3">
      <c r="D131" s="5"/>
      <c r="E131" s="5"/>
      <c r="F131" s="5"/>
      <c r="G131" s="450" t="s">
        <v>53</v>
      </c>
      <c r="H131" s="450"/>
      <c r="I131" s="450"/>
      <c r="J131" s="450"/>
      <c r="K131" s="5"/>
      <c r="W131" s="216" t="s">
        <v>15</v>
      </c>
      <c r="X131" s="215">
        <v>1</v>
      </c>
      <c r="Y131" s="215"/>
      <c r="Z131" s="215">
        <v>1</v>
      </c>
      <c r="AB131" s="216" t="s">
        <v>17</v>
      </c>
      <c r="AC131" s="215">
        <v>1</v>
      </c>
      <c r="AD131" s="215"/>
      <c r="AE131" s="215">
        <v>1</v>
      </c>
    </row>
    <row r="132" spans="4:31" x14ac:dyDescent="0.3">
      <c r="W132" s="216" t="s">
        <v>16</v>
      </c>
      <c r="X132" s="215">
        <v>1</v>
      </c>
      <c r="Y132" s="215">
        <v>1</v>
      </c>
      <c r="Z132" s="215">
        <v>2</v>
      </c>
      <c r="AB132" s="216" t="s">
        <v>18</v>
      </c>
      <c r="AC132" s="215">
        <v>1</v>
      </c>
      <c r="AD132" s="215">
        <v>1</v>
      </c>
      <c r="AE132" s="215">
        <v>2</v>
      </c>
    </row>
    <row r="133" spans="4:31" x14ac:dyDescent="0.3">
      <c r="W133" s="216" t="s">
        <v>17</v>
      </c>
      <c r="X133" s="215">
        <v>1</v>
      </c>
      <c r="Y133" s="215"/>
      <c r="Z133" s="215">
        <v>1</v>
      </c>
      <c r="AB133" s="244" t="s">
        <v>83</v>
      </c>
      <c r="AC133" s="215"/>
      <c r="AD133" s="215"/>
      <c r="AE133" s="215"/>
    </row>
    <row r="134" spans="4:31" x14ac:dyDescent="0.3">
      <c r="W134" s="216" t="s">
        <v>18</v>
      </c>
      <c r="X134" s="215">
        <v>1</v>
      </c>
      <c r="Y134" s="215">
        <v>1</v>
      </c>
      <c r="Z134" s="215">
        <v>2</v>
      </c>
      <c r="AB134" s="216" t="s">
        <v>13</v>
      </c>
      <c r="AC134" s="215">
        <v>1</v>
      </c>
      <c r="AD134" s="215">
        <v>1</v>
      </c>
      <c r="AE134" s="215">
        <v>2</v>
      </c>
    </row>
    <row r="135" spans="4:31" x14ac:dyDescent="0.3">
      <c r="W135" s="245" t="s">
        <v>150</v>
      </c>
      <c r="X135" s="215">
        <v>17</v>
      </c>
      <c r="Y135" s="215">
        <v>18</v>
      </c>
      <c r="Z135" s="215">
        <v>35</v>
      </c>
      <c r="AB135" s="216" t="s">
        <v>14</v>
      </c>
      <c r="AC135" s="215">
        <v>1</v>
      </c>
      <c r="AD135" s="215"/>
      <c r="AE135" s="215">
        <v>1</v>
      </c>
    </row>
    <row r="136" spans="4:31" x14ac:dyDescent="0.3">
      <c r="W136" s="8"/>
      <c r="X136" s="8"/>
      <c r="Y136" s="8"/>
      <c r="Z136" s="8"/>
      <c r="AB136" s="244" t="s">
        <v>49</v>
      </c>
      <c r="AC136" s="215"/>
      <c r="AD136" s="215"/>
      <c r="AE136" s="215"/>
    </row>
    <row r="137" spans="4:31" x14ac:dyDescent="0.3">
      <c r="W137" s="431" t="s">
        <v>184</v>
      </c>
      <c r="X137" s="432"/>
      <c r="Y137" s="432"/>
      <c r="Z137" s="432"/>
      <c r="AB137" s="216" t="s">
        <v>13</v>
      </c>
      <c r="AC137" s="215"/>
      <c r="AD137" s="215">
        <v>3</v>
      </c>
      <c r="AE137" s="215">
        <v>3</v>
      </c>
    </row>
    <row r="138" spans="4:31" x14ac:dyDescent="0.3">
      <c r="W138" s="214" t="s">
        <v>168</v>
      </c>
      <c r="X138" s="214" t="s">
        <v>0</v>
      </c>
      <c r="AB138" s="216" t="s">
        <v>14</v>
      </c>
      <c r="AC138" s="215">
        <v>1</v>
      </c>
      <c r="AD138" s="215"/>
      <c r="AE138" s="215">
        <v>1</v>
      </c>
    </row>
    <row r="139" spans="4:31" ht="14.4" customHeight="1" x14ac:dyDescent="0.3">
      <c r="W139" s="214" t="s">
        <v>179</v>
      </c>
      <c r="X139" t="s">
        <v>8</v>
      </c>
      <c r="Y139" t="s">
        <v>7</v>
      </c>
      <c r="Z139" t="s">
        <v>150</v>
      </c>
      <c r="AB139" s="216" t="s">
        <v>17</v>
      </c>
      <c r="AC139" s="215">
        <v>1</v>
      </c>
      <c r="AD139" s="215"/>
      <c r="AE139" s="215">
        <v>1</v>
      </c>
    </row>
    <row r="140" spans="4:31" ht="14.4" customHeight="1" x14ac:dyDescent="0.3">
      <c r="W140" s="245" t="s">
        <v>77</v>
      </c>
      <c r="X140" s="215"/>
      <c r="Y140" s="215"/>
      <c r="Z140" s="215"/>
      <c r="AB140" s="244" t="s">
        <v>150</v>
      </c>
      <c r="AC140" s="215">
        <v>17</v>
      </c>
      <c r="AD140" s="215">
        <v>18</v>
      </c>
      <c r="AE140" s="215">
        <v>35</v>
      </c>
    </row>
    <row r="141" spans="4:31" x14ac:dyDescent="0.3">
      <c r="W141" s="216" t="s">
        <v>13</v>
      </c>
      <c r="X141" s="215"/>
      <c r="Y141" s="215">
        <v>1</v>
      </c>
      <c r="Z141" s="215">
        <v>1</v>
      </c>
    </row>
    <row r="142" spans="4:31" x14ac:dyDescent="0.3">
      <c r="W142" s="216" t="s">
        <v>14</v>
      </c>
      <c r="X142" s="215"/>
      <c r="Y142" s="215">
        <v>1</v>
      </c>
      <c r="Z142" s="215">
        <v>1</v>
      </c>
      <c r="AB142" s="445" t="s">
        <v>195</v>
      </c>
      <c r="AC142" s="445"/>
      <c r="AD142" s="445"/>
      <c r="AE142" s="445"/>
    </row>
    <row r="143" spans="4:31" x14ac:dyDescent="0.3">
      <c r="W143" s="216" t="s">
        <v>17</v>
      </c>
      <c r="X143" s="215">
        <v>1</v>
      </c>
      <c r="Y143" s="215">
        <v>1</v>
      </c>
      <c r="Z143" s="215">
        <v>2</v>
      </c>
      <c r="AB143" s="214" t="s">
        <v>168</v>
      </c>
      <c r="AC143" s="214" t="s">
        <v>0</v>
      </c>
    </row>
    <row r="144" spans="4:31" x14ac:dyDescent="0.3">
      <c r="W144" s="245" t="s">
        <v>79</v>
      </c>
      <c r="X144" s="215"/>
      <c r="Y144" s="215"/>
      <c r="Z144" s="215"/>
      <c r="AB144" s="214" t="s">
        <v>194</v>
      </c>
      <c r="AC144" t="s">
        <v>8</v>
      </c>
      <c r="AD144" t="s">
        <v>7</v>
      </c>
      <c r="AE144" t="s">
        <v>150</v>
      </c>
    </row>
    <row r="145" spans="23:31" x14ac:dyDescent="0.3">
      <c r="W145" s="216" t="s">
        <v>13</v>
      </c>
      <c r="X145" s="215">
        <v>1</v>
      </c>
      <c r="Y145" s="215">
        <v>1</v>
      </c>
      <c r="Z145" s="215">
        <v>2</v>
      </c>
      <c r="AB145" s="249" t="s">
        <v>54</v>
      </c>
      <c r="AC145" s="215"/>
      <c r="AD145" s="215"/>
      <c r="AE145" s="215"/>
    </row>
    <row r="146" spans="23:31" x14ac:dyDescent="0.3">
      <c r="W146" s="245" t="s">
        <v>80</v>
      </c>
      <c r="X146" s="215"/>
      <c r="Y146" s="215"/>
      <c r="Z146" s="215"/>
      <c r="AB146" s="216" t="s">
        <v>13</v>
      </c>
      <c r="AC146" s="215"/>
      <c r="AD146" s="215">
        <v>1</v>
      </c>
      <c r="AE146" s="215">
        <v>1</v>
      </c>
    </row>
    <row r="147" spans="23:31" x14ac:dyDescent="0.3">
      <c r="W147" s="216" t="s">
        <v>15</v>
      </c>
      <c r="X147" s="215">
        <v>1</v>
      </c>
      <c r="Y147" s="215"/>
      <c r="Z147" s="215">
        <v>1</v>
      </c>
      <c r="AB147" s="216" t="s">
        <v>17</v>
      </c>
      <c r="AC147" s="215"/>
      <c r="AD147" s="215">
        <v>1</v>
      </c>
      <c r="AE147" s="215">
        <v>1</v>
      </c>
    </row>
    <row r="148" spans="23:31" x14ac:dyDescent="0.3">
      <c r="W148" s="216" t="s">
        <v>18</v>
      </c>
      <c r="X148" s="215"/>
      <c r="Y148" s="215">
        <v>1</v>
      </c>
      <c r="Z148" s="215">
        <v>1</v>
      </c>
      <c r="AB148" s="249" t="s">
        <v>51</v>
      </c>
      <c r="AC148" s="215"/>
      <c r="AD148" s="215"/>
      <c r="AE148" s="215"/>
    </row>
    <row r="149" spans="23:31" x14ac:dyDescent="0.3">
      <c r="W149" s="245" t="s">
        <v>78</v>
      </c>
      <c r="X149" s="215"/>
      <c r="Y149" s="215"/>
      <c r="Z149" s="215"/>
      <c r="AB149" s="216" t="s">
        <v>13</v>
      </c>
      <c r="AC149" s="215"/>
      <c r="AD149" s="215">
        <v>2</v>
      </c>
      <c r="AE149" s="215">
        <v>2</v>
      </c>
    </row>
    <row r="150" spans="23:31" x14ac:dyDescent="0.3">
      <c r="W150" s="216" t="s">
        <v>14</v>
      </c>
      <c r="X150" s="215">
        <v>1</v>
      </c>
      <c r="Y150" s="215"/>
      <c r="Z150" s="215">
        <v>1</v>
      </c>
      <c r="AA150" t="s">
        <v>185</v>
      </c>
      <c r="AB150" s="216" t="s">
        <v>14</v>
      </c>
      <c r="AC150" s="215"/>
      <c r="AD150" s="215">
        <v>1</v>
      </c>
      <c r="AE150" s="215">
        <v>1</v>
      </c>
    </row>
    <row r="151" spans="23:31" x14ac:dyDescent="0.3">
      <c r="W151" s="245" t="s">
        <v>76</v>
      </c>
      <c r="X151" s="215"/>
      <c r="Y151" s="215"/>
      <c r="Z151" s="215"/>
      <c r="AB151" s="216" t="s">
        <v>15</v>
      </c>
      <c r="AC151" s="215">
        <v>1</v>
      </c>
      <c r="AD151" s="215"/>
      <c r="AE151" s="215">
        <v>1</v>
      </c>
    </row>
    <row r="152" spans="23:31" x14ac:dyDescent="0.3">
      <c r="W152" s="216" t="s">
        <v>17</v>
      </c>
      <c r="X152" s="215">
        <v>1</v>
      </c>
      <c r="Y152" s="215"/>
      <c r="Z152" s="215">
        <v>1</v>
      </c>
      <c r="AB152" s="216" t="s">
        <v>18</v>
      </c>
      <c r="AC152" s="215"/>
      <c r="AD152" s="215">
        <v>1</v>
      </c>
      <c r="AE152" s="215">
        <v>1</v>
      </c>
    </row>
    <row r="153" spans="23:31" x14ac:dyDescent="0.3">
      <c r="W153" s="245" t="s">
        <v>81</v>
      </c>
      <c r="X153" s="215"/>
      <c r="Y153" s="215"/>
      <c r="Z153" s="215"/>
      <c r="AB153" s="249" t="s">
        <v>82</v>
      </c>
      <c r="AC153" s="215"/>
      <c r="AD153" s="215"/>
      <c r="AE153" s="215"/>
    </row>
    <row r="154" spans="23:31" x14ac:dyDescent="0.3">
      <c r="W154" s="216" t="s">
        <v>13</v>
      </c>
      <c r="X154" s="215">
        <v>1</v>
      </c>
      <c r="Y154" s="215">
        <v>2</v>
      </c>
      <c r="Z154" s="215">
        <v>3</v>
      </c>
      <c r="AB154" s="216" t="s">
        <v>17</v>
      </c>
      <c r="AC154" s="215">
        <v>1</v>
      </c>
      <c r="AD154" s="215"/>
      <c r="AE154" s="215">
        <v>1</v>
      </c>
    </row>
    <row r="155" spans="23:31" x14ac:dyDescent="0.3">
      <c r="W155" s="216" t="s">
        <v>14</v>
      </c>
      <c r="X155" s="215"/>
      <c r="Y155" s="215">
        <v>1</v>
      </c>
      <c r="Z155" s="215">
        <v>1</v>
      </c>
      <c r="AB155" s="249" t="s">
        <v>50</v>
      </c>
      <c r="AC155" s="215"/>
      <c r="AD155" s="215"/>
      <c r="AE155" s="215"/>
    </row>
    <row r="156" spans="23:31" x14ac:dyDescent="0.3">
      <c r="W156" s="245" t="s">
        <v>74</v>
      </c>
      <c r="X156" s="215"/>
      <c r="Y156" s="215"/>
      <c r="Z156" s="215"/>
      <c r="AB156" s="216" t="s">
        <v>13</v>
      </c>
      <c r="AC156" s="215"/>
      <c r="AD156" s="215">
        <v>1</v>
      </c>
      <c r="AE156" s="215">
        <v>1</v>
      </c>
    </row>
    <row r="157" spans="23:31" x14ac:dyDescent="0.3">
      <c r="W157" s="216" t="s">
        <v>13</v>
      </c>
      <c r="X157" s="215">
        <v>4</v>
      </c>
      <c r="Y157" s="215">
        <v>8</v>
      </c>
      <c r="Z157" s="215">
        <v>12</v>
      </c>
      <c r="AB157" s="216" t="s">
        <v>14</v>
      </c>
      <c r="AC157" s="215">
        <v>1</v>
      </c>
      <c r="AD157" s="215"/>
      <c r="AE157" s="215">
        <v>1</v>
      </c>
    </row>
    <row r="158" spans="23:31" x14ac:dyDescent="0.3">
      <c r="W158" s="216" t="s">
        <v>14</v>
      </c>
      <c r="X158" s="215">
        <v>3</v>
      </c>
      <c r="Y158" s="215"/>
      <c r="Z158" s="215">
        <v>3</v>
      </c>
      <c r="AB158" s="249" t="s">
        <v>48</v>
      </c>
      <c r="AC158" s="215"/>
      <c r="AD158" s="215"/>
      <c r="AE158" s="215"/>
    </row>
    <row r="159" spans="23:31" x14ac:dyDescent="0.3">
      <c r="W159" s="216" t="s">
        <v>15</v>
      </c>
      <c r="X159" s="215">
        <v>2</v>
      </c>
      <c r="Y159" s="215"/>
      <c r="Z159" s="215">
        <v>2</v>
      </c>
      <c r="AB159" s="216" t="s">
        <v>13</v>
      </c>
      <c r="AC159" s="215">
        <v>4</v>
      </c>
      <c r="AD159" s="215">
        <v>7</v>
      </c>
      <c r="AE159" s="215">
        <v>11</v>
      </c>
    </row>
    <row r="160" spans="23:31" x14ac:dyDescent="0.3">
      <c r="W160" s="216" t="s">
        <v>16</v>
      </c>
      <c r="X160" s="215">
        <v>1</v>
      </c>
      <c r="Y160" s="215">
        <v>1</v>
      </c>
      <c r="Z160" s="215">
        <v>2</v>
      </c>
      <c r="AB160" s="216" t="s">
        <v>14</v>
      </c>
      <c r="AC160" s="215">
        <v>2</v>
      </c>
      <c r="AD160" s="215"/>
      <c r="AE160" s="215">
        <v>2</v>
      </c>
    </row>
    <row r="161" spans="23:31" x14ac:dyDescent="0.3">
      <c r="W161" s="216" t="s">
        <v>18</v>
      </c>
      <c r="X161" s="215">
        <v>1</v>
      </c>
      <c r="Y161" s="215">
        <v>1</v>
      </c>
      <c r="Z161" s="215">
        <v>2</v>
      </c>
      <c r="AB161" s="216" t="s">
        <v>15</v>
      </c>
      <c r="AC161" s="215">
        <v>2</v>
      </c>
      <c r="AD161" s="215"/>
      <c r="AE161" s="215">
        <v>2</v>
      </c>
    </row>
    <row r="162" spans="23:31" x14ac:dyDescent="0.3">
      <c r="W162" s="245" t="s">
        <v>150</v>
      </c>
      <c r="X162" s="215">
        <v>17</v>
      </c>
      <c r="Y162" s="215">
        <v>18</v>
      </c>
      <c r="Z162" s="215">
        <v>35</v>
      </c>
      <c r="AB162" s="216" t="s">
        <v>16</v>
      </c>
      <c r="AC162" s="215">
        <v>1</v>
      </c>
      <c r="AD162" s="215">
        <v>1</v>
      </c>
      <c r="AE162" s="215">
        <v>2</v>
      </c>
    </row>
    <row r="163" spans="23:31" x14ac:dyDescent="0.3">
      <c r="W163" s="8"/>
      <c r="X163" s="8"/>
      <c r="Y163" s="8"/>
      <c r="Z163" s="8"/>
      <c r="AB163" s="216" t="s">
        <v>18</v>
      </c>
      <c r="AC163" s="215">
        <v>1</v>
      </c>
      <c r="AD163" s="215">
        <v>1</v>
      </c>
      <c r="AE163" s="215">
        <v>2</v>
      </c>
    </row>
    <row r="164" spans="23:31" x14ac:dyDescent="0.3">
      <c r="W164" s="431" t="s">
        <v>186</v>
      </c>
      <c r="X164" s="432"/>
      <c r="Y164" s="432"/>
      <c r="Z164" s="432"/>
      <c r="AB164" s="249" t="s">
        <v>83</v>
      </c>
      <c r="AC164" s="215"/>
      <c r="AD164" s="215"/>
      <c r="AE164" s="215"/>
    </row>
    <row r="165" spans="23:31" x14ac:dyDescent="0.3">
      <c r="W165" s="214" t="s">
        <v>168</v>
      </c>
      <c r="X165" s="214" t="s">
        <v>0</v>
      </c>
      <c r="AB165" s="216" t="s">
        <v>13</v>
      </c>
      <c r="AC165" s="215">
        <v>2</v>
      </c>
      <c r="AD165" s="215">
        <v>1</v>
      </c>
      <c r="AE165" s="215">
        <v>3</v>
      </c>
    </row>
    <row r="166" spans="23:31" x14ac:dyDescent="0.3">
      <c r="W166" s="214" t="s">
        <v>183</v>
      </c>
      <c r="X166" t="s">
        <v>8</v>
      </c>
      <c r="Y166" t="s">
        <v>7</v>
      </c>
      <c r="Z166" t="s">
        <v>150</v>
      </c>
      <c r="AB166" s="216" t="s">
        <v>14</v>
      </c>
      <c r="AC166" s="215">
        <v>1</v>
      </c>
      <c r="AD166" s="215"/>
      <c r="AE166" s="215">
        <v>1</v>
      </c>
    </row>
    <row r="167" spans="23:31" x14ac:dyDescent="0.3">
      <c r="W167" s="249" t="s">
        <v>77</v>
      </c>
      <c r="X167" s="215"/>
      <c r="Y167" s="215"/>
      <c r="Z167" s="215"/>
      <c r="AB167" s="216" t="s">
        <v>17</v>
      </c>
      <c r="AC167" s="215">
        <v>1</v>
      </c>
      <c r="AD167" s="215"/>
      <c r="AE167" s="215">
        <v>1</v>
      </c>
    </row>
    <row r="168" spans="23:31" x14ac:dyDescent="0.3">
      <c r="W168" s="216" t="s">
        <v>107</v>
      </c>
      <c r="X168" s="215">
        <v>3</v>
      </c>
      <c r="Y168" s="215">
        <v>1</v>
      </c>
      <c r="Z168" s="215">
        <v>4</v>
      </c>
      <c r="AB168" s="249" t="s">
        <v>49</v>
      </c>
      <c r="AC168" s="215"/>
      <c r="AD168" s="215"/>
      <c r="AE168" s="215"/>
    </row>
    <row r="169" spans="23:31" x14ac:dyDescent="0.3">
      <c r="W169" s="216" t="s">
        <v>103</v>
      </c>
      <c r="X169" s="215">
        <v>1</v>
      </c>
      <c r="Y169" s="215">
        <v>3</v>
      </c>
      <c r="Z169" s="215">
        <v>4</v>
      </c>
      <c r="AB169" s="216" t="s">
        <v>14</v>
      </c>
      <c r="AC169" s="215"/>
      <c r="AD169" s="215">
        <v>1</v>
      </c>
      <c r="AE169" s="215">
        <v>1</v>
      </c>
    </row>
    <row r="170" spans="23:31" x14ac:dyDescent="0.3">
      <c r="W170" s="216" t="s">
        <v>117</v>
      </c>
      <c r="X170" s="215">
        <v>1</v>
      </c>
      <c r="Y170" s="215"/>
      <c r="Z170" s="215">
        <v>1</v>
      </c>
      <c r="AB170" s="249" t="s">
        <v>150</v>
      </c>
      <c r="AC170" s="215">
        <v>17</v>
      </c>
      <c r="AD170" s="215">
        <v>18</v>
      </c>
      <c r="AE170" s="215">
        <v>35</v>
      </c>
    </row>
    <row r="171" spans="23:31" x14ac:dyDescent="0.3">
      <c r="W171" s="249" t="s">
        <v>79</v>
      </c>
      <c r="X171" s="215"/>
      <c r="Y171" s="215"/>
      <c r="Z171" s="215"/>
      <c r="AB171" s="8"/>
      <c r="AC171" s="8"/>
      <c r="AD171" s="8"/>
      <c r="AE171" s="8"/>
    </row>
    <row r="172" spans="23:31" x14ac:dyDescent="0.3">
      <c r="W172" s="216" t="s">
        <v>119</v>
      </c>
      <c r="X172" s="215"/>
      <c r="Y172" s="215">
        <v>1</v>
      </c>
      <c r="Z172" s="215">
        <v>1</v>
      </c>
      <c r="AB172" s="445" t="s">
        <v>198</v>
      </c>
      <c r="AC172" s="445"/>
      <c r="AD172" s="445"/>
      <c r="AE172" s="445"/>
    </row>
    <row r="173" spans="23:31" x14ac:dyDescent="0.3">
      <c r="W173" s="216" t="s">
        <v>107</v>
      </c>
      <c r="X173" s="215">
        <v>1</v>
      </c>
      <c r="Y173" s="215"/>
      <c r="Z173" s="215">
        <v>1</v>
      </c>
      <c r="AB173" s="214" t="s">
        <v>168</v>
      </c>
      <c r="AC173" s="214" t="s">
        <v>0</v>
      </c>
    </row>
    <row r="174" spans="23:31" x14ac:dyDescent="0.3">
      <c r="W174" s="216" t="s">
        <v>123</v>
      </c>
      <c r="X174" s="215"/>
      <c r="Y174" s="215">
        <v>1</v>
      </c>
      <c r="Z174" s="215">
        <v>1</v>
      </c>
      <c r="AB174" s="214" t="s">
        <v>197</v>
      </c>
      <c r="AC174" t="s">
        <v>8</v>
      </c>
      <c r="AD174" t="s">
        <v>7</v>
      </c>
      <c r="AE174" t="s">
        <v>150</v>
      </c>
    </row>
    <row r="175" spans="23:31" x14ac:dyDescent="0.3">
      <c r="W175" s="249" t="s">
        <v>80</v>
      </c>
      <c r="X175" s="215"/>
      <c r="Y175" s="215"/>
      <c r="Z175" s="215"/>
      <c r="AB175" s="249" t="s">
        <v>54</v>
      </c>
      <c r="AC175" s="215"/>
      <c r="AD175" s="215"/>
      <c r="AE175" s="215"/>
    </row>
    <row r="176" spans="23:31" x14ac:dyDescent="0.3">
      <c r="W176" s="216" t="s">
        <v>107</v>
      </c>
      <c r="X176" s="215">
        <v>1</v>
      </c>
      <c r="Y176" s="215"/>
      <c r="Z176" s="215">
        <v>1</v>
      </c>
      <c r="AB176" s="216" t="s">
        <v>103</v>
      </c>
      <c r="AC176" s="215"/>
      <c r="AD176" s="215">
        <v>1</v>
      </c>
      <c r="AE176" s="215">
        <v>1</v>
      </c>
    </row>
    <row r="177" spans="23:31" x14ac:dyDescent="0.3">
      <c r="W177" s="216" t="s">
        <v>117</v>
      </c>
      <c r="X177" s="215"/>
      <c r="Y177" s="215">
        <v>1</v>
      </c>
      <c r="Z177" s="215">
        <v>1</v>
      </c>
      <c r="AB177" s="249" t="s">
        <v>52</v>
      </c>
      <c r="AC177" s="215"/>
      <c r="AD177" s="215"/>
      <c r="AE177" s="215"/>
    </row>
    <row r="178" spans="23:31" x14ac:dyDescent="0.3">
      <c r="W178" s="216" t="s">
        <v>125</v>
      </c>
      <c r="X178" s="215">
        <v>1</v>
      </c>
      <c r="Y178" s="215"/>
      <c r="Z178" s="215">
        <v>1</v>
      </c>
      <c r="AB178" s="216" t="s">
        <v>103</v>
      </c>
      <c r="AC178" s="215">
        <v>1</v>
      </c>
      <c r="AD178" s="215"/>
      <c r="AE178" s="215">
        <v>1</v>
      </c>
    </row>
    <row r="179" spans="23:31" x14ac:dyDescent="0.3">
      <c r="W179" s="249" t="s">
        <v>78</v>
      </c>
      <c r="X179" s="215"/>
      <c r="Y179" s="215"/>
      <c r="Z179" s="215"/>
      <c r="AB179" s="249" t="s">
        <v>51</v>
      </c>
      <c r="AC179" s="215"/>
      <c r="AD179" s="215"/>
      <c r="AE179" s="215"/>
    </row>
    <row r="180" spans="23:31" x14ac:dyDescent="0.3">
      <c r="W180" s="216" t="s">
        <v>103</v>
      </c>
      <c r="X180" s="215">
        <v>1</v>
      </c>
      <c r="Y180" s="215">
        <v>1</v>
      </c>
      <c r="Z180" s="215">
        <v>2</v>
      </c>
      <c r="AB180" s="216" t="s">
        <v>119</v>
      </c>
      <c r="AC180" s="215"/>
      <c r="AD180" s="215">
        <v>2</v>
      </c>
      <c r="AE180" s="215">
        <v>2</v>
      </c>
    </row>
    <row r="181" spans="23:31" x14ac:dyDescent="0.3">
      <c r="W181" s="249" t="s">
        <v>76</v>
      </c>
      <c r="X181" s="215"/>
      <c r="Y181" s="215"/>
      <c r="Z181" s="215"/>
      <c r="AB181" s="216" t="s">
        <v>107</v>
      </c>
      <c r="AC181" s="215">
        <v>3</v>
      </c>
      <c r="AD181" s="215"/>
      <c r="AE181" s="215">
        <v>3</v>
      </c>
    </row>
    <row r="182" spans="23:31" x14ac:dyDescent="0.3">
      <c r="W182" s="216" t="s">
        <v>114</v>
      </c>
      <c r="X182" s="215">
        <v>1</v>
      </c>
      <c r="Y182" s="215"/>
      <c r="Z182" s="215">
        <v>1</v>
      </c>
      <c r="AB182" s="216" t="s">
        <v>108</v>
      </c>
      <c r="AC182" s="215"/>
      <c r="AD182" s="215">
        <v>1</v>
      </c>
      <c r="AE182" s="215">
        <v>1</v>
      </c>
    </row>
    <row r="183" spans="23:31" x14ac:dyDescent="0.3">
      <c r="W183" s="216" t="s">
        <v>103</v>
      </c>
      <c r="X183" s="215"/>
      <c r="Y183" s="215">
        <v>1</v>
      </c>
      <c r="Z183" s="215">
        <v>1</v>
      </c>
      <c r="AB183" s="216" t="s">
        <v>103</v>
      </c>
      <c r="AC183" s="215"/>
      <c r="AD183" s="215">
        <v>1</v>
      </c>
      <c r="AE183" s="215">
        <v>1</v>
      </c>
    </row>
    <row r="184" spans="23:31" x14ac:dyDescent="0.3">
      <c r="W184" s="216" t="s">
        <v>106</v>
      </c>
      <c r="X184" s="215"/>
      <c r="Y184" s="215">
        <v>1</v>
      </c>
      <c r="Z184" s="215">
        <v>1</v>
      </c>
      <c r="AB184" s="216" t="s">
        <v>117</v>
      </c>
      <c r="AC184" s="215"/>
      <c r="AD184" s="215">
        <v>1</v>
      </c>
      <c r="AE184" s="215">
        <v>1</v>
      </c>
    </row>
    <row r="185" spans="23:31" x14ac:dyDescent="0.3">
      <c r="W185" s="249" t="s">
        <v>81</v>
      </c>
      <c r="X185" s="215"/>
      <c r="Y185" s="215"/>
      <c r="Z185" s="215"/>
      <c r="AB185" s="216" t="s">
        <v>126</v>
      </c>
      <c r="AC185" s="215"/>
      <c r="AD185" s="215">
        <v>1</v>
      </c>
      <c r="AE185" s="215">
        <v>1</v>
      </c>
    </row>
    <row r="186" spans="23:31" x14ac:dyDescent="0.3">
      <c r="W186" s="216" t="s">
        <v>119</v>
      </c>
      <c r="X186" s="215">
        <v>1</v>
      </c>
      <c r="Y186" s="215">
        <v>1</v>
      </c>
      <c r="Z186" s="215">
        <v>2</v>
      </c>
      <c r="AB186" s="216" t="s">
        <v>125</v>
      </c>
      <c r="AC186" s="215">
        <v>1</v>
      </c>
      <c r="AD186" s="215"/>
      <c r="AE186" s="215">
        <v>1</v>
      </c>
    </row>
    <row r="187" spans="23:31" x14ac:dyDescent="0.3">
      <c r="W187" s="216" t="s">
        <v>108</v>
      </c>
      <c r="X187" s="215"/>
      <c r="Y187" s="215">
        <v>1</v>
      </c>
      <c r="Z187" s="215">
        <v>1</v>
      </c>
      <c r="AB187" s="216" t="s">
        <v>123</v>
      </c>
      <c r="AC187" s="215"/>
      <c r="AD187" s="215">
        <v>1</v>
      </c>
      <c r="AE187" s="215">
        <v>1</v>
      </c>
    </row>
    <row r="188" spans="23:31" x14ac:dyDescent="0.3">
      <c r="W188" s="216" t="s">
        <v>103</v>
      </c>
      <c r="X188" s="215">
        <v>1</v>
      </c>
      <c r="Y188" s="215">
        <v>1</v>
      </c>
      <c r="Z188" s="215">
        <v>2</v>
      </c>
      <c r="AB188" s="249" t="s">
        <v>82</v>
      </c>
      <c r="AC188" s="215"/>
      <c r="AD188" s="215"/>
      <c r="AE188" s="215"/>
    </row>
    <row r="189" spans="23:31" x14ac:dyDescent="0.3">
      <c r="W189" s="216" t="s">
        <v>126</v>
      </c>
      <c r="X189" s="215"/>
      <c r="Y189" s="215">
        <v>1</v>
      </c>
      <c r="Z189" s="215">
        <v>1</v>
      </c>
      <c r="AB189" s="216" t="s">
        <v>119</v>
      </c>
      <c r="AC189" s="215">
        <v>1</v>
      </c>
      <c r="AD189" s="215"/>
      <c r="AE189" s="215">
        <v>1</v>
      </c>
    </row>
    <row r="190" spans="23:31" x14ac:dyDescent="0.3">
      <c r="W190" s="249" t="s">
        <v>74</v>
      </c>
      <c r="X190" s="215"/>
      <c r="Y190" s="215"/>
      <c r="Z190" s="215"/>
      <c r="AB190" s="216" t="s">
        <v>107</v>
      </c>
      <c r="AC190" s="215"/>
      <c r="AD190" s="215">
        <v>1</v>
      </c>
      <c r="AE190" s="215">
        <v>1</v>
      </c>
    </row>
    <row r="191" spans="23:31" x14ac:dyDescent="0.3">
      <c r="W191" s="216" t="s">
        <v>119</v>
      </c>
      <c r="X191" s="215">
        <v>1</v>
      </c>
      <c r="Y191" s="215"/>
      <c r="Z191" s="215">
        <v>1</v>
      </c>
      <c r="AB191" s="216" t="s">
        <v>114</v>
      </c>
      <c r="AC191" s="215">
        <v>1</v>
      </c>
      <c r="AD191" s="215"/>
      <c r="AE191" s="215">
        <v>1</v>
      </c>
    </row>
    <row r="192" spans="23:31" x14ac:dyDescent="0.3">
      <c r="W192" s="216" t="s">
        <v>108</v>
      </c>
      <c r="X192" s="215"/>
      <c r="Y192" s="215">
        <v>1</v>
      </c>
      <c r="Z192" s="215">
        <v>1</v>
      </c>
      <c r="AB192" s="216" t="s">
        <v>103</v>
      </c>
      <c r="AC192" s="215"/>
      <c r="AD192" s="215">
        <v>1</v>
      </c>
      <c r="AE192" s="215">
        <v>1</v>
      </c>
    </row>
    <row r="193" spans="23:31" x14ac:dyDescent="0.3">
      <c r="W193" s="216" t="s">
        <v>114</v>
      </c>
      <c r="X193" s="215"/>
      <c r="Y193" s="215">
        <v>1</v>
      </c>
      <c r="Z193" s="215">
        <v>1</v>
      </c>
      <c r="AB193" s="249" t="s">
        <v>50</v>
      </c>
      <c r="AC193" s="215"/>
      <c r="AD193" s="215"/>
      <c r="AE193" s="215"/>
    </row>
    <row r="194" spans="23:31" x14ac:dyDescent="0.3">
      <c r="W194" s="216" t="s">
        <v>103</v>
      </c>
      <c r="X194" s="215">
        <v>3</v>
      </c>
      <c r="Y194" s="215">
        <v>1</v>
      </c>
      <c r="Z194" s="215">
        <v>4</v>
      </c>
      <c r="AB194" s="216" t="s">
        <v>117</v>
      </c>
      <c r="AC194" s="215">
        <v>1</v>
      </c>
      <c r="AD194" s="215"/>
      <c r="AE194" s="215">
        <v>1</v>
      </c>
    </row>
    <row r="195" spans="23:31" x14ac:dyDescent="0.3">
      <c r="W195" s="216" t="s">
        <v>124</v>
      </c>
      <c r="X195" s="215"/>
      <c r="Y195" s="215">
        <v>1</v>
      </c>
      <c r="Z195" s="215">
        <v>1</v>
      </c>
      <c r="AB195" s="249" t="s">
        <v>48</v>
      </c>
      <c r="AC195" s="215"/>
      <c r="AD195" s="215"/>
      <c r="AE195" s="215"/>
    </row>
    <row r="196" spans="23:31" x14ac:dyDescent="0.3">
      <c r="W196" s="216" t="s">
        <v>125</v>
      </c>
      <c r="X196" s="215">
        <v>1</v>
      </c>
      <c r="Y196" s="215"/>
      <c r="Z196" s="215">
        <v>1</v>
      </c>
      <c r="AB196" s="216" t="s">
        <v>119</v>
      </c>
      <c r="AC196" s="215">
        <v>1</v>
      </c>
      <c r="AD196" s="215"/>
      <c r="AE196" s="215">
        <v>1</v>
      </c>
    </row>
    <row r="197" spans="23:31" x14ac:dyDescent="0.3">
      <c r="W197" s="249" t="s">
        <v>150</v>
      </c>
      <c r="X197" s="215">
        <v>17</v>
      </c>
      <c r="Y197" s="215">
        <v>18</v>
      </c>
      <c r="Z197" s="215">
        <v>35</v>
      </c>
      <c r="AB197" s="216" t="s">
        <v>108</v>
      </c>
      <c r="AC197" s="215"/>
      <c r="AD197" s="215">
        <v>1</v>
      </c>
      <c r="AE197" s="215">
        <v>1</v>
      </c>
    </row>
    <row r="198" spans="23:31" x14ac:dyDescent="0.3">
      <c r="W198" s="8"/>
      <c r="X198" s="8"/>
      <c r="Y198" s="8"/>
      <c r="Z198" s="8"/>
      <c r="AB198" s="216" t="s">
        <v>114</v>
      </c>
      <c r="AC198" s="215"/>
      <c r="AD198" s="215">
        <v>1</v>
      </c>
      <c r="AE198" s="215">
        <v>1</v>
      </c>
    </row>
    <row r="199" spans="23:31" x14ac:dyDescent="0.3">
      <c r="W199" s="431" t="s">
        <v>187</v>
      </c>
      <c r="X199" s="432"/>
      <c r="Y199" s="432"/>
      <c r="Z199" s="432"/>
      <c r="AB199" s="216" t="s">
        <v>103</v>
      </c>
      <c r="AC199" s="215">
        <v>3</v>
      </c>
      <c r="AD199" s="215">
        <v>1</v>
      </c>
      <c r="AE199" s="215">
        <v>4</v>
      </c>
    </row>
    <row r="200" spans="23:31" x14ac:dyDescent="0.3">
      <c r="W200" s="214" t="s">
        <v>168</v>
      </c>
      <c r="X200" s="214" t="s">
        <v>0</v>
      </c>
      <c r="AB200" s="216" t="s">
        <v>124</v>
      </c>
      <c r="AC200" s="215"/>
      <c r="AD200" s="215">
        <v>1</v>
      </c>
      <c r="AE200" s="215">
        <v>1</v>
      </c>
    </row>
    <row r="201" spans="23:31" x14ac:dyDescent="0.3">
      <c r="W201" s="214" t="s">
        <v>183</v>
      </c>
      <c r="X201" t="s">
        <v>8</v>
      </c>
      <c r="Y201" t="s">
        <v>7</v>
      </c>
      <c r="Z201" t="s">
        <v>150</v>
      </c>
      <c r="AB201" s="216" t="s">
        <v>125</v>
      </c>
      <c r="AC201" s="215">
        <v>1</v>
      </c>
      <c r="AD201" s="215"/>
      <c r="AE201" s="215">
        <v>1</v>
      </c>
    </row>
    <row r="202" spans="23:31" x14ac:dyDescent="0.3">
      <c r="W202" s="251" t="s">
        <v>77</v>
      </c>
      <c r="X202" s="215"/>
      <c r="Y202" s="215"/>
      <c r="Z202" s="215"/>
      <c r="AB202" s="249" t="s">
        <v>83</v>
      </c>
      <c r="AC202" s="215"/>
      <c r="AD202" s="215"/>
      <c r="AE202" s="215"/>
    </row>
    <row r="203" spans="23:31" x14ac:dyDescent="0.3">
      <c r="W203" s="216" t="s">
        <v>103</v>
      </c>
      <c r="X203" s="215">
        <v>1</v>
      </c>
      <c r="Y203" s="215">
        <v>3</v>
      </c>
      <c r="Z203" s="215">
        <v>4</v>
      </c>
      <c r="AB203" s="216" t="s">
        <v>107</v>
      </c>
      <c r="AC203" s="215">
        <v>2</v>
      </c>
      <c r="AD203" s="215"/>
      <c r="AE203" s="215">
        <v>2</v>
      </c>
    </row>
    <row r="204" spans="23:31" x14ac:dyDescent="0.3">
      <c r="W204" s="251" t="s">
        <v>79</v>
      </c>
      <c r="X204" s="215"/>
      <c r="Y204" s="215"/>
      <c r="Z204" s="215"/>
      <c r="AB204" s="216" t="s">
        <v>106</v>
      </c>
      <c r="AC204" s="215"/>
      <c r="AD204" s="215">
        <v>1</v>
      </c>
      <c r="AE204" s="215">
        <v>1</v>
      </c>
    </row>
    <row r="205" spans="23:31" x14ac:dyDescent="0.3">
      <c r="W205" s="216" t="s">
        <v>107</v>
      </c>
      <c r="X205" s="215">
        <v>1</v>
      </c>
      <c r="Y205" s="215"/>
      <c r="Z205" s="215">
        <v>1</v>
      </c>
      <c r="AB205" s="249" t="s">
        <v>49</v>
      </c>
      <c r="AC205" s="215"/>
      <c r="AD205" s="215"/>
      <c r="AE205" s="215"/>
    </row>
    <row r="206" spans="23:31" x14ac:dyDescent="0.3">
      <c r="W206" s="216" t="s">
        <v>123</v>
      </c>
      <c r="X206" s="215"/>
      <c r="Y206" s="215">
        <v>1</v>
      </c>
      <c r="Z206" s="215">
        <v>1</v>
      </c>
      <c r="AB206" s="216" t="s">
        <v>103</v>
      </c>
      <c r="AC206" s="215">
        <v>2</v>
      </c>
      <c r="AD206" s="215">
        <v>3</v>
      </c>
      <c r="AE206" s="215">
        <v>5</v>
      </c>
    </row>
    <row r="207" spans="23:31" x14ac:dyDescent="0.3">
      <c r="W207" s="251" t="s">
        <v>80</v>
      </c>
      <c r="X207" s="215"/>
      <c r="Y207" s="215"/>
      <c r="Z207" s="215"/>
      <c r="AB207" s="249" t="s">
        <v>150</v>
      </c>
      <c r="AC207" s="215">
        <v>17</v>
      </c>
      <c r="AD207" s="215">
        <v>18</v>
      </c>
      <c r="AE207" s="215">
        <v>35</v>
      </c>
    </row>
    <row r="208" spans="23:31" x14ac:dyDescent="0.3">
      <c r="W208" s="216" t="s">
        <v>117</v>
      </c>
      <c r="X208" s="215"/>
      <c r="Y208" s="215">
        <v>1</v>
      </c>
      <c r="Z208" s="215">
        <v>1</v>
      </c>
      <c r="AB208" s="8"/>
      <c r="AC208" s="8"/>
      <c r="AD208" s="8"/>
      <c r="AE208" s="8"/>
    </row>
    <row r="209" spans="23:31" x14ac:dyDescent="0.3">
      <c r="W209" s="216" t="s">
        <v>125</v>
      </c>
      <c r="X209" s="215">
        <v>1</v>
      </c>
      <c r="Y209" s="215"/>
      <c r="Z209" s="215">
        <v>1</v>
      </c>
      <c r="AB209" s="445" t="s">
        <v>196</v>
      </c>
      <c r="AC209" s="445"/>
      <c r="AD209" s="445"/>
      <c r="AE209" s="445"/>
    </row>
    <row r="210" spans="23:31" x14ac:dyDescent="0.3">
      <c r="W210" s="251" t="s">
        <v>78</v>
      </c>
      <c r="X210" s="215"/>
      <c r="Y210" s="215"/>
      <c r="Z210" s="215"/>
      <c r="AB210" s="214" t="s">
        <v>168</v>
      </c>
      <c r="AC210" s="214" t="s">
        <v>0</v>
      </c>
    </row>
    <row r="211" spans="23:31" x14ac:dyDescent="0.3">
      <c r="W211" s="216" t="s">
        <v>114</v>
      </c>
      <c r="X211" s="215">
        <v>1</v>
      </c>
      <c r="Y211" s="215"/>
      <c r="Z211" s="215">
        <v>1</v>
      </c>
      <c r="AB211" s="214" t="s">
        <v>197</v>
      </c>
      <c r="AC211" t="s">
        <v>8</v>
      </c>
      <c r="AD211" t="s">
        <v>7</v>
      </c>
      <c r="AE211" t="s">
        <v>150</v>
      </c>
    </row>
    <row r="212" spans="23:31" x14ac:dyDescent="0.3">
      <c r="W212" s="251" t="s">
        <v>76</v>
      </c>
      <c r="X212" s="215"/>
      <c r="Y212" s="215"/>
      <c r="Z212" s="215"/>
      <c r="AB212" s="249" t="s">
        <v>54</v>
      </c>
      <c r="AC212" s="215"/>
      <c r="AD212" s="215"/>
      <c r="AE212" s="215"/>
    </row>
    <row r="213" spans="23:31" x14ac:dyDescent="0.3">
      <c r="W213" s="216" t="s">
        <v>119</v>
      </c>
      <c r="X213" s="215">
        <v>1</v>
      </c>
      <c r="Y213" s="215"/>
      <c r="Z213" s="215">
        <v>1</v>
      </c>
      <c r="AB213" s="216" t="s">
        <v>103</v>
      </c>
      <c r="AC213" s="215"/>
      <c r="AD213" s="215">
        <v>2</v>
      </c>
      <c r="AE213" s="215">
        <v>2</v>
      </c>
    </row>
    <row r="214" spans="23:31" x14ac:dyDescent="0.3">
      <c r="W214" s="251" t="s">
        <v>81</v>
      </c>
      <c r="X214" s="215"/>
      <c r="Y214" s="215"/>
      <c r="Z214" s="215"/>
      <c r="AB214" s="249" t="s">
        <v>51</v>
      </c>
      <c r="AC214" s="215"/>
      <c r="AD214" s="215"/>
      <c r="AE214" s="215"/>
    </row>
    <row r="215" spans="23:31" x14ac:dyDescent="0.3">
      <c r="W215" s="216" t="s">
        <v>119</v>
      </c>
      <c r="X215" s="215"/>
      <c r="Y215" s="215">
        <v>1</v>
      </c>
      <c r="Z215" s="215">
        <v>1</v>
      </c>
      <c r="AB215" s="216" t="s">
        <v>119</v>
      </c>
      <c r="AC215" s="215"/>
      <c r="AD215" s="215">
        <v>1</v>
      </c>
      <c r="AE215" s="215">
        <v>1</v>
      </c>
    </row>
    <row r="216" spans="23:31" x14ac:dyDescent="0.3">
      <c r="W216" s="216" t="s">
        <v>108</v>
      </c>
      <c r="X216" s="215"/>
      <c r="Y216" s="215">
        <v>1</v>
      </c>
      <c r="Z216" s="215">
        <v>1</v>
      </c>
      <c r="AB216" s="216" t="s">
        <v>108</v>
      </c>
      <c r="AC216" s="215"/>
      <c r="AD216" s="215">
        <v>1</v>
      </c>
      <c r="AE216" s="215">
        <v>1</v>
      </c>
    </row>
    <row r="217" spans="23:31" x14ac:dyDescent="0.3">
      <c r="W217" s="216" t="s">
        <v>103</v>
      </c>
      <c r="X217" s="215">
        <v>1</v>
      </c>
      <c r="Y217" s="215"/>
      <c r="Z217" s="215">
        <v>1</v>
      </c>
      <c r="AB217" s="216" t="s">
        <v>117</v>
      </c>
      <c r="AC217" s="215"/>
      <c r="AD217" s="215">
        <v>1</v>
      </c>
      <c r="AE217" s="215">
        <v>1</v>
      </c>
    </row>
    <row r="218" spans="23:31" x14ac:dyDescent="0.3">
      <c r="W218" s="216" t="s">
        <v>126</v>
      </c>
      <c r="X218" s="215"/>
      <c r="Y218" s="215">
        <v>1</v>
      </c>
      <c r="Z218" s="215">
        <v>1</v>
      </c>
      <c r="AB218" s="216" t="s">
        <v>125</v>
      </c>
      <c r="AC218" s="215">
        <v>1</v>
      </c>
      <c r="AD218" s="215"/>
      <c r="AE218" s="215">
        <v>1</v>
      </c>
    </row>
    <row r="219" spans="23:31" x14ac:dyDescent="0.3">
      <c r="W219" s="251" t="s">
        <v>74</v>
      </c>
      <c r="X219" s="215"/>
      <c r="Y219" s="215"/>
      <c r="Z219" s="215"/>
      <c r="AB219" s="216" t="s">
        <v>123</v>
      </c>
      <c r="AC219" s="215"/>
      <c r="AD219" s="215">
        <v>1</v>
      </c>
      <c r="AE219" s="215">
        <v>1</v>
      </c>
    </row>
    <row r="220" spans="23:31" x14ac:dyDescent="0.3">
      <c r="W220" s="216" t="s">
        <v>119</v>
      </c>
      <c r="X220" s="215">
        <v>1</v>
      </c>
      <c r="Y220" s="215">
        <v>1</v>
      </c>
      <c r="Z220" s="215">
        <v>2</v>
      </c>
      <c r="AB220" s="249" t="s">
        <v>82</v>
      </c>
      <c r="AC220" s="215"/>
      <c r="AD220" s="215"/>
      <c r="AE220" s="215"/>
    </row>
    <row r="221" spans="23:31" x14ac:dyDescent="0.3">
      <c r="W221" s="216" t="s">
        <v>107</v>
      </c>
      <c r="X221" s="215">
        <v>4</v>
      </c>
      <c r="Y221" s="215">
        <v>1</v>
      </c>
      <c r="Z221" s="215">
        <v>5</v>
      </c>
      <c r="AB221" s="216" t="s">
        <v>119</v>
      </c>
      <c r="AC221" s="215">
        <v>1</v>
      </c>
      <c r="AD221" s="215"/>
      <c r="AE221" s="215">
        <v>1</v>
      </c>
    </row>
    <row r="222" spans="23:31" x14ac:dyDescent="0.3">
      <c r="W222" s="216" t="s">
        <v>108</v>
      </c>
      <c r="X222" s="215"/>
      <c r="Y222" s="215">
        <v>1</v>
      </c>
      <c r="Z222" s="215">
        <v>1</v>
      </c>
      <c r="AB222" s="249" t="s">
        <v>50</v>
      </c>
      <c r="AC222" s="215"/>
      <c r="AD222" s="215"/>
      <c r="AE222" s="215"/>
    </row>
    <row r="223" spans="23:31" x14ac:dyDescent="0.3">
      <c r="W223" s="216" t="s">
        <v>114</v>
      </c>
      <c r="X223" s="215"/>
      <c r="Y223" s="215">
        <v>1</v>
      </c>
      <c r="Z223" s="215">
        <v>1</v>
      </c>
      <c r="AB223" s="216" t="s">
        <v>114</v>
      </c>
      <c r="AC223" s="215">
        <v>1</v>
      </c>
      <c r="AD223" s="215"/>
      <c r="AE223" s="215">
        <v>1</v>
      </c>
    </row>
    <row r="224" spans="23:31" x14ac:dyDescent="0.3">
      <c r="W224" s="216" t="s">
        <v>103</v>
      </c>
      <c r="X224" s="215">
        <v>4</v>
      </c>
      <c r="Y224" s="215">
        <v>4</v>
      </c>
      <c r="Z224" s="215">
        <v>8</v>
      </c>
      <c r="AB224" s="216" t="s">
        <v>126</v>
      </c>
      <c r="AC224" s="215"/>
      <c r="AD224" s="215">
        <v>1</v>
      </c>
      <c r="AE224" s="215">
        <v>1</v>
      </c>
    </row>
    <row r="225" spans="23:31" x14ac:dyDescent="0.3">
      <c r="W225" s="216" t="s">
        <v>117</v>
      </c>
      <c r="X225" s="215">
        <v>1</v>
      </c>
      <c r="Y225" s="215"/>
      <c r="Z225" s="215">
        <v>1</v>
      </c>
      <c r="AB225" s="249" t="s">
        <v>48</v>
      </c>
      <c r="AC225" s="215"/>
      <c r="AD225" s="215"/>
      <c r="AE225" s="215"/>
    </row>
    <row r="226" spans="23:31" x14ac:dyDescent="0.3">
      <c r="W226" s="216" t="s">
        <v>106</v>
      </c>
      <c r="X226" s="215"/>
      <c r="Y226" s="215">
        <v>1</v>
      </c>
      <c r="Z226" s="215">
        <v>1</v>
      </c>
      <c r="AB226" s="216" t="s">
        <v>119</v>
      </c>
      <c r="AC226" s="215">
        <v>1</v>
      </c>
      <c r="AD226" s="215"/>
      <c r="AE226" s="215">
        <v>1</v>
      </c>
    </row>
    <row r="227" spans="23:31" x14ac:dyDescent="0.3">
      <c r="W227" s="216" t="s">
        <v>124</v>
      </c>
      <c r="X227" s="215"/>
      <c r="Y227" s="215">
        <v>1</v>
      </c>
      <c r="Z227" s="215">
        <v>1</v>
      </c>
      <c r="AB227" s="216" t="s">
        <v>107</v>
      </c>
      <c r="AC227" s="215">
        <v>3</v>
      </c>
      <c r="AD227" s="215">
        <v>1</v>
      </c>
      <c r="AE227" s="215">
        <v>4</v>
      </c>
    </row>
    <row r="228" spans="23:31" x14ac:dyDescent="0.3">
      <c r="W228" s="216" t="s">
        <v>125</v>
      </c>
      <c r="X228" s="215">
        <v>1</v>
      </c>
      <c r="Y228" s="215"/>
      <c r="Z228" s="215">
        <v>1</v>
      </c>
      <c r="AB228" s="216" t="s">
        <v>108</v>
      </c>
      <c r="AC228" s="215"/>
      <c r="AD228" s="215">
        <v>1</v>
      </c>
      <c r="AE228" s="215">
        <v>1</v>
      </c>
    </row>
    <row r="229" spans="23:31" x14ac:dyDescent="0.3">
      <c r="W229" s="251" t="s">
        <v>150</v>
      </c>
      <c r="X229" s="215">
        <v>17</v>
      </c>
      <c r="Y229" s="215">
        <v>18</v>
      </c>
      <c r="Z229" s="215">
        <v>35</v>
      </c>
      <c r="AB229" s="216" t="s">
        <v>114</v>
      </c>
      <c r="AC229" s="215"/>
      <c r="AD229" s="215">
        <v>1</v>
      </c>
      <c r="AE229" s="215">
        <v>1</v>
      </c>
    </row>
    <row r="230" spans="23:31" x14ac:dyDescent="0.3">
      <c r="AB230" s="216" t="s">
        <v>103</v>
      </c>
      <c r="AC230" s="215">
        <v>4</v>
      </c>
      <c r="AD230" s="215">
        <v>4</v>
      </c>
      <c r="AE230" s="215">
        <v>8</v>
      </c>
    </row>
    <row r="231" spans="23:31" x14ac:dyDescent="0.3">
      <c r="AB231" s="216" t="s">
        <v>117</v>
      </c>
      <c r="AC231" s="215">
        <v>1</v>
      </c>
      <c r="AD231" s="215"/>
      <c r="AE231" s="215">
        <v>1</v>
      </c>
    </row>
    <row r="232" spans="23:31" x14ac:dyDescent="0.3">
      <c r="AB232" s="216" t="s">
        <v>106</v>
      </c>
      <c r="AC232" s="215"/>
      <c r="AD232" s="215">
        <v>1</v>
      </c>
      <c r="AE232" s="215">
        <v>1</v>
      </c>
    </row>
    <row r="233" spans="23:31" x14ac:dyDescent="0.3">
      <c r="AB233" s="216" t="s">
        <v>124</v>
      </c>
      <c r="AC233" s="215"/>
      <c r="AD233" s="215">
        <v>1</v>
      </c>
      <c r="AE233" s="215">
        <v>1</v>
      </c>
    </row>
    <row r="234" spans="23:31" x14ac:dyDescent="0.3">
      <c r="AB234" s="216" t="s">
        <v>125</v>
      </c>
      <c r="AC234" s="215">
        <v>1</v>
      </c>
      <c r="AD234" s="215"/>
      <c r="AE234" s="215">
        <v>1</v>
      </c>
    </row>
    <row r="235" spans="23:31" x14ac:dyDescent="0.3">
      <c r="AB235" s="249" t="s">
        <v>83</v>
      </c>
      <c r="AC235" s="215"/>
      <c r="AD235" s="215"/>
      <c r="AE235" s="215"/>
    </row>
    <row r="236" spans="23:31" x14ac:dyDescent="0.3">
      <c r="AB236" s="216" t="s">
        <v>119</v>
      </c>
      <c r="AC236" s="215"/>
      <c r="AD236" s="215">
        <v>1</v>
      </c>
      <c r="AE236" s="215">
        <v>1</v>
      </c>
    </row>
    <row r="237" spans="23:31" x14ac:dyDescent="0.3">
      <c r="AB237" s="216" t="s">
        <v>107</v>
      </c>
      <c r="AC237" s="215">
        <v>2</v>
      </c>
      <c r="AD237" s="215"/>
      <c r="AE237" s="215">
        <v>2</v>
      </c>
    </row>
    <row r="238" spans="23:31" x14ac:dyDescent="0.3">
      <c r="AB238" s="216" t="s">
        <v>103</v>
      </c>
      <c r="AC238" s="215">
        <v>2</v>
      </c>
      <c r="AD238" s="215"/>
      <c r="AE238" s="215">
        <v>2</v>
      </c>
    </row>
    <row r="239" spans="23:31" x14ac:dyDescent="0.3">
      <c r="AB239" s="249" t="s">
        <v>49</v>
      </c>
      <c r="AC239" s="215"/>
      <c r="AD239" s="215"/>
      <c r="AE239" s="215"/>
    </row>
    <row r="240" spans="23:31" x14ac:dyDescent="0.3">
      <c r="AB240" s="216" t="s">
        <v>103</v>
      </c>
      <c r="AC240" s="215"/>
      <c r="AD240" s="215">
        <v>1</v>
      </c>
      <c r="AE240" s="215">
        <v>1</v>
      </c>
    </row>
    <row r="241" spans="28:31" x14ac:dyDescent="0.3">
      <c r="AB241" s="249" t="s">
        <v>150</v>
      </c>
      <c r="AC241" s="215">
        <v>17</v>
      </c>
      <c r="AD241" s="215">
        <v>18</v>
      </c>
      <c r="AE241" s="215">
        <v>35</v>
      </c>
    </row>
    <row r="242" spans="28:31" x14ac:dyDescent="0.3">
      <c r="AB242" s="8"/>
      <c r="AC242" s="8"/>
      <c r="AD242" s="8"/>
      <c r="AE242" s="8"/>
    </row>
    <row r="243" spans="28:31" x14ac:dyDescent="0.3">
      <c r="AB243" s="8"/>
      <c r="AC243" s="8"/>
      <c r="AD243" s="8"/>
      <c r="AE243" s="8"/>
    </row>
  </sheetData>
  <mergeCells count="128">
    <mergeCell ref="AN33:AU48"/>
    <mergeCell ref="AB209:AE209"/>
    <mergeCell ref="R50:U50"/>
    <mergeCell ref="W50:Z50"/>
    <mergeCell ref="AB50:AE50"/>
    <mergeCell ref="AF36:AL48"/>
    <mergeCell ref="AF33:AL35"/>
    <mergeCell ref="R107:S107"/>
    <mergeCell ref="W81:Z81"/>
    <mergeCell ref="W106:Z106"/>
    <mergeCell ref="W137:Z137"/>
    <mergeCell ref="W164:Z164"/>
    <mergeCell ref="W199:Z199"/>
    <mergeCell ref="AB52:AE52"/>
    <mergeCell ref="AB82:AE82"/>
    <mergeCell ref="AB109:AE109"/>
    <mergeCell ref="AB142:AE142"/>
    <mergeCell ref="AB172:AE172"/>
    <mergeCell ref="AF31:AL31"/>
    <mergeCell ref="T11:V11"/>
    <mergeCell ref="T10:V10"/>
    <mergeCell ref="T9:V9"/>
    <mergeCell ref="T8:AB8"/>
    <mergeCell ref="B2:H5"/>
    <mergeCell ref="I4:J6"/>
    <mergeCell ref="K4:L6"/>
    <mergeCell ref="T17:AB17"/>
    <mergeCell ref="T16:V16"/>
    <mergeCell ref="M4:N6"/>
    <mergeCell ref="O4:P6"/>
    <mergeCell ref="Q4:R6"/>
    <mergeCell ref="I2:R2"/>
    <mergeCell ref="T5:AB5"/>
    <mergeCell ref="T6:V7"/>
    <mergeCell ref="W6:X6"/>
    <mergeCell ref="Y6:Z6"/>
    <mergeCell ref="AA6:AB6"/>
    <mergeCell ref="AG7:AG8"/>
    <mergeCell ref="AK7:AK8"/>
    <mergeCell ref="AL7:AL8"/>
    <mergeCell ref="T15:V15"/>
    <mergeCell ref="T26:V26"/>
    <mergeCell ref="T25:V25"/>
    <mergeCell ref="AG16:AG17"/>
    <mergeCell ref="AK16:AK17"/>
    <mergeCell ref="AL16:AL17"/>
    <mergeCell ref="T24:V24"/>
    <mergeCell ref="T14:V14"/>
    <mergeCell ref="T13:V13"/>
    <mergeCell ref="T12:V12"/>
    <mergeCell ref="T23:V23"/>
    <mergeCell ref="T22:V22"/>
    <mergeCell ref="AG13:AG14"/>
    <mergeCell ref="AK13:AK14"/>
    <mergeCell ref="AL13:AL14"/>
    <mergeCell ref="T21:V21"/>
    <mergeCell ref="T20:V20"/>
    <mergeCell ref="T19:V19"/>
    <mergeCell ref="AG10:AG11"/>
    <mergeCell ref="AK10:AK11"/>
    <mergeCell ref="AL10:AL11"/>
    <mergeCell ref="T18:V18"/>
    <mergeCell ref="T35:V35"/>
    <mergeCell ref="T34:AB34"/>
    <mergeCell ref="T33:V33"/>
    <mergeCell ref="T32:V32"/>
    <mergeCell ref="T31:V31"/>
    <mergeCell ref="T30:V30"/>
    <mergeCell ref="T29:V29"/>
    <mergeCell ref="T28:AB28"/>
    <mergeCell ref="AG19:AG20"/>
    <mergeCell ref="AF24:AL24"/>
    <mergeCell ref="AF26:AL29"/>
    <mergeCell ref="AK19:AK20"/>
    <mergeCell ref="AL19:AL20"/>
    <mergeCell ref="T27:V27"/>
    <mergeCell ref="T44:V44"/>
    <mergeCell ref="T43:V43"/>
    <mergeCell ref="T42:AB42"/>
    <mergeCell ref="T41:V41"/>
    <mergeCell ref="T40:V40"/>
    <mergeCell ref="T39:V39"/>
    <mergeCell ref="T38:V38"/>
    <mergeCell ref="T37:V37"/>
    <mergeCell ref="T36:V36"/>
    <mergeCell ref="E64:F64"/>
    <mergeCell ref="E65:F65"/>
    <mergeCell ref="E50:F50"/>
    <mergeCell ref="E51:F51"/>
    <mergeCell ref="B45:B47"/>
    <mergeCell ref="T48:V48"/>
    <mergeCell ref="T47:V47"/>
    <mergeCell ref="T46:V46"/>
    <mergeCell ref="T45:V45"/>
    <mergeCell ref="R52:U52"/>
    <mergeCell ref="E88:E90"/>
    <mergeCell ref="F88:F90"/>
    <mergeCell ref="G88:G90"/>
    <mergeCell ref="D84:D85"/>
    <mergeCell ref="E84:E85"/>
    <mergeCell ref="F84:F85"/>
    <mergeCell ref="G84:G85"/>
    <mergeCell ref="E81:F81"/>
    <mergeCell ref="E82:F82"/>
    <mergeCell ref="R84:U84"/>
    <mergeCell ref="R95:U95"/>
    <mergeCell ref="W52:Z52"/>
    <mergeCell ref="D107:D109"/>
    <mergeCell ref="E107:E109"/>
    <mergeCell ref="F107:F109"/>
    <mergeCell ref="G107:G109"/>
    <mergeCell ref="E113:F113"/>
    <mergeCell ref="E114:F114"/>
    <mergeCell ref="D104:D106"/>
    <mergeCell ref="E104:E106"/>
    <mergeCell ref="F104:F106"/>
    <mergeCell ref="G104:G106"/>
    <mergeCell ref="D100:D101"/>
    <mergeCell ref="E100:E101"/>
    <mergeCell ref="F100:F101"/>
    <mergeCell ref="G100:G101"/>
    <mergeCell ref="E97:F97"/>
    <mergeCell ref="E98:F98"/>
    <mergeCell ref="D91:D93"/>
    <mergeCell ref="E91:E93"/>
    <mergeCell ref="F91:F93"/>
    <mergeCell ref="G91:G93"/>
    <mergeCell ref="D88:D90"/>
  </mergeCells>
  <conditionalFormatting sqref="E46:E47">
    <cfRule type="colorScale" priority="127">
      <colorScale>
        <cfvo type="min"/>
        <cfvo type="percentile" val="50"/>
        <cfvo type="max"/>
        <color rgb="FFF8696B"/>
        <color rgb="FFFFEB84"/>
        <color rgb="FF63BE7B"/>
      </colorScale>
    </cfRule>
  </conditionalFormatting>
  <conditionalFormatting sqref="F46:F47">
    <cfRule type="dataBar" priority="126">
      <dataBar>
        <cfvo type="min"/>
        <cfvo type="max"/>
        <color rgb="FFFFB628"/>
      </dataBar>
      <extLst>
        <ext xmlns:x14="http://schemas.microsoft.com/office/spreadsheetml/2009/9/main" uri="{B025F937-C7B1-47D3-B67F-A62EFF666E3E}">
          <x14:id>{115E083D-F48E-4E33-9CE6-68F9227CC1E0}</x14:id>
        </ext>
      </extLst>
    </cfRule>
  </conditionalFormatting>
  <conditionalFormatting sqref="E54:E61">
    <cfRule type="colorScale" priority="125">
      <colorScale>
        <cfvo type="min"/>
        <cfvo type="percentile" val="50"/>
        <cfvo type="max"/>
        <color rgb="FFF8696B"/>
        <color rgb="FFFFEB84"/>
        <color rgb="FF63BE7B"/>
      </colorScale>
    </cfRule>
  </conditionalFormatting>
  <conditionalFormatting sqref="F54:F61">
    <cfRule type="dataBar" priority="124">
      <dataBar>
        <cfvo type="min"/>
        <cfvo type="max"/>
        <color rgb="FFFFB628"/>
      </dataBar>
      <extLst>
        <ext xmlns:x14="http://schemas.microsoft.com/office/spreadsheetml/2009/9/main" uri="{B025F937-C7B1-47D3-B67F-A62EFF666E3E}">
          <x14:id>{2DFB74E4-5068-43CB-8972-6811EEB6044B}</x14:id>
        </ext>
      </extLst>
    </cfRule>
  </conditionalFormatting>
  <conditionalFormatting sqref="E72:E73">
    <cfRule type="colorScale" priority="108">
      <colorScale>
        <cfvo type="min"/>
        <cfvo type="percentile" val="50"/>
        <cfvo type="max"/>
        <color rgb="FFF8696B"/>
        <color rgb="FFFFEB84"/>
        <color rgb="FF63BE7B"/>
      </colorScale>
    </cfRule>
  </conditionalFormatting>
  <conditionalFormatting sqref="F72:F73">
    <cfRule type="dataBar" priority="109">
      <dataBar>
        <cfvo type="min"/>
        <cfvo type="max"/>
        <color rgb="FFFFB628"/>
      </dataBar>
      <extLst>
        <ext xmlns:x14="http://schemas.microsoft.com/office/spreadsheetml/2009/9/main" uri="{B025F937-C7B1-47D3-B67F-A62EFF666E3E}">
          <x14:id>{06680CEA-9575-4C4A-9B82-45EEFDDADDD1}</x14:id>
        </ext>
      </extLst>
    </cfRule>
  </conditionalFormatting>
  <conditionalFormatting sqref="E69">
    <cfRule type="colorScale" priority="106">
      <colorScale>
        <cfvo type="min"/>
        <cfvo type="percentile" val="50"/>
        <cfvo type="max"/>
        <color rgb="FFF8696B"/>
        <color rgb="FFFFEB84"/>
        <color rgb="FF63BE7B"/>
      </colorScale>
    </cfRule>
  </conditionalFormatting>
  <conditionalFormatting sqref="F69">
    <cfRule type="dataBar" priority="107">
      <dataBar>
        <cfvo type="min"/>
        <cfvo type="max"/>
        <color rgb="FFFFB628"/>
      </dataBar>
      <extLst>
        <ext xmlns:x14="http://schemas.microsoft.com/office/spreadsheetml/2009/9/main" uri="{B025F937-C7B1-47D3-B67F-A62EFF666E3E}">
          <x14:id>{5C81A6FF-A883-422D-8DEA-3C88FBC25891}</x14:id>
        </ext>
      </extLst>
    </cfRule>
  </conditionalFormatting>
  <conditionalFormatting sqref="E70:E71 E75">
    <cfRule type="colorScale" priority="128">
      <colorScale>
        <cfvo type="min"/>
        <cfvo type="percentile" val="50"/>
        <cfvo type="max"/>
        <color rgb="FFF8696B"/>
        <color rgb="FFFFEB84"/>
        <color rgb="FF63BE7B"/>
      </colorScale>
    </cfRule>
  </conditionalFormatting>
  <conditionalFormatting sqref="F70:F71 F75">
    <cfRule type="dataBar" priority="129">
      <dataBar>
        <cfvo type="min"/>
        <cfvo type="max"/>
        <color rgb="FFFFB628"/>
      </dataBar>
      <extLst>
        <ext xmlns:x14="http://schemas.microsoft.com/office/spreadsheetml/2009/9/main" uri="{B025F937-C7B1-47D3-B67F-A62EFF666E3E}">
          <x14:id>{9D7081C5-CCD4-4AA5-9AD7-A636FAB0E3CF}</x14:id>
        </ext>
      </extLst>
    </cfRule>
  </conditionalFormatting>
  <conditionalFormatting sqref="E91">
    <cfRule type="colorScale" priority="104">
      <colorScale>
        <cfvo type="min"/>
        <cfvo type="percentile" val="50"/>
        <cfvo type="max"/>
        <color rgb="FFF8696B"/>
        <color rgb="FFFFEB84"/>
        <color rgb="FF63BE7B"/>
      </colorScale>
    </cfRule>
  </conditionalFormatting>
  <conditionalFormatting sqref="F91">
    <cfRule type="dataBar" priority="105">
      <dataBar>
        <cfvo type="min"/>
        <cfvo type="max"/>
        <color rgb="FFFFB628"/>
      </dataBar>
      <extLst>
        <ext xmlns:x14="http://schemas.microsoft.com/office/spreadsheetml/2009/9/main" uri="{B025F937-C7B1-47D3-B67F-A62EFF666E3E}">
          <x14:id>{4A8AAB5B-E785-4405-9D9E-3DADEB4384B5}</x14:id>
        </ext>
      </extLst>
    </cfRule>
  </conditionalFormatting>
  <conditionalFormatting sqref="F86:F94">
    <cfRule type="dataBar" priority="103">
      <dataBar>
        <cfvo type="min"/>
        <cfvo type="max"/>
        <color rgb="FFFFB628"/>
      </dataBar>
      <extLst>
        <ext xmlns:x14="http://schemas.microsoft.com/office/spreadsheetml/2009/9/main" uri="{B025F937-C7B1-47D3-B67F-A62EFF666E3E}">
          <x14:id>{E73FD3D2-3CF0-4E0F-8AC6-BE1BE636816F}</x14:id>
        </ext>
      </extLst>
    </cfRule>
  </conditionalFormatting>
  <conditionalFormatting sqref="E68">
    <cfRule type="colorScale" priority="101">
      <colorScale>
        <cfvo type="min"/>
        <cfvo type="percentile" val="50"/>
        <cfvo type="max"/>
        <color rgb="FFF8696B"/>
        <color rgb="FFFFEB84"/>
        <color rgb="FF63BE7B"/>
      </colorScale>
    </cfRule>
  </conditionalFormatting>
  <conditionalFormatting sqref="F68:F78">
    <cfRule type="dataBar" priority="102">
      <dataBar>
        <cfvo type="min"/>
        <cfvo type="max"/>
        <color rgb="FFFFB628"/>
      </dataBar>
      <extLst>
        <ext xmlns:x14="http://schemas.microsoft.com/office/spreadsheetml/2009/9/main" uri="{B025F937-C7B1-47D3-B67F-A62EFF666E3E}">
          <x14:id>{6DBFF93F-015D-430F-9535-CFE2D96316C7}</x14:id>
        </ext>
      </extLst>
    </cfRule>
  </conditionalFormatting>
  <conditionalFormatting sqref="E68">
    <cfRule type="colorScale" priority="100">
      <colorScale>
        <cfvo type="min"/>
        <cfvo type="percentile" val="50"/>
        <cfvo type="max"/>
        <color rgb="FFF8696B"/>
        <color rgb="FFFFEB84"/>
        <color rgb="FF63BE7B"/>
      </colorScale>
    </cfRule>
  </conditionalFormatting>
  <conditionalFormatting sqref="F68:F78">
    <cfRule type="dataBar" priority="99">
      <dataBar>
        <cfvo type="min"/>
        <cfvo type="max"/>
        <color rgb="FFFFB628"/>
      </dataBar>
      <extLst>
        <ext xmlns:x14="http://schemas.microsoft.com/office/spreadsheetml/2009/9/main" uri="{B025F937-C7B1-47D3-B67F-A62EFF666E3E}">
          <x14:id>{DBEB2149-0203-4BEC-90D4-5C66628D7D6F}</x14:id>
        </ext>
      </extLst>
    </cfRule>
  </conditionalFormatting>
  <conditionalFormatting sqref="E78">
    <cfRule type="colorScale" priority="97">
      <colorScale>
        <cfvo type="min"/>
        <cfvo type="percentile" val="50"/>
        <cfvo type="max"/>
        <color rgb="FFF8696B"/>
        <color rgb="FFFFEB84"/>
        <color rgb="FF63BE7B"/>
      </colorScale>
    </cfRule>
  </conditionalFormatting>
  <conditionalFormatting sqref="F78">
    <cfRule type="dataBar" priority="98">
      <dataBar>
        <cfvo type="min"/>
        <cfvo type="max"/>
        <color rgb="FFFFB628"/>
      </dataBar>
      <extLst>
        <ext xmlns:x14="http://schemas.microsoft.com/office/spreadsheetml/2009/9/main" uri="{B025F937-C7B1-47D3-B67F-A62EFF666E3E}">
          <x14:id>{AC6B9DBA-567C-4D42-9848-C318986D5D1F}</x14:id>
        </ext>
      </extLst>
    </cfRule>
  </conditionalFormatting>
  <conditionalFormatting sqref="E78">
    <cfRule type="colorScale" priority="96">
      <colorScale>
        <cfvo type="min"/>
        <cfvo type="percentile" val="50"/>
        <cfvo type="max"/>
        <color rgb="FFF8696B"/>
        <color rgb="FFFFEB84"/>
        <color rgb="FF63BE7B"/>
      </colorScale>
    </cfRule>
  </conditionalFormatting>
  <conditionalFormatting sqref="F78">
    <cfRule type="dataBar" priority="95">
      <dataBar>
        <cfvo type="min"/>
        <cfvo type="max"/>
        <color rgb="FFFFB628"/>
      </dataBar>
      <extLst>
        <ext xmlns:x14="http://schemas.microsoft.com/office/spreadsheetml/2009/9/main" uri="{B025F937-C7B1-47D3-B67F-A62EFF666E3E}">
          <x14:id>{EC8A5B7B-1F19-4523-9514-7E4B8D6914CE}</x14:id>
        </ext>
      </extLst>
    </cfRule>
  </conditionalFormatting>
  <conditionalFormatting sqref="E76">
    <cfRule type="colorScale" priority="93">
      <colorScale>
        <cfvo type="min"/>
        <cfvo type="percentile" val="50"/>
        <cfvo type="max"/>
        <color rgb="FFF8696B"/>
        <color rgb="FFFFEB84"/>
        <color rgb="FF63BE7B"/>
      </colorScale>
    </cfRule>
  </conditionalFormatting>
  <conditionalFormatting sqref="F76">
    <cfRule type="dataBar" priority="94">
      <dataBar>
        <cfvo type="min"/>
        <cfvo type="max"/>
        <color rgb="FFFFB628"/>
      </dataBar>
      <extLst>
        <ext xmlns:x14="http://schemas.microsoft.com/office/spreadsheetml/2009/9/main" uri="{B025F937-C7B1-47D3-B67F-A62EFF666E3E}">
          <x14:id>{DC9E3D9F-F4FD-4CFB-ADB9-D60699894954}</x14:id>
        </ext>
      </extLst>
    </cfRule>
  </conditionalFormatting>
  <conditionalFormatting sqref="E76">
    <cfRule type="colorScale" priority="92">
      <colorScale>
        <cfvo type="min"/>
        <cfvo type="percentile" val="50"/>
        <cfvo type="max"/>
        <color rgb="FFF8696B"/>
        <color rgb="FFFFEB84"/>
        <color rgb="FF63BE7B"/>
      </colorScale>
    </cfRule>
  </conditionalFormatting>
  <conditionalFormatting sqref="F76">
    <cfRule type="dataBar" priority="91">
      <dataBar>
        <cfvo type="min"/>
        <cfvo type="max"/>
        <color rgb="FFFFB628"/>
      </dataBar>
      <extLst>
        <ext xmlns:x14="http://schemas.microsoft.com/office/spreadsheetml/2009/9/main" uri="{B025F937-C7B1-47D3-B67F-A62EFF666E3E}">
          <x14:id>{C8FC9D32-2FF9-46F7-AF80-16C7614178F3}</x14:id>
        </ext>
      </extLst>
    </cfRule>
  </conditionalFormatting>
  <conditionalFormatting sqref="E77">
    <cfRule type="colorScale" priority="89">
      <colorScale>
        <cfvo type="min"/>
        <cfvo type="percentile" val="50"/>
        <cfvo type="max"/>
        <color rgb="FFF8696B"/>
        <color rgb="FFFFEB84"/>
        <color rgb="FF63BE7B"/>
      </colorScale>
    </cfRule>
  </conditionalFormatting>
  <conditionalFormatting sqref="F77">
    <cfRule type="dataBar" priority="90">
      <dataBar>
        <cfvo type="min"/>
        <cfvo type="max"/>
        <color rgb="FFFFB628"/>
      </dataBar>
      <extLst>
        <ext xmlns:x14="http://schemas.microsoft.com/office/spreadsheetml/2009/9/main" uri="{B025F937-C7B1-47D3-B67F-A62EFF666E3E}">
          <x14:id>{D9E9C763-E5C7-485C-BE80-7575457DF8A7}</x14:id>
        </ext>
      </extLst>
    </cfRule>
  </conditionalFormatting>
  <conditionalFormatting sqref="E77">
    <cfRule type="colorScale" priority="88">
      <colorScale>
        <cfvo type="min"/>
        <cfvo type="percentile" val="50"/>
        <cfvo type="max"/>
        <color rgb="FFF8696B"/>
        <color rgb="FFFFEB84"/>
        <color rgb="FF63BE7B"/>
      </colorScale>
    </cfRule>
  </conditionalFormatting>
  <conditionalFormatting sqref="F77">
    <cfRule type="dataBar" priority="87">
      <dataBar>
        <cfvo type="min"/>
        <cfvo type="max"/>
        <color rgb="FFFFB628"/>
      </dataBar>
      <extLst>
        <ext xmlns:x14="http://schemas.microsoft.com/office/spreadsheetml/2009/9/main" uri="{B025F937-C7B1-47D3-B67F-A62EFF666E3E}">
          <x14:id>{E01720A8-51A4-438F-A8C8-F40C19C55750}</x14:id>
        </ext>
      </extLst>
    </cfRule>
  </conditionalFormatting>
  <conditionalFormatting sqref="E69:E73 E75">
    <cfRule type="colorScale" priority="130">
      <colorScale>
        <cfvo type="min"/>
        <cfvo type="percentile" val="50"/>
        <cfvo type="max"/>
        <color rgb="FFF8696B"/>
        <color rgb="FFFFEB84"/>
        <color rgb="FF63BE7B"/>
      </colorScale>
    </cfRule>
  </conditionalFormatting>
  <conditionalFormatting sqref="F69:F73 F75">
    <cfRule type="dataBar" priority="131">
      <dataBar>
        <cfvo type="min"/>
        <cfvo type="max"/>
        <color rgb="FFFFB628"/>
      </dataBar>
      <extLst>
        <ext xmlns:x14="http://schemas.microsoft.com/office/spreadsheetml/2009/9/main" uri="{B025F937-C7B1-47D3-B67F-A62EFF666E3E}">
          <x14:id>{40558209-90E2-4D44-A44A-005D23EB9EDC}</x14:id>
        </ext>
      </extLst>
    </cfRule>
  </conditionalFormatting>
  <conditionalFormatting sqref="E74">
    <cfRule type="colorScale" priority="83">
      <colorScale>
        <cfvo type="min"/>
        <cfvo type="percentile" val="50"/>
        <cfvo type="max"/>
        <color rgb="FFF8696B"/>
        <color rgb="FFFFEB84"/>
        <color rgb="FF63BE7B"/>
      </colorScale>
    </cfRule>
  </conditionalFormatting>
  <conditionalFormatting sqref="F74">
    <cfRule type="dataBar" priority="84">
      <dataBar>
        <cfvo type="min"/>
        <cfvo type="max"/>
        <color rgb="FFFFB628"/>
      </dataBar>
      <extLst>
        <ext xmlns:x14="http://schemas.microsoft.com/office/spreadsheetml/2009/9/main" uri="{B025F937-C7B1-47D3-B67F-A62EFF666E3E}">
          <x14:id>{2A7D8D58-2DE7-4B18-B73B-6830B0F152AD}</x14:id>
        </ext>
      </extLst>
    </cfRule>
  </conditionalFormatting>
  <conditionalFormatting sqref="E74">
    <cfRule type="colorScale" priority="85">
      <colorScale>
        <cfvo type="min"/>
        <cfvo type="percentile" val="50"/>
        <cfvo type="max"/>
        <color rgb="FFF8696B"/>
        <color rgb="FFFFEB84"/>
        <color rgb="FF63BE7B"/>
      </colorScale>
    </cfRule>
  </conditionalFormatting>
  <conditionalFormatting sqref="F74">
    <cfRule type="dataBar" priority="86">
      <dataBar>
        <cfvo type="min"/>
        <cfvo type="max"/>
        <color rgb="FFFFB628"/>
      </dataBar>
      <extLst>
        <ext xmlns:x14="http://schemas.microsoft.com/office/spreadsheetml/2009/9/main" uri="{B025F937-C7B1-47D3-B67F-A62EFF666E3E}">
          <x14:id>{84979945-D823-4A45-AA7A-7802301AADA9}</x14:id>
        </ext>
      </extLst>
    </cfRule>
  </conditionalFormatting>
  <conditionalFormatting sqref="E86:E88 E94">
    <cfRule type="colorScale" priority="132">
      <colorScale>
        <cfvo type="min"/>
        <cfvo type="percentile" val="50"/>
        <cfvo type="max"/>
        <color rgb="FFF8696B"/>
        <color rgb="FFFFEB84"/>
        <color rgb="FF63BE7B"/>
      </colorScale>
    </cfRule>
  </conditionalFormatting>
  <conditionalFormatting sqref="F86:F88 F94">
    <cfRule type="dataBar" priority="133">
      <dataBar>
        <cfvo type="min"/>
        <cfvo type="max"/>
        <color rgb="FFFFB628"/>
      </dataBar>
      <extLst>
        <ext xmlns:x14="http://schemas.microsoft.com/office/spreadsheetml/2009/9/main" uri="{B025F937-C7B1-47D3-B67F-A62EFF666E3E}">
          <x14:id>{3CDA53DC-B912-4BF6-A3CE-D2307400055C}</x14:id>
        </ext>
      </extLst>
    </cfRule>
  </conditionalFormatting>
  <conditionalFormatting sqref="E68:E78">
    <cfRule type="colorScale" priority="82">
      <colorScale>
        <cfvo type="min"/>
        <cfvo type="percentile" val="50"/>
        <cfvo type="max"/>
        <color rgb="FFF8696B"/>
        <color rgb="FFFFEB84"/>
        <color rgb="FF63BE7B"/>
      </colorScale>
    </cfRule>
  </conditionalFormatting>
  <conditionalFormatting sqref="F68:F78">
    <cfRule type="dataBar" priority="81">
      <dataBar>
        <cfvo type="min"/>
        <cfvo type="max"/>
        <color rgb="FFFFB628"/>
      </dataBar>
      <extLst>
        <ext xmlns:x14="http://schemas.microsoft.com/office/spreadsheetml/2009/9/main" uri="{B025F937-C7B1-47D3-B67F-A62EFF666E3E}">
          <x14:id>{E4BDB53C-56AC-443C-9C9C-42F00D2093F9}</x14:id>
        </ext>
      </extLst>
    </cfRule>
  </conditionalFormatting>
  <conditionalFormatting sqref="E86:E95">
    <cfRule type="colorScale" priority="80">
      <colorScale>
        <cfvo type="min"/>
        <cfvo type="percentile" val="50"/>
        <cfvo type="max"/>
        <color rgb="FFF8696B"/>
        <color rgb="FFFFEB84"/>
        <color rgb="FF63BE7B"/>
      </colorScale>
    </cfRule>
  </conditionalFormatting>
  <conditionalFormatting sqref="E107">
    <cfRule type="colorScale" priority="76">
      <colorScale>
        <cfvo type="min"/>
        <cfvo type="percentile" val="50"/>
        <cfvo type="max"/>
        <color rgb="FFF8696B"/>
        <color rgb="FFFFEB84"/>
        <color rgb="FF63BE7B"/>
      </colorScale>
    </cfRule>
  </conditionalFormatting>
  <conditionalFormatting sqref="F107">
    <cfRule type="dataBar" priority="77">
      <dataBar>
        <cfvo type="min"/>
        <cfvo type="max"/>
        <color rgb="FFFFB628"/>
      </dataBar>
      <extLst>
        <ext xmlns:x14="http://schemas.microsoft.com/office/spreadsheetml/2009/9/main" uri="{B025F937-C7B1-47D3-B67F-A62EFF666E3E}">
          <x14:id>{1C04B944-74A7-4056-BCA8-657B731EC388}</x14:id>
        </ext>
      </extLst>
    </cfRule>
  </conditionalFormatting>
  <conditionalFormatting sqref="F102:F110">
    <cfRule type="dataBar" priority="75">
      <dataBar>
        <cfvo type="min"/>
        <cfvo type="max"/>
        <color rgb="FFFFB628"/>
      </dataBar>
      <extLst>
        <ext xmlns:x14="http://schemas.microsoft.com/office/spreadsheetml/2009/9/main" uri="{B025F937-C7B1-47D3-B67F-A62EFF666E3E}">
          <x14:id>{BA5AB4E0-9CA2-4E0C-A3FC-B8013848629A}</x14:id>
        </ext>
      </extLst>
    </cfRule>
  </conditionalFormatting>
  <conditionalFormatting sqref="E102:E104 E110">
    <cfRule type="colorScale" priority="78">
      <colorScale>
        <cfvo type="min"/>
        <cfvo type="percentile" val="50"/>
        <cfvo type="max"/>
        <color rgb="FFF8696B"/>
        <color rgb="FFFFEB84"/>
        <color rgb="FF63BE7B"/>
      </colorScale>
    </cfRule>
  </conditionalFormatting>
  <conditionalFormatting sqref="F102:F104 F110">
    <cfRule type="dataBar" priority="79">
      <dataBar>
        <cfvo type="min"/>
        <cfvo type="max"/>
        <color rgb="FFFFB628"/>
      </dataBar>
      <extLst>
        <ext xmlns:x14="http://schemas.microsoft.com/office/spreadsheetml/2009/9/main" uri="{B025F937-C7B1-47D3-B67F-A62EFF666E3E}">
          <x14:id>{74AA6F57-0C85-4B46-A8F3-F271F6A311BA}</x14:id>
        </ext>
      </extLst>
    </cfRule>
  </conditionalFormatting>
  <conditionalFormatting sqref="E102:E111">
    <cfRule type="colorScale" priority="74">
      <colorScale>
        <cfvo type="min"/>
        <cfvo type="percentile" val="50"/>
        <cfvo type="max"/>
        <color rgb="FFF8696B"/>
        <color rgb="FFFFEB84"/>
        <color rgb="FF63BE7B"/>
      </colorScale>
    </cfRule>
  </conditionalFormatting>
  <conditionalFormatting sqref="W9:X15">
    <cfRule type="colorScale" priority="71">
      <colorScale>
        <cfvo type="min"/>
        <cfvo type="percentile" val="50"/>
        <cfvo type="max"/>
        <color rgb="FFF8696B"/>
        <color rgb="FFFFEB84"/>
        <color rgb="FF63BE7B"/>
      </colorScale>
    </cfRule>
  </conditionalFormatting>
  <conditionalFormatting sqref="Y9:Y15">
    <cfRule type="dataBar" priority="70">
      <dataBar>
        <cfvo type="min"/>
        <cfvo type="max"/>
        <color rgb="FFFFB628"/>
      </dataBar>
      <extLst>
        <ext xmlns:x14="http://schemas.microsoft.com/office/spreadsheetml/2009/9/main" uri="{B025F937-C7B1-47D3-B67F-A62EFF666E3E}">
          <x14:id>{3C9A7111-1755-448A-86DE-387D835D522A}</x14:id>
        </ext>
      </extLst>
    </cfRule>
  </conditionalFormatting>
  <conditionalFormatting sqref="Z9:Z15">
    <cfRule type="dataBar" priority="69">
      <dataBar>
        <cfvo type="min"/>
        <cfvo type="max"/>
        <color rgb="FF638EC6"/>
      </dataBar>
      <extLst>
        <ext xmlns:x14="http://schemas.microsoft.com/office/spreadsheetml/2009/9/main" uri="{B025F937-C7B1-47D3-B67F-A62EFF666E3E}">
          <x14:id>{2D2F3AFB-0B81-446C-B854-4519B24511FE}</x14:id>
        </ext>
      </extLst>
    </cfRule>
  </conditionalFormatting>
  <conditionalFormatting sqref="X18:X26">
    <cfRule type="colorScale" priority="68">
      <colorScale>
        <cfvo type="min"/>
        <cfvo type="percentile" val="50"/>
        <cfvo type="max"/>
        <color rgb="FFF8696B"/>
        <color rgb="FFFFEB84"/>
        <color rgb="FF63BE7B"/>
      </colorScale>
    </cfRule>
  </conditionalFormatting>
  <conditionalFormatting sqref="Y18:Y26">
    <cfRule type="dataBar" priority="67">
      <dataBar>
        <cfvo type="min"/>
        <cfvo type="max"/>
        <color rgb="FFFFB628"/>
      </dataBar>
      <extLst>
        <ext xmlns:x14="http://schemas.microsoft.com/office/spreadsheetml/2009/9/main" uri="{B025F937-C7B1-47D3-B67F-A62EFF666E3E}">
          <x14:id>{C87D3196-E34B-4A51-8752-C6518555A9F3}</x14:id>
        </ext>
      </extLst>
    </cfRule>
  </conditionalFormatting>
  <conditionalFormatting sqref="Z18:Z26">
    <cfRule type="dataBar" priority="66">
      <dataBar>
        <cfvo type="min"/>
        <cfvo type="max"/>
        <color rgb="FF638EC6"/>
      </dataBar>
      <extLst>
        <ext xmlns:x14="http://schemas.microsoft.com/office/spreadsheetml/2009/9/main" uri="{B025F937-C7B1-47D3-B67F-A62EFF666E3E}">
          <x14:id>{1D006062-E946-4FFE-A706-A8C53BC222B6}</x14:id>
        </ext>
      </extLst>
    </cfRule>
  </conditionalFormatting>
  <conditionalFormatting sqref="W29:X32">
    <cfRule type="colorScale" priority="65">
      <colorScale>
        <cfvo type="min"/>
        <cfvo type="percentile" val="50"/>
        <cfvo type="max"/>
        <color rgb="FFF8696B"/>
        <color rgb="FFFFEB84"/>
        <color rgb="FF63BE7B"/>
      </colorScale>
    </cfRule>
  </conditionalFormatting>
  <conditionalFormatting sqref="Y29:Y32">
    <cfRule type="dataBar" priority="64">
      <dataBar>
        <cfvo type="min"/>
        <cfvo type="max"/>
        <color rgb="FFFFB628"/>
      </dataBar>
      <extLst>
        <ext xmlns:x14="http://schemas.microsoft.com/office/spreadsheetml/2009/9/main" uri="{B025F937-C7B1-47D3-B67F-A62EFF666E3E}">
          <x14:id>{8E9C9FE1-D20B-442B-9DDB-A83BF40AFDCF}</x14:id>
        </ext>
      </extLst>
    </cfRule>
  </conditionalFormatting>
  <conditionalFormatting sqref="Z29:Z32">
    <cfRule type="dataBar" priority="63">
      <dataBar>
        <cfvo type="min"/>
        <cfvo type="max"/>
        <color rgb="FF638EC6"/>
      </dataBar>
      <extLst>
        <ext xmlns:x14="http://schemas.microsoft.com/office/spreadsheetml/2009/9/main" uri="{B025F937-C7B1-47D3-B67F-A62EFF666E3E}">
          <x14:id>{31B79236-B125-4962-A970-B0B05EEA79D1}</x14:id>
        </ext>
      </extLst>
    </cfRule>
  </conditionalFormatting>
  <conditionalFormatting sqref="W35:X40">
    <cfRule type="colorScale" priority="62">
      <colorScale>
        <cfvo type="min"/>
        <cfvo type="percentile" val="50"/>
        <cfvo type="max"/>
        <color rgb="FFF8696B"/>
        <color rgb="FFFFEB84"/>
        <color rgb="FF63BE7B"/>
      </colorScale>
    </cfRule>
  </conditionalFormatting>
  <conditionalFormatting sqref="Y35:Y40">
    <cfRule type="dataBar" priority="61">
      <dataBar>
        <cfvo type="min"/>
        <cfvo type="max"/>
        <color rgb="FFFFB628"/>
      </dataBar>
      <extLst>
        <ext xmlns:x14="http://schemas.microsoft.com/office/spreadsheetml/2009/9/main" uri="{B025F937-C7B1-47D3-B67F-A62EFF666E3E}">
          <x14:id>{B5D6CBAD-1AB8-4156-9B05-855991429EA8}</x14:id>
        </ext>
      </extLst>
    </cfRule>
  </conditionalFormatting>
  <conditionalFormatting sqref="Z35:Z40">
    <cfRule type="dataBar" priority="60">
      <dataBar>
        <cfvo type="min"/>
        <cfvo type="max"/>
        <color rgb="FF638EC6"/>
      </dataBar>
      <extLst>
        <ext xmlns:x14="http://schemas.microsoft.com/office/spreadsheetml/2009/9/main" uri="{B025F937-C7B1-47D3-B67F-A62EFF666E3E}">
          <x14:id>{A3D7BCD5-672A-46F0-A68D-2B8804025033}</x14:id>
        </ext>
      </extLst>
    </cfRule>
  </conditionalFormatting>
  <conditionalFormatting sqref="Y43:Y47">
    <cfRule type="dataBar" priority="59">
      <dataBar>
        <cfvo type="min"/>
        <cfvo type="max"/>
        <color rgb="FFFFB628"/>
      </dataBar>
      <extLst>
        <ext xmlns:x14="http://schemas.microsoft.com/office/spreadsheetml/2009/9/main" uri="{B025F937-C7B1-47D3-B67F-A62EFF666E3E}">
          <x14:id>{733AC8DA-FE8E-4039-86FB-E3A2328AE796}</x14:id>
        </ext>
      </extLst>
    </cfRule>
  </conditionalFormatting>
  <conditionalFormatting sqref="Z43:Z47">
    <cfRule type="dataBar" priority="58">
      <dataBar>
        <cfvo type="min"/>
        <cfvo type="max"/>
        <color rgb="FF638EC6"/>
      </dataBar>
      <extLst>
        <ext xmlns:x14="http://schemas.microsoft.com/office/spreadsheetml/2009/9/main" uri="{B025F937-C7B1-47D3-B67F-A62EFF666E3E}">
          <x14:id>{31A8E4C6-03B3-41C9-9CB9-30229C1D3819}</x14:id>
        </ext>
      </extLst>
    </cfRule>
  </conditionalFormatting>
  <conditionalFormatting sqref="W18:W26">
    <cfRule type="colorScale" priority="57">
      <colorScale>
        <cfvo type="min"/>
        <cfvo type="percentile" val="50"/>
        <cfvo type="max"/>
        <color rgb="FFF8696B"/>
        <color rgb="FFFFEB84"/>
        <color rgb="FF63BE7B"/>
      </colorScale>
    </cfRule>
  </conditionalFormatting>
  <conditionalFormatting sqref="W43:X47">
    <cfRule type="colorScale" priority="56">
      <colorScale>
        <cfvo type="min"/>
        <cfvo type="percentile" val="50"/>
        <cfvo type="max"/>
        <color rgb="FFF8696B"/>
        <color rgb="FFFFEB84"/>
        <color rgb="FF63BE7B"/>
      </colorScale>
    </cfRule>
  </conditionalFormatting>
  <conditionalFormatting pivot="1" sqref="J47:J52 J54:J58">
    <cfRule type="dataBar" priority="46">
      <dataBar>
        <cfvo type="min"/>
        <cfvo type="max"/>
        <color rgb="FF63C384"/>
      </dataBar>
      <extLst>
        <ext xmlns:x14="http://schemas.microsoft.com/office/spreadsheetml/2009/9/main" uri="{B025F937-C7B1-47D3-B67F-A62EFF666E3E}">
          <x14:id>{CF588808-1571-4781-9323-4CE9DAE1A474}</x14:id>
        </ext>
      </extLst>
    </cfRule>
  </conditionalFormatting>
  <conditionalFormatting pivot="1" sqref="M48:M50 M52:M54 M56:M57 M59 M61:M62 M64 M67:M73 M75:M76 M78 M80 M82:M83">
    <cfRule type="dataBar" priority="45">
      <dataBar>
        <cfvo type="min"/>
        <cfvo type="max"/>
        <color rgb="FF63C384"/>
      </dataBar>
      <extLst>
        <ext xmlns:x14="http://schemas.microsoft.com/office/spreadsheetml/2009/9/main" uri="{B025F937-C7B1-47D3-B67F-A62EFF666E3E}">
          <x14:id>{7B08BAAB-AB10-49C8-AEE4-1C8606368BDA}</x14:id>
        </ext>
      </extLst>
    </cfRule>
  </conditionalFormatting>
  <conditionalFormatting pivot="1" sqref="P48:P50 P52:P53 P55:P57 P59 P61:P62 P64 P67:P68 P70 P72 P74 P76:P77">
    <cfRule type="dataBar" priority="44">
      <dataBar>
        <cfvo type="min"/>
        <cfvo type="max"/>
        <color rgb="FF63C384"/>
      </dataBar>
      <extLst>
        <ext xmlns:x14="http://schemas.microsoft.com/office/spreadsheetml/2009/9/main" uri="{B025F937-C7B1-47D3-B67F-A62EFF666E3E}">
          <x14:id>{FC70865B-8D8B-4ED6-BAAA-73AE8CF4CDB4}</x14:id>
        </ext>
      </extLst>
    </cfRule>
  </conditionalFormatting>
  <conditionalFormatting pivot="1" sqref="P85:P86 P88:P89 P91:P92 P94 P96:P97 P99 P102:P103 P105 P107 P109 P111:P112">
    <cfRule type="dataBar" priority="40">
      <dataBar>
        <cfvo type="min"/>
        <cfvo type="max"/>
        <color rgb="FF63C384"/>
      </dataBar>
      <extLst>
        <ext xmlns:x14="http://schemas.microsoft.com/office/spreadsheetml/2009/9/main" uri="{B025F937-C7B1-47D3-B67F-A62EFF666E3E}">
          <x14:id>{7F80E3B2-BA57-4DD6-97A5-A85DB4564A70}</x14:id>
        </ext>
      </extLst>
    </cfRule>
  </conditionalFormatting>
  <conditionalFormatting pivot="1" sqref="S56:S62 S64:S67 S69:S70 S72:S73 S75:S76 S78:S80">
    <cfRule type="dataBar" priority="39">
      <dataBar>
        <cfvo type="min"/>
        <cfvo type="max"/>
        <color rgb="FF63C384"/>
      </dataBar>
      <extLst>
        <ext xmlns:x14="http://schemas.microsoft.com/office/spreadsheetml/2009/9/main" uri="{B025F937-C7B1-47D3-B67F-A62EFF666E3E}">
          <x14:id>{87071503-CDFE-47A7-881C-68DEDA4A04B1}</x14:id>
        </ext>
      </extLst>
    </cfRule>
  </conditionalFormatting>
  <conditionalFormatting pivot="1" sqref="T56:T62 T64:T67 T69:T70 T72:T73 T75:T76 T78:T80">
    <cfRule type="dataBar" priority="38">
      <dataBar>
        <cfvo type="min"/>
        <cfvo type="max"/>
        <color rgb="FF63C384"/>
      </dataBar>
      <extLst>
        <ext xmlns:x14="http://schemas.microsoft.com/office/spreadsheetml/2009/9/main" uri="{B025F937-C7B1-47D3-B67F-A62EFF666E3E}">
          <x14:id>{E3BAB952-427B-433C-9A76-15BC86216EEA}</x14:id>
        </ext>
      </extLst>
    </cfRule>
  </conditionalFormatting>
  <conditionalFormatting pivot="1" sqref="S87:S91">
    <cfRule type="dataBar" priority="37">
      <dataBar>
        <cfvo type="min"/>
        <cfvo type="max"/>
        <color rgb="FF63C384"/>
      </dataBar>
      <extLst>
        <ext xmlns:x14="http://schemas.microsoft.com/office/spreadsheetml/2009/9/main" uri="{B025F937-C7B1-47D3-B67F-A62EFF666E3E}">
          <x14:id>{74C0C90A-FD13-4D3B-A529-040E583B02E5}</x14:id>
        </ext>
      </extLst>
    </cfRule>
  </conditionalFormatting>
  <conditionalFormatting pivot="1" sqref="T87:T91">
    <cfRule type="dataBar" priority="36">
      <dataBar>
        <cfvo type="min"/>
        <cfvo type="max"/>
        <color rgb="FF63C384"/>
      </dataBar>
      <extLst>
        <ext xmlns:x14="http://schemas.microsoft.com/office/spreadsheetml/2009/9/main" uri="{B025F937-C7B1-47D3-B67F-A62EFF666E3E}">
          <x14:id>{BA192F55-C55B-409D-B7D3-80DDD9738D9C}</x14:id>
        </ext>
      </extLst>
    </cfRule>
  </conditionalFormatting>
  <conditionalFormatting pivot="1" sqref="S98:S102">
    <cfRule type="dataBar" priority="35">
      <dataBar>
        <cfvo type="min"/>
        <cfvo type="max"/>
        <color rgb="FF63C384"/>
      </dataBar>
      <extLst>
        <ext xmlns:x14="http://schemas.microsoft.com/office/spreadsheetml/2009/9/main" uri="{B025F937-C7B1-47D3-B67F-A62EFF666E3E}">
          <x14:id>{94C64E8B-474A-4365-A027-5CAA177FB396}</x14:id>
        </ext>
      </extLst>
    </cfRule>
  </conditionalFormatting>
  <conditionalFormatting pivot="1" sqref="T98:T102">
    <cfRule type="dataBar" priority="34">
      <dataBar>
        <cfvo type="min"/>
        <cfvo type="max"/>
        <color rgb="FF63C384"/>
      </dataBar>
      <extLst>
        <ext xmlns:x14="http://schemas.microsoft.com/office/spreadsheetml/2009/9/main" uri="{B025F937-C7B1-47D3-B67F-A62EFF666E3E}">
          <x14:id>{6611C46E-ED4D-4D2F-B1FC-BB5E83C6C61C}</x14:id>
        </ext>
      </extLst>
    </cfRule>
  </conditionalFormatting>
  <conditionalFormatting pivot="1" sqref="X56:X59 X61 X63 X65:X66 X68:X69 X71:X72 X74:X78">
    <cfRule type="dataBar" priority="33">
      <dataBar>
        <cfvo type="min"/>
        <cfvo type="max"/>
        <color rgb="FF63C384"/>
      </dataBar>
      <extLst>
        <ext xmlns:x14="http://schemas.microsoft.com/office/spreadsheetml/2009/9/main" uri="{B025F937-C7B1-47D3-B67F-A62EFF666E3E}">
          <x14:id>{B85B7A65-2CB3-4ABE-9C2C-609151F75651}</x14:id>
        </ext>
      </extLst>
    </cfRule>
  </conditionalFormatting>
  <conditionalFormatting pivot="1" sqref="Y56:Y59 Y61 Y63 Y65:Y66 Y68:Y69 Y71:Y72 Y74:Y78">
    <cfRule type="dataBar" priority="32">
      <dataBar>
        <cfvo type="min"/>
        <cfvo type="max"/>
        <color rgb="FF63C384"/>
      </dataBar>
      <extLst>
        <ext xmlns:x14="http://schemas.microsoft.com/office/spreadsheetml/2009/9/main" uri="{B025F937-C7B1-47D3-B67F-A62EFF666E3E}">
          <x14:id>{A89BBF4A-CE4D-44F1-91C5-6D05AEB94FD3}</x14:id>
        </ext>
      </extLst>
    </cfRule>
  </conditionalFormatting>
  <conditionalFormatting pivot="1" sqref="X85:X86 X88 X90 X92 X94 X96:X97 X99:X103">
    <cfRule type="dataBar" priority="31">
      <dataBar>
        <cfvo type="min"/>
        <cfvo type="max"/>
        <color rgb="FF63C384"/>
      </dataBar>
      <extLst>
        <ext xmlns:x14="http://schemas.microsoft.com/office/spreadsheetml/2009/9/main" uri="{B025F937-C7B1-47D3-B67F-A62EFF666E3E}">
          <x14:id>{2121165C-20C3-4A71-8C36-67D89F02ED45}</x14:id>
        </ext>
      </extLst>
    </cfRule>
  </conditionalFormatting>
  <conditionalFormatting pivot="1" sqref="Y85:Y86 Y88 Y90 Y92 Y94 Y96:Y97 Y99:Y103">
    <cfRule type="dataBar" priority="30">
      <dataBar>
        <cfvo type="min"/>
        <cfvo type="max"/>
        <color rgb="FF63C384"/>
      </dataBar>
      <extLst>
        <ext xmlns:x14="http://schemas.microsoft.com/office/spreadsheetml/2009/9/main" uri="{B025F937-C7B1-47D3-B67F-A62EFF666E3E}">
          <x14:id>{E07F219B-601E-49FF-900B-BE236845642A}</x14:id>
        </ext>
      </extLst>
    </cfRule>
  </conditionalFormatting>
  <conditionalFormatting pivot="1" sqref="U56:U62 U64:U67 U69:U70 U72:U73 U75:U76 U78:U80">
    <cfRule type="aboveAverage" dxfId="15" priority="29"/>
  </conditionalFormatting>
  <conditionalFormatting pivot="1" sqref="U87:U91">
    <cfRule type="aboveAverage" dxfId="14" priority="28"/>
  </conditionalFormatting>
  <conditionalFormatting pivot="1" sqref="U98:U102">
    <cfRule type="aboveAverage" dxfId="13" priority="27"/>
  </conditionalFormatting>
  <conditionalFormatting pivot="1" sqref="Z56:Z59 Z61 Z63 Z65:Z66 Z68:Z69 Z71:Z72 Z74:Z78">
    <cfRule type="aboveAverage" dxfId="12" priority="26"/>
  </conditionalFormatting>
  <conditionalFormatting pivot="1" sqref="Z85:Z86 Z88 Z90 Z92 Z94 Z96:Z97 Z99:Z103">
    <cfRule type="aboveAverage" dxfId="11" priority="25"/>
  </conditionalFormatting>
  <conditionalFormatting pivot="1" sqref="X110:X112 X114 X116:X118 X120:X121 X123:X124 X126:X127 X129:X134">
    <cfRule type="dataBar" priority="24">
      <dataBar>
        <cfvo type="min"/>
        <cfvo type="max"/>
        <color rgb="FF63C384"/>
      </dataBar>
      <extLst>
        <ext xmlns:x14="http://schemas.microsoft.com/office/spreadsheetml/2009/9/main" uri="{B025F937-C7B1-47D3-B67F-A62EFF666E3E}">
          <x14:id>{5D61DF9C-A0F4-42E9-84BF-EC447D5CDBC5}</x14:id>
        </ext>
      </extLst>
    </cfRule>
  </conditionalFormatting>
  <conditionalFormatting pivot="1" sqref="Y110:Y112 Y114 Y116:Y118 Y120:Y121 Y123:Y124 Y126:Y127 Y129:Y134">
    <cfRule type="dataBar" priority="23">
      <dataBar>
        <cfvo type="min"/>
        <cfvo type="max"/>
        <color rgb="FF63C384"/>
      </dataBar>
      <extLst>
        <ext xmlns:x14="http://schemas.microsoft.com/office/spreadsheetml/2009/9/main" uri="{B025F937-C7B1-47D3-B67F-A62EFF666E3E}">
          <x14:id>{0AB8299C-301C-4FE1-B6EB-23FC2370858F}</x14:id>
        </ext>
      </extLst>
    </cfRule>
  </conditionalFormatting>
  <conditionalFormatting pivot="1" sqref="Z110:Z112 Z114 Z116:Z118 Z120:Z121 Z123:Z124 Z126:Z127 Z129:Z134">
    <cfRule type="aboveAverage" dxfId="10" priority="22"/>
  </conditionalFormatting>
  <conditionalFormatting pivot="1" sqref="X141:X143 X145 X147:X148 X150 X152 X154 X157:X161">
    <cfRule type="dataBar" priority="21">
      <dataBar>
        <cfvo type="min"/>
        <cfvo type="max"/>
        <color rgb="FF63C384"/>
      </dataBar>
      <extLst>
        <ext xmlns:x14="http://schemas.microsoft.com/office/spreadsheetml/2009/9/main" uri="{B025F937-C7B1-47D3-B67F-A62EFF666E3E}">
          <x14:id>{3778F6B8-D469-4192-AB07-C16D6D70C1D7}</x14:id>
        </ext>
      </extLst>
    </cfRule>
  </conditionalFormatting>
  <conditionalFormatting pivot="1" sqref="Y141:Y143 Y145 Y147:Y148 Y150 Y152 Y154:Y155 Y157:Y161">
    <cfRule type="dataBar" priority="20">
      <dataBar>
        <cfvo type="min"/>
        <cfvo type="max"/>
        <color rgb="FF63C384"/>
      </dataBar>
      <extLst>
        <ext xmlns:x14="http://schemas.microsoft.com/office/spreadsheetml/2009/9/main" uri="{B025F937-C7B1-47D3-B67F-A62EFF666E3E}">
          <x14:id>{32DA7766-C438-4D65-BD10-2D6A6547DA61}</x14:id>
        </ext>
      </extLst>
    </cfRule>
  </conditionalFormatting>
  <conditionalFormatting pivot="1" sqref="Z141:Z143 Z145 Z147:Z148 Z150 Z152 Z154:Z155 Z157:Z161">
    <cfRule type="aboveAverage" dxfId="9" priority="19"/>
  </conditionalFormatting>
  <conditionalFormatting pivot="1" sqref="X168:X170 X172:X174 X176:X178 X180 X182:X184 X186:X189 X191:X196">
    <cfRule type="dataBar" priority="18">
      <dataBar>
        <cfvo type="min"/>
        <cfvo type="max"/>
        <color rgb="FF63C384"/>
      </dataBar>
      <extLst>
        <ext xmlns:x14="http://schemas.microsoft.com/office/spreadsheetml/2009/9/main" uri="{B025F937-C7B1-47D3-B67F-A62EFF666E3E}">
          <x14:id>{9BE0D53C-8093-4A11-BBBF-B05C7A73778E}</x14:id>
        </ext>
      </extLst>
    </cfRule>
  </conditionalFormatting>
  <conditionalFormatting pivot="1" sqref="Y168:Y170 Y172:Y174 Y176:Y178 Y180 Y182:Y184 Y186:Y189 Y191:Y196">
    <cfRule type="dataBar" priority="17">
      <dataBar>
        <cfvo type="min"/>
        <cfvo type="max"/>
        <color rgb="FF63C384"/>
      </dataBar>
      <extLst>
        <ext xmlns:x14="http://schemas.microsoft.com/office/spreadsheetml/2009/9/main" uri="{B025F937-C7B1-47D3-B67F-A62EFF666E3E}">
          <x14:id>{4DCFE3DF-3C7F-47F7-9E4B-C41BF1D379D9}</x14:id>
        </ext>
      </extLst>
    </cfRule>
  </conditionalFormatting>
  <conditionalFormatting pivot="1" sqref="Z168:Z170 Z172:Z174 Z176:Z178 Z180 Z182:Z184 Z186:Z189 Z191:Z196">
    <cfRule type="aboveAverage" dxfId="8" priority="16"/>
  </conditionalFormatting>
  <conditionalFormatting pivot="1" sqref="X205:X206 X203 X208:X209 X211 X213 X215:X218 X220:X228">
    <cfRule type="dataBar" priority="15">
      <dataBar>
        <cfvo type="min"/>
        <cfvo type="max"/>
        <color rgb="FF63C384"/>
      </dataBar>
      <extLst>
        <ext xmlns:x14="http://schemas.microsoft.com/office/spreadsheetml/2009/9/main" uri="{B025F937-C7B1-47D3-B67F-A62EFF666E3E}">
          <x14:id>{B6D5FDEB-86CC-41DB-A4DE-499487A1C98E}</x14:id>
        </ext>
      </extLst>
    </cfRule>
  </conditionalFormatting>
  <conditionalFormatting pivot="1" sqref="Y205:Y206 Y203 Y208:Y209 Y211 Y213 Y215:Y218 Y220:Y228">
    <cfRule type="dataBar" priority="14">
      <dataBar>
        <cfvo type="min"/>
        <cfvo type="max"/>
        <color rgb="FF63C384"/>
      </dataBar>
      <extLst>
        <ext xmlns:x14="http://schemas.microsoft.com/office/spreadsheetml/2009/9/main" uri="{B025F937-C7B1-47D3-B67F-A62EFF666E3E}">
          <x14:id>{8722AF7D-8E66-4538-AF10-239BE49B5799}</x14:id>
        </ext>
      </extLst>
    </cfRule>
  </conditionalFormatting>
  <conditionalFormatting pivot="1" sqref="Z203 Z205:Z206 Z208:Z209 Z211 Z213 Z215:Z218 Z220:Z228">
    <cfRule type="aboveAverage" dxfId="7" priority="13"/>
  </conditionalFormatting>
  <conditionalFormatting pivot="1" sqref="AC58 AC56 AC60:AC61 AC63:AC64 AC66 AC68:AC72 AC74:AC76 AC78:AC79 AD56 AD58 AD60:AD61 AD63:AD64 AD66 AD68:AD72 AD74:AD76 AD78:AD79">
    <cfRule type="dataBar" priority="12">
      <dataBar>
        <cfvo type="min"/>
        <cfvo type="max"/>
        <color rgb="FF63C384"/>
      </dataBar>
      <extLst>
        <ext xmlns:x14="http://schemas.microsoft.com/office/spreadsheetml/2009/9/main" uri="{B025F937-C7B1-47D3-B67F-A62EFF666E3E}">
          <x14:id>{0055226C-C7CE-45BA-BCFD-D0D9A744D68A}</x14:id>
        </ext>
      </extLst>
    </cfRule>
  </conditionalFormatting>
  <conditionalFormatting pivot="1" sqref="AE56 AE58 AE60:AE61 AE63:AE64 AE66 AE68:AE72 AE74:AE76 AE78:AE79">
    <cfRule type="aboveAverage" dxfId="6" priority="11"/>
  </conditionalFormatting>
  <conditionalFormatting pivot="1" sqref="AC86:AC87 AC89:AC90 AC92 AC94:AC95 AC97:AC101 AC103:AC104 AC106 AD106 AD103:AD104 AD97:AD100 AD101 AD94:AD95 AD92 AD89:AD90 AD86:AD87">
    <cfRule type="dataBar" priority="10">
      <dataBar>
        <cfvo type="min"/>
        <cfvo type="max"/>
        <color rgb="FF63C384"/>
      </dataBar>
      <extLst>
        <ext xmlns:x14="http://schemas.microsoft.com/office/spreadsheetml/2009/9/main" uri="{B025F937-C7B1-47D3-B67F-A62EFF666E3E}">
          <x14:id>{98FBB083-1E0C-434E-835A-B0ED2B6D95BA}</x14:id>
        </ext>
      </extLst>
    </cfRule>
  </conditionalFormatting>
  <conditionalFormatting pivot="1" sqref="AE86:AE87 AE89:AE90 AE92 AE94:AE95 AE97:AE101 AE103:AE104 AE106">
    <cfRule type="aboveAverage" dxfId="5" priority="9"/>
  </conditionalFormatting>
  <conditionalFormatting pivot="1" sqref="AC113 AD113 AC115:AD115 AC117:AD120 AC122:AD123 AC125:AD125 AC127:AD132 AC134:AD135 AC137:AD139">
    <cfRule type="dataBar" priority="8">
      <dataBar>
        <cfvo type="min"/>
        <cfvo type="max"/>
        <color rgb="FF63C384"/>
      </dataBar>
      <extLst>
        <ext xmlns:x14="http://schemas.microsoft.com/office/spreadsheetml/2009/9/main" uri="{B025F937-C7B1-47D3-B67F-A62EFF666E3E}">
          <x14:id>{9A44D8F3-5C95-474A-BDAF-4B26BEA93132}</x14:id>
        </ext>
      </extLst>
    </cfRule>
  </conditionalFormatting>
  <conditionalFormatting pivot="1" sqref="AE113 AE115 AE117:AE120 AE122:AE123 AE125 AE127:AE132 AE134:AE135 AE137:AE139">
    <cfRule type="aboveAverage" dxfId="4" priority="7"/>
  </conditionalFormatting>
  <conditionalFormatting pivot="1" sqref="AC146:AD147 AC149:AD152 AC154:AD154 AC156:AD157 AC159:AD163 AC165:AD167 AC169:AD169">
    <cfRule type="dataBar" priority="6">
      <dataBar>
        <cfvo type="min"/>
        <cfvo type="max"/>
        <color rgb="FF63C384"/>
      </dataBar>
      <extLst>
        <ext xmlns:x14="http://schemas.microsoft.com/office/spreadsheetml/2009/9/main" uri="{B025F937-C7B1-47D3-B67F-A62EFF666E3E}">
          <x14:id>{12D62F96-5FC6-4D64-8C42-7657B15D934E}</x14:id>
        </ext>
      </extLst>
    </cfRule>
  </conditionalFormatting>
  <conditionalFormatting pivot="1" sqref="AE146:AE147 AE149:AE152 AE154 AE156:AE157 AE159:AE163 AE165:AE167 AE169">
    <cfRule type="aboveAverage" dxfId="3" priority="5"/>
  </conditionalFormatting>
  <conditionalFormatting pivot="1" sqref="AC176:AD176 AC178 AD178 AC180:AD187 AC189:AD192 AC194:AD194 AC196:AD201 AC203:AD204 AC206:AD206">
    <cfRule type="dataBar" priority="4">
      <dataBar>
        <cfvo type="min"/>
        <cfvo type="max"/>
        <color rgb="FF63C384"/>
      </dataBar>
      <extLst>
        <ext xmlns:x14="http://schemas.microsoft.com/office/spreadsheetml/2009/9/main" uri="{B025F937-C7B1-47D3-B67F-A62EFF666E3E}">
          <x14:id>{29C5B77A-823B-486F-8432-DC8F45B45027}</x14:id>
        </ext>
      </extLst>
    </cfRule>
  </conditionalFormatting>
  <conditionalFormatting pivot="1" sqref="AE176 AE178 AE180:AE187 AE189:AE192 AE194 AE196:AE201 AE203:AE204 AE206">
    <cfRule type="aboveAverage" dxfId="2" priority="3"/>
  </conditionalFormatting>
  <conditionalFormatting pivot="1" sqref="AC213:AD213 AC215:AD219 AC221:AD221 AC223:AD224 AC226:AD234 AC236:AD238 AC240:AD240">
    <cfRule type="dataBar" priority="2">
      <dataBar>
        <cfvo type="min"/>
        <cfvo type="max"/>
        <color rgb="FF63C384"/>
      </dataBar>
      <extLst>
        <ext xmlns:x14="http://schemas.microsoft.com/office/spreadsheetml/2009/9/main" uri="{B025F937-C7B1-47D3-B67F-A62EFF666E3E}">
          <x14:id>{3C67D5CC-8B28-4986-90B5-DA90626FB188}</x14:id>
        </ext>
      </extLst>
    </cfRule>
  </conditionalFormatting>
  <conditionalFormatting pivot="1" sqref="AE213 AE215:AE219 AE221 AE223:AE224 AE226:AE234 AE236:AE238 AE240">
    <cfRule type="aboveAverage" dxfId="1" priority="1"/>
  </conditionalFormatting>
  <dataValidations count="9">
    <dataValidation type="list" allowBlank="1" showInputMessage="1" showErrorMessage="1" sqref="F8:F42" xr:uid="{A84374E1-E88F-4C5D-908F-0A7756AD06A1}">
      <formula1>$D$68:$D$78</formula1>
    </dataValidation>
    <dataValidation type="list" allowBlank="1" showInputMessage="1" showErrorMessage="1" sqref="D8:D42" xr:uid="{522DEC05-2526-4051-8BD4-6AB94CE520C2}">
      <formula1>$D$46:$D$47</formula1>
    </dataValidation>
    <dataValidation type="list" allowBlank="1" showInputMessage="1" showErrorMessage="1" sqref="E8:E42" xr:uid="{C4384884-5DDE-45AB-87FC-06E87C6FF406}">
      <formula1>$D$54:$D$61</formula1>
    </dataValidation>
    <dataValidation type="list" allowBlank="1" showInputMessage="1" showErrorMessage="1" sqref="G8:H42" xr:uid="{22580771-EED4-44F3-99B4-233C35726B31}">
      <formula1>$D$124:$D$128</formula1>
    </dataValidation>
    <dataValidation type="list" allowBlank="1" showInputMessage="1" showErrorMessage="1" sqref="I8:J42" xr:uid="{4DE745E6-E0A2-436A-937E-444AB387996E}">
      <formula1>$F$123:$F$129</formula1>
    </dataValidation>
    <dataValidation type="list" allowBlank="1" showInputMessage="1" showErrorMessage="1" sqref="K8:L42" xr:uid="{7305F2C9-1CFC-49F1-B84D-097B05A4920B}">
      <formula1>$G$123:$G$131</formula1>
    </dataValidation>
    <dataValidation type="list" allowBlank="1" showInputMessage="1" showErrorMessage="1" sqref="M8:N42" xr:uid="{2DE4259B-E411-4025-8149-83B2A99A7C1C}">
      <formula1>$H$123:$H$126</formula1>
    </dataValidation>
    <dataValidation type="list" allowBlank="1" showInputMessage="1" showErrorMessage="1" sqref="O8:P42" xr:uid="{8C474474-6A3C-437D-902D-26BB58A2A540}">
      <formula1>$J$123:$J$128</formula1>
    </dataValidation>
    <dataValidation type="list" allowBlank="1" showInputMessage="1" showErrorMessage="1" sqref="Q8:R42" xr:uid="{AB0E8225-9FD2-4F9C-96B6-381C1B575664}">
      <formula1>$K$123:$K$127</formula1>
    </dataValidation>
  </dataValidations>
  <pageMargins left="0.7" right="0.7" top="0.75" bottom="0.75" header="0.3" footer="0.3"/>
  <pageSetup orientation="portrait" r:id="rId20"/>
  <legacyDrawing r:id="rId21"/>
  <tableParts count="1">
    <tablePart r:id="rId22"/>
  </tableParts>
  <extLst>
    <ext xmlns:x14="http://schemas.microsoft.com/office/spreadsheetml/2009/9/main" uri="{78C0D931-6437-407d-A8EE-F0AAD7539E65}">
      <x14:conditionalFormattings>
        <x14:conditionalFormatting xmlns:xm="http://schemas.microsoft.com/office/excel/2006/main">
          <x14:cfRule type="dataBar" id="{115E083D-F48E-4E33-9CE6-68F9227CC1E0}">
            <x14:dataBar minLength="0" maxLength="100" border="1" negativeBarBorderColorSameAsPositive="0">
              <x14:cfvo type="autoMin"/>
              <x14:cfvo type="autoMax"/>
              <x14:borderColor rgb="FFFFB628"/>
              <x14:negativeFillColor rgb="FFFF0000"/>
              <x14:negativeBorderColor rgb="FFFF0000"/>
              <x14:axisColor rgb="FF000000"/>
            </x14:dataBar>
          </x14:cfRule>
          <xm:sqref>F46:F47</xm:sqref>
        </x14:conditionalFormatting>
        <x14:conditionalFormatting xmlns:xm="http://schemas.microsoft.com/office/excel/2006/main">
          <x14:cfRule type="dataBar" id="{2DFB74E4-5068-43CB-8972-6811EEB6044B}">
            <x14:dataBar minLength="0" maxLength="100" border="1" negativeBarBorderColorSameAsPositive="0">
              <x14:cfvo type="autoMin"/>
              <x14:cfvo type="autoMax"/>
              <x14:borderColor rgb="FFFFB628"/>
              <x14:negativeFillColor rgb="FFFF0000"/>
              <x14:negativeBorderColor rgb="FFFF0000"/>
              <x14:axisColor rgb="FF000000"/>
            </x14:dataBar>
          </x14:cfRule>
          <xm:sqref>F54:F61</xm:sqref>
        </x14:conditionalFormatting>
        <x14:conditionalFormatting xmlns:xm="http://schemas.microsoft.com/office/excel/2006/main">
          <x14:cfRule type="dataBar" id="{06680CEA-9575-4C4A-9B82-45EEFDDADDD1}">
            <x14:dataBar minLength="0" maxLength="100" border="1" negativeBarBorderColorSameAsPositive="0">
              <x14:cfvo type="autoMin"/>
              <x14:cfvo type="autoMax"/>
              <x14:borderColor rgb="FFFFB628"/>
              <x14:negativeFillColor rgb="FFFF0000"/>
              <x14:negativeBorderColor rgb="FFFF0000"/>
              <x14:axisColor rgb="FF000000"/>
            </x14:dataBar>
          </x14:cfRule>
          <xm:sqref>F72:F73</xm:sqref>
        </x14:conditionalFormatting>
        <x14:conditionalFormatting xmlns:xm="http://schemas.microsoft.com/office/excel/2006/main">
          <x14:cfRule type="dataBar" id="{5C81A6FF-A883-422D-8DEA-3C88FBC25891}">
            <x14:dataBar minLength="0" maxLength="100" border="1" negativeBarBorderColorSameAsPositive="0">
              <x14:cfvo type="autoMin"/>
              <x14:cfvo type="autoMax"/>
              <x14:borderColor rgb="FFFFB628"/>
              <x14:negativeFillColor rgb="FFFF0000"/>
              <x14:negativeBorderColor rgb="FFFF0000"/>
              <x14:axisColor rgb="FF000000"/>
            </x14:dataBar>
          </x14:cfRule>
          <xm:sqref>F69</xm:sqref>
        </x14:conditionalFormatting>
        <x14:conditionalFormatting xmlns:xm="http://schemas.microsoft.com/office/excel/2006/main">
          <x14:cfRule type="dataBar" id="{9D7081C5-CCD4-4AA5-9AD7-A636FAB0E3CF}">
            <x14:dataBar minLength="0" maxLength="100" border="1" negativeBarBorderColorSameAsPositive="0">
              <x14:cfvo type="autoMin"/>
              <x14:cfvo type="autoMax"/>
              <x14:borderColor rgb="FFFFB628"/>
              <x14:negativeFillColor rgb="FFFF0000"/>
              <x14:negativeBorderColor rgb="FFFF0000"/>
              <x14:axisColor rgb="FF000000"/>
            </x14:dataBar>
          </x14:cfRule>
          <xm:sqref>F70:F71 F75</xm:sqref>
        </x14:conditionalFormatting>
        <x14:conditionalFormatting xmlns:xm="http://schemas.microsoft.com/office/excel/2006/main">
          <x14:cfRule type="dataBar" id="{4A8AAB5B-E785-4405-9D9E-3DADEB4384B5}">
            <x14:dataBar minLength="0" maxLength="100" border="1" negativeBarBorderColorSameAsPositive="0">
              <x14:cfvo type="autoMin"/>
              <x14:cfvo type="autoMax"/>
              <x14:borderColor rgb="FFFFB628"/>
              <x14:negativeFillColor rgb="FFFF0000"/>
              <x14:negativeBorderColor rgb="FFFF0000"/>
              <x14:axisColor rgb="FF000000"/>
            </x14:dataBar>
          </x14:cfRule>
          <xm:sqref>F91</xm:sqref>
        </x14:conditionalFormatting>
        <x14:conditionalFormatting xmlns:xm="http://schemas.microsoft.com/office/excel/2006/main">
          <x14:cfRule type="dataBar" id="{E73FD3D2-3CF0-4E0F-8AC6-BE1BE636816F}">
            <x14:dataBar minLength="0" maxLength="100" border="1" negativeBarBorderColorSameAsPositive="0">
              <x14:cfvo type="autoMin"/>
              <x14:cfvo type="autoMax"/>
              <x14:borderColor rgb="FFFFB628"/>
              <x14:negativeFillColor rgb="FFFF0000"/>
              <x14:negativeBorderColor rgb="FFFF0000"/>
              <x14:axisColor rgb="FF000000"/>
            </x14:dataBar>
          </x14:cfRule>
          <xm:sqref>F86:F94</xm:sqref>
        </x14:conditionalFormatting>
        <x14:conditionalFormatting xmlns:xm="http://schemas.microsoft.com/office/excel/2006/main">
          <x14:cfRule type="dataBar" id="{6DBFF93F-015D-430F-9535-CFE2D96316C7}">
            <x14:dataBar minLength="0" maxLength="100" border="1" negativeBarBorderColorSameAsPositive="0">
              <x14:cfvo type="autoMin"/>
              <x14:cfvo type="autoMax"/>
              <x14:borderColor rgb="FFFFB628"/>
              <x14:negativeFillColor rgb="FFFF0000"/>
              <x14:negativeBorderColor rgb="FFFF0000"/>
              <x14:axisColor rgb="FF000000"/>
            </x14:dataBar>
          </x14:cfRule>
          <xm:sqref>F68:F78</xm:sqref>
        </x14:conditionalFormatting>
        <x14:conditionalFormatting xmlns:xm="http://schemas.microsoft.com/office/excel/2006/main">
          <x14:cfRule type="dataBar" id="{DBEB2149-0203-4BEC-90D4-5C66628D7D6F}">
            <x14:dataBar minLength="0" maxLength="100" border="1" negativeBarBorderColorSameAsPositive="0">
              <x14:cfvo type="autoMin"/>
              <x14:cfvo type="autoMax"/>
              <x14:borderColor rgb="FFFFB628"/>
              <x14:negativeFillColor rgb="FFFF0000"/>
              <x14:negativeBorderColor rgb="FFFF0000"/>
              <x14:axisColor rgb="FF000000"/>
            </x14:dataBar>
          </x14:cfRule>
          <xm:sqref>F68:F78</xm:sqref>
        </x14:conditionalFormatting>
        <x14:conditionalFormatting xmlns:xm="http://schemas.microsoft.com/office/excel/2006/main">
          <x14:cfRule type="dataBar" id="{AC6B9DBA-567C-4D42-9848-C318986D5D1F}">
            <x14:dataBar minLength="0" maxLength="100" border="1" negativeBarBorderColorSameAsPositive="0">
              <x14:cfvo type="autoMin"/>
              <x14:cfvo type="autoMax"/>
              <x14:borderColor rgb="FFFFB628"/>
              <x14:negativeFillColor rgb="FFFF0000"/>
              <x14:negativeBorderColor rgb="FFFF0000"/>
              <x14:axisColor rgb="FF000000"/>
            </x14:dataBar>
          </x14:cfRule>
          <xm:sqref>F78</xm:sqref>
        </x14:conditionalFormatting>
        <x14:conditionalFormatting xmlns:xm="http://schemas.microsoft.com/office/excel/2006/main">
          <x14:cfRule type="dataBar" id="{EC8A5B7B-1F19-4523-9514-7E4B8D6914CE}">
            <x14:dataBar minLength="0" maxLength="100" border="1" negativeBarBorderColorSameAsPositive="0">
              <x14:cfvo type="autoMin"/>
              <x14:cfvo type="autoMax"/>
              <x14:borderColor rgb="FFFFB628"/>
              <x14:negativeFillColor rgb="FFFF0000"/>
              <x14:negativeBorderColor rgb="FFFF0000"/>
              <x14:axisColor rgb="FF000000"/>
            </x14:dataBar>
          </x14:cfRule>
          <xm:sqref>F78</xm:sqref>
        </x14:conditionalFormatting>
        <x14:conditionalFormatting xmlns:xm="http://schemas.microsoft.com/office/excel/2006/main">
          <x14:cfRule type="dataBar" id="{DC9E3D9F-F4FD-4CFB-ADB9-D60699894954}">
            <x14:dataBar minLength="0" maxLength="100" border="1" negativeBarBorderColorSameAsPositive="0">
              <x14:cfvo type="autoMin"/>
              <x14:cfvo type="autoMax"/>
              <x14:borderColor rgb="FFFFB628"/>
              <x14:negativeFillColor rgb="FFFF0000"/>
              <x14:negativeBorderColor rgb="FFFF0000"/>
              <x14:axisColor rgb="FF000000"/>
            </x14:dataBar>
          </x14:cfRule>
          <xm:sqref>F76</xm:sqref>
        </x14:conditionalFormatting>
        <x14:conditionalFormatting xmlns:xm="http://schemas.microsoft.com/office/excel/2006/main">
          <x14:cfRule type="dataBar" id="{C8FC9D32-2FF9-46F7-AF80-16C7614178F3}">
            <x14:dataBar minLength="0" maxLength="100" border="1" negativeBarBorderColorSameAsPositive="0">
              <x14:cfvo type="autoMin"/>
              <x14:cfvo type="autoMax"/>
              <x14:borderColor rgb="FFFFB628"/>
              <x14:negativeFillColor rgb="FFFF0000"/>
              <x14:negativeBorderColor rgb="FFFF0000"/>
              <x14:axisColor rgb="FF000000"/>
            </x14:dataBar>
          </x14:cfRule>
          <xm:sqref>F76</xm:sqref>
        </x14:conditionalFormatting>
        <x14:conditionalFormatting xmlns:xm="http://schemas.microsoft.com/office/excel/2006/main">
          <x14:cfRule type="dataBar" id="{D9E9C763-E5C7-485C-BE80-7575457DF8A7}">
            <x14:dataBar minLength="0" maxLength="100" border="1" negativeBarBorderColorSameAsPositive="0">
              <x14:cfvo type="autoMin"/>
              <x14:cfvo type="autoMax"/>
              <x14:borderColor rgb="FFFFB628"/>
              <x14:negativeFillColor rgb="FFFF0000"/>
              <x14:negativeBorderColor rgb="FFFF0000"/>
              <x14:axisColor rgb="FF000000"/>
            </x14:dataBar>
          </x14:cfRule>
          <xm:sqref>F77</xm:sqref>
        </x14:conditionalFormatting>
        <x14:conditionalFormatting xmlns:xm="http://schemas.microsoft.com/office/excel/2006/main">
          <x14:cfRule type="dataBar" id="{E01720A8-51A4-438F-A8C8-F40C19C55750}">
            <x14:dataBar minLength="0" maxLength="100" border="1" negativeBarBorderColorSameAsPositive="0">
              <x14:cfvo type="autoMin"/>
              <x14:cfvo type="autoMax"/>
              <x14:borderColor rgb="FFFFB628"/>
              <x14:negativeFillColor rgb="FFFF0000"/>
              <x14:negativeBorderColor rgb="FFFF0000"/>
              <x14:axisColor rgb="FF000000"/>
            </x14:dataBar>
          </x14:cfRule>
          <xm:sqref>F77</xm:sqref>
        </x14:conditionalFormatting>
        <x14:conditionalFormatting xmlns:xm="http://schemas.microsoft.com/office/excel/2006/main">
          <x14:cfRule type="dataBar" id="{40558209-90E2-4D44-A44A-005D23EB9EDC}">
            <x14:dataBar minLength="0" maxLength="100" border="1" negativeBarBorderColorSameAsPositive="0">
              <x14:cfvo type="autoMin"/>
              <x14:cfvo type="autoMax"/>
              <x14:borderColor rgb="FFFFB628"/>
              <x14:negativeFillColor rgb="FFFF0000"/>
              <x14:negativeBorderColor rgb="FFFF0000"/>
              <x14:axisColor rgb="FF000000"/>
            </x14:dataBar>
          </x14:cfRule>
          <xm:sqref>F69:F73 F75</xm:sqref>
        </x14:conditionalFormatting>
        <x14:conditionalFormatting xmlns:xm="http://schemas.microsoft.com/office/excel/2006/main">
          <x14:cfRule type="dataBar" id="{2A7D8D58-2DE7-4B18-B73B-6830B0F152AD}">
            <x14:dataBar minLength="0" maxLength="100" border="1" negativeBarBorderColorSameAsPositive="0">
              <x14:cfvo type="autoMin"/>
              <x14:cfvo type="autoMax"/>
              <x14:borderColor rgb="FFFFB628"/>
              <x14:negativeFillColor rgb="FFFF0000"/>
              <x14:negativeBorderColor rgb="FFFF0000"/>
              <x14:axisColor rgb="FF000000"/>
            </x14:dataBar>
          </x14:cfRule>
          <xm:sqref>F74</xm:sqref>
        </x14:conditionalFormatting>
        <x14:conditionalFormatting xmlns:xm="http://schemas.microsoft.com/office/excel/2006/main">
          <x14:cfRule type="dataBar" id="{84979945-D823-4A45-AA7A-7802301AADA9}">
            <x14:dataBar minLength="0" maxLength="100" border="1" negativeBarBorderColorSameAsPositive="0">
              <x14:cfvo type="autoMin"/>
              <x14:cfvo type="autoMax"/>
              <x14:borderColor rgb="FFFFB628"/>
              <x14:negativeFillColor rgb="FFFF0000"/>
              <x14:negativeBorderColor rgb="FFFF0000"/>
              <x14:axisColor rgb="FF000000"/>
            </x14:dataBar>
          </x14:cfRule>
          <xm:sqref>F74</xm:sqref>
        </x14:conditionalFormatting>
        <x14:conditionalFormatting xmlns:xm="http://schemas.microsoft.com/office/excel/2006/main">
          <x14:cfRule type="dataBar" id="{3CDA53DC-B912-4BF6-A3CE-D2307400055C}">
            <x14:dataBar minLength="0" maxLength="100" border="1" negativeBarBorderColorSameAsPositive="0">
              <x14:cfvo type="autoMin"/>
              <x14:cfvo type="autoMax"/>
              <x14:borderColor rgb="FFFFB628"/>
              <x14:negativeFillColor rgb="FFFF0000"/>
              <x14:negativeBorderColor rgb="FFFF0000"/>
              <x14:axisColor rgb="FF000000"/>
            </x14:dataBar>
          </x14:cfRule>
          <xm:sqref>F86:F88 F94</xm:sqref>
        </x14:conditionalFormatting>
        <x14:conditionalFormatting xmlns:xm="http://schemas.microsoft.com/office/excel/2006/main">
          <x14:cfRule type="dataBar" id="{E4BDB53C-56AC-443C-9C9C-42F00D2093F9}">
            <x14:dataBar minLength="0" maxLength="100" border="1" negativeBarBorderColorSameAsPositive="0">
              <x14:cfvo type="autoMin"/>
              <x14:cfvo type="autoMax"/>
              <x14:borderColor rgb="FFFFB628"/>
              <x14:negativeFillColor rgb="FFFF0000"/>
              <x14:negativeBorderColor rgb="FFFF0000"/>
              <x14:axisColor rgb="FF000000"/>
            </x14:dataBar>
          </x14:cfRule>
          <xm:sqref>F68:F78</xm:sqref>
        </x14:conditionalFormatting>
        <x14:conditionalFormatting xmlns:xm="http://schemas.microsoft.com/office/excel/2006/main">
          <x14:cfRule type="dataBar" id="{1C04B944-74A7-4056-BCA8-657B731EC388}">
            <x14:dataBar minLength="0" maxLength="100" border="1" negativeBarBorderColorSameAsPositive="0">
              <x14:cfvo type="autoMin"/>
              <x14:cfvo type="autoMax"/>
              <x14:borderColor rgb="FFFFB628"/>
              <x14:negativeFillColor rgb="FFFF0000"/>
              <x14:negativeBorderColor rgb="FFFF0000"/>
              <x14:axisColor rgb="FF000000"/>
            </x14:dataBar>
          </x14:cfRule>
          <xm:sqref>F107</xm:sqref>
        </x14:conditionalFormatting>
        <x14:conditionalFormatting xmlns:xm="http://schemas.microsoft.com/office/excel/2006/main">
          <x14:cfRule type="dataBar" id="{BA5AB4E0-9CA2-4E0C-A3FC-B8013848629A}">
            <x14:dataBar minLength="0" maxLength="100" border="1" negativeBarBorderColorSameAsPositive="0">
              <x14:cfvo type="autoMin"/>
              <x14:cfvo type="autoMax"/>
              <x14:borderColor rgb="FFFFB628"/>
              <x14:negativeFillColor rgb="FFFF0000"/>
              <x14:negativeBorderColor rgb="FFFF0000"/>
              <x14:axisColor rgb="FF000000"/>
            </x14:dataBar>
          </x14:cfRule>
          <xm:sqref>F102:F110</xm:sqref>
        </x14:conditionalFormatting>
        <x14:conditionalFormatting xmlns:xm="http://schemas.microsoft.com/office/excel/2006/main">
          <x14:cfRule type="dataBar" id="{74AA6F57-0C85-4B46-A8F3-F271F6A311BA}">
            <x14:dataBar minLength="0" maxLength="100" border="1" negativeBarBorderColorSameAsPositive="0">
              <x14:cfvo type="autoMin"/>
              <x14:cfvo type="autoMax"/>
              <x14:borderColor rgb="FFFFB628"/>
              <x14:negativeFillColor rgb="FFFF0000"/>
              <x14:negativeBorderColor rgb="FFFF0000"/>
              <x14:axisColor rgb="FF000000"/>
            </x14:dataBar>
          </x14:cfRule>
          <xm:sqref>F102:F104 F110</xm:sqref>
        </x14:conditionalFormatting>
        <x14:conditionalFormatting xmlns:xm="http://schemas.microsoft.com/office/excel/2006/main">
          <x14:cfRule type="dataBar" id="{3C9A7111-1755-448A-86DE-387D835D522A}">
            <x14:dataBar minLength="0" maxLength="100" border="1" negativeBarBorderColorSameAsPositive="0">
              <x14:cfvo type="autoMin"/>
              <x14:cfvo type="autoMax"/>
              <x14:borderColor rgb="FFFFB628"/>
              <x14:negativeFillColor rgb="FFFF0000"/>
              <x14:negativeBorderColor rgb="FFFF0000"/>
              <x14:axisColor rgb="FF000000"/>
            </x14:dataBar>
          </x14:cfRule>
          <xm:sqref>Y9:Y15</xm:sqref>
        </x14:conditionalFormatting>
        <x14:conditionalFormatting xmlns:xm="http://schemas.microsoft.com/office/excel/2006/main">
          <x14:cfRule type="dataBar" id="{2D2F3AFB-0B81-446C-B854-4519B24511FE}">
            <x14:dataBar minLength="0" maxLength="100" border="1" negativeBarBorderColorSameAsPositive="0">
              <x14:cfvo type="autoMin"/>
              <x14:cfvo type="autoMax"/>
              <x14:borderColor rgb="FF638EC6"/>
              <x14:negativeFillColor rgb="FFFF0000"/>
              <x14:negativeBorderColor rgb="FFFF0000"/>
              <x14:axisColor rgb="FF000000"/>
            </x14:dataBar>
          </x14:cfRule>
          <xm:sqref>Z9:Z15</xm:sqref>
        </x14:conditionalFormatting>
        <x14:conditionalFormatting xmlns:xm="http://schemas.microsoft.com/office/excel/2006/main">
          <x14:cfRule type="dataBar" id="{C87D3196-E34B-4A51-8752-C6518555A9F3}">
            <x14:dataBar minLength="0" maxLength="100" border="1" negativeBarBorderColorSameAsPositive="0">
              <x14:cfvo type="autoMin"/>
              <x14:cfvo type="autoMax"/>
              <x14:borderColor rgb="FFFFB628"/>
              <x14:negativeFillColor rgb="FFFF0000"/>
              <x14:negativeBorderColor rgb="FFFF0000"/>
              <x14:axisColor rgb="FF000000"/>
            </x14:dataBar>
          </x14:cfRule>
          <xm:sqref>Y18:Y26</xm:sqref>
        </x14:conditionalFormatting>
        <x14:conditionalFormatting xmlns:xm="http://schemas.microsoft.com/office/excel/2006/main">
          <x14:cfRule type="dataBar" id="{1D006062-E946-4FFE-A706-A8C53BC222B6}">
            <x14:dataBar minLength="0" maxLength="100" border="1" negativeBarBorderColorSameAsPositive="0">
              <x14:cfvo type="autoMin"/>
              <x14:cfvo type="autoMax"/>
              <x14:borderColor rgb="FF638EC6"/>
              <x14:negativeFillColor rgb="FFFF0000"/>
              <x14:negativeBorderColor rgb="FFFF0000"/>
              <x14:axisColor rgb="FF000000"/>
            </x14:dataBar>
          </x14:cfRule>
          <xm:sqref>Z18:Z26</xm:sqref>
        </x14:conditionalFormatting>
        <x14:conditionalFormatting xmlns:xm="http://schemas.microsoft.com/office/excel/2006/main">
          <x14:cfRule type="dataBar" id="{8E9C9FE1-D20B-442B-9DDB-A83BF40AFDCF}">
            <x14:dataBar minLength="0" maxLength="100" border="1" negativeBarBorderColorSameAsPositive="0">
              <x14:cfvo type="autoMin"/>
              <x14:cfvo type="autoMax"/>
              <x14:borderColor rgb="FFFFB628"/>
              <x14:negativeFillColor rgb="FFFF0000"/>
              <x14:negativeBorderColor rgb="FFFF0000"/>
              <x14:axisColor rgb="FF000000"/>
            </x14:dataBar>
          </x14:cfRule>
          <xm:sqref>Y29:Y32</xm:sqref>
        </x14:conditionalFormatting>
        <x14:conditionalFormatting xmlns:xm="http://schemas.microsoft.com/office/excel/2006/main">
          <x14:cfRule type="dataBar" id="{31B79236-B125-4962-A970-B0B05EEA79D1}">
            <x14:dataBar minLength="0" maxLength="100" border="1" negativeBarBorderColorSameAsPositive="0">
              <x14:cfvo type="autoMin"/>
              <x14:cfvo type="autoMax"/>
              <x14:borderColor rgb="FF638EC6"/>
              <x14:negativeFillColor rgb="FFFF0000"/>
              <x14:negativeBorderColor rgb="FFFF0000"/>
              <x14:axisColor rgb="FF000000"/>
            </x14:dataBar>
          </x14:cfRule>
          <xm:sqref>Z29:Z32</xm:sqref>
        </x14:conditionalFormatting>
        <x14:conditionalFormatting xmlns:xm="http://schemas.microsoft.com/office/excel/2006/main">
          <x14:cfRule type="dataBar" id="{B5D6CBAD-1AB8-4156-9B05-855991429EA8}">
            <x14:dataBar minLength="0" maxLength="100" border="1" negativeBarBorderColorSameAsPositive="0">
              <x14:cfvo type="autoMin"/>
              <x14:cfvo type="autoMax"/>
              <x14:borderColor rgb="FFFFB628"/>
              <x14:negativeFillColor rgb="FFFF0000"/>
              <x14:negativeBorderColor rgb="FFFF0000"/>
              <x14:axisColor rgb="FF000000"/>
            </x14:dataBar>
          </x14:cfRule>
          <xm:sqref>Y35:Y40</xm:sqref>
        </x14:conditionalFormatting>
        <x14:conditionalFormatting xmlns:xm="http://schemas.microsoft.com/office/excel/2006/main">
          <x14:cfRule type="dataBar" id="{A3D7BCD5-672A-46F0-A68D-2B8804025033}">
            <x14:dataBar minLength="0" maxLength="100" border="1" negativeBarBorderColorSameAsPositive="0">
              <x14:cfvo type="autoMin"/>
              <x14:cfvo type="autoMax"/>
              <x14:borderColor rgb="FF638EC6"/>
              <x14:negativeFillColor rgb="FFFF0000"/>
              <x14:negativeBorderColor rgb="FFFF0000"/>
              <x14:axisColor rgb="FF000000"/>
            </x14:dataBar>
          </x14:cfRule>
          <xm:sqref>Z35:Z40</xm:sqref>
        </x14:conditionalFormatting>
        <x14:conditionalFormatting xmlns:xm="http://schemas.microsoft.com/office/excel/2006/main">
          <x14:cfRule type="dataBar" id="{733AC8DA-FE8E-4039-86FB-E3A2328AE796}">
            <x14:dataBar minLength="0" maxLength="100" border="1" negativeBarBorderColorSameAsPositive="0">
              <x14:cfvo type="autoMin"/>
              <x14:cfvo type="autoMax"/>
              <x14:borderColor rgb="FFFFB628"/>
              <x14:negativeFillColor rgb="FFFF0000"/>
              <x14:negativeBorderColor rgb="FFFF0000"/>
              <x14:axisColor rgb="FF000000"/>
            </x14:dataBar>
          </x14:cfRule>
          <xm:sqref>Y43:Y47</xm:sqref>
        </x14:conditionalFormatting>
        <x14:conditionalFormatting xmlns:xm="http://schemas.microsoft.com/office/excel/2006/main">
          <x14:cfRule type="dataBar" id="{31A8E4C6-03B3-41C9-9CB9-30229C1D3819}">
            <x14:dataBar minLength="0" maxLength="100" border="1" negativeBarBorderColorSameAsPositive="0">
              <x14:cfvo type="autoMin"/>
              <x14:cfvo type="autoMax"/>
              <x14:borderColor rgb="FF638EC6"/>
              <x14:negativeFillColor rgb="FFFF0000"/>
              <x14:negativeBorderColor rgb="FFFF0000"/>
              <x14:axisColor rgb="FF000000"/>
            </x14:dataBar>
          </x14:cfRule>
          <xm:sqref>Z43:Z47</xm:sqref>
        </x14:conditionalFormatting>
        <x14:conditionalFormatting xmlns:xm="http://schemas.microsoft.com/office/excel/2006/main" pivot="1">
          <x14:cfRule type="dataBar" id="{CF588808-1571-4781-9323-4CE9DAE1A474}">
            <x14:dataBar minLength="0" maxLength="100" border="1" negativeBarBorderColorSameAsPositive="0">
              <x14:cfvo type="autoMin"/>
              <x14:cfvo type="autoMax"/>
              <x14:borderColor rgb="FF63C384"/>
              <x14:negativeFillColor rgb="FFFF0000"/>
              <x14:negativeBorderColor rgb="FFFF0000"/>
              <x14:axisColor rgb="FF000000"/>
            </x14:dataBar>
          </x14:cfRule>
          <xm:sqref>J47:J52 J54:J58</xm:sqref>
        </x14:conditionalFormatting>
        <x14:conditionalFormatting xmlns:xm="http://schemas.microsoft.com/office/excel/2006/main" pivot="1">
          <x14:cfRule type="dataBar" id="{7B08BAAB-AB10-49C8-AEE4-1C8606368BDA}">
            <x14:dataBar minLength="0" maxLength="100" border="1" negativeBarBorderColorSameAsPositive="0">
              <x14:cfvo type="autoMin"/>
              <x14:cfvo type="autoMax"/>
              <x14:borderColor rgb="FF63C384"/>
              <x14:negativeFillColor rgb="FFFF0000"/>
              <x14:negativeBorderColor rgb="FFFF0000"/>
              <x14:axisColor rgb="FF000000"/>
            </x14:dataBar>
          </x14:cfRule>
          <xm:sqref>M48:M50 M52:M54 M56:M57 M59 M61:M62 M64 M67:M73 M75:M76 M78 M80 M82:M83</xm:sqref>
        </x14:conditionalFormatting>
        <x14:conditionalFormatting xmlns:xm="http://schemas.microsoft.com/office/excel/2006/main" pivot="1">
          <x14:cfRule type="dataBar" id="{FC70865B-8D8B-4ED6-BAAA-73AE8CF4CDB4}">
            <x14:dataBar minLength="0" maxLength="100" border="1" negativeBarBorderColorSameAsPositive="0">
              <x14:cfvo type="autoMin"/>
              <x14:cfvo type="autoMax"/>
              <x14:borderColor rgb="FF63C384"/>
              <x14:negativeFillColor rgb="FFFF0000"/>
              <x14:negativeBorderColor rgb="FFFF0000"/>
              <x14:axisColor rgb="FF000000"/>
            </x14:dataBar>
          </x14:cfRule>
          <xm:sqref>P48:P50 P52:P53 P55:P57 P59 P61:P62 P64 P67:P68 P70 P72 P74 P76:P77</xm:sqref>
        </x14:conditionalFormatting>
        <x14:conditionalFormatting xmlns:xm="http://schemas.microsoft.com/office/excel/2006/main" pivot="1">
          <x14:cfRule type="dataBar" id="{7F80E3B2-BA57-4DD6-97A5-A85DB4564A70}">
            <x14:dataBar minLength="0" maxLength="100" border="1" negativeBarBorderColorSameAsPositive="0">
              <x14:cfvo type="autoMin"/>
              <x14:cfvo type="autoMax"/>
              <x14:borderColor rgb="FF63C384"/>
              <x14:negativeFillColor rgb="FFFF0000"/>
              <x14:negativeBorderColor rgb="FFFF0000"/>
              <x14:axisColor rgb="FF000000"/>
            </x14:dataBar>
          </x14:cfRule>
          <xm:sqref>P85:P86 P88:P89 P91:P92 P94 P96:P97 P99 P102:P103 P105 P107 P109 P111:P112</xm:sqref>
        </x14:conditionalFormatting>
        <x14:conditionalFormatting xmlns:xm="http://schemas.microsoft.com/office/excel/2006/main" pivot="1">
          <x14:cfRule type="dataBar" id="{87071503-CDFE-47A7-881C-68DEDA4A04B1}">
            <x14:dataBar minLength="0" maxLength="100" border="1" negativeBarBorderColorSameAsPositive="0">
              <x14:cfvo type="autoMin"/>
              <x14:cfvo type="autoMax"/>
              <x14:borderColor rgb="FF63C384"/>
              <x14:negativeFillColor rgb="FFFF0000"/>
              <x14:negativeBorderColor rgb="FFFF0000"/>
              <x14:axisColor rgb="FF000000"/>
            </x14:dataBar>
          </x14:cfRule>
          <xm:sqref>S56:S62 S64:S67 S69:S70 S72:S73 S75:S76 S78:S80</xm:sqref>
        </x14:conditionalFormatting>
        <x14:conditionalFormatting xmlns:xm="http://schemas.microsoft.com/office/excel/2006/main" pivot="1">
          <x14:cfRule type="dataBar" id="{E3BAB952-427B-433C-9A76-15BC86216EEA}">
            <x14:dataBar minLength="0" maxLength="100" border="1" negativeBarBorderColorSameAsPositive="0">
              <x14:cfvo type="autoMin"/>
              <x14:cfvo type="autoMax"/>
              <x14:borderColor rgb="FF63C384"/>
              <x14:negativeFillColor rgb="FFFF0000"/>
              <x14:negativeBorderColor rgb="FFFF0000"/>
              <x14:axisColor rgb="FF000000"/>
            </x14:dataBar>
          </x14:cfRule>
          <xm:sqref>T56:T62 T64:T67 T69:T70 T72:T73 T75:T76 T78:T80</xm:sqref>
        </x14:conditionalFormatting>
        <x14:conditionalFormatting xmlns:xm="http://schemas.microsoft.com/office/excel/2006/main" pivot="1">
          <x14:cfRule type="dataBar" id="{74C0C90A-FD13-4D3B-A529-040E583B02E5}">
            <x14:dataBar minLength="0" maxLength="100" border="1" negativeBarBorderColorSameAsPositive="0">
              <x14:cfvo type="autoMin"/>
              <x14:cfvo type="autoMax"/>
              <x14:borderColor rgb="FF63C384"/>
              <x14:negativeFillColor rgb="FFFF0000"/>
              <x14:negativeBorderColor rgb="FFFF0000"/>
              <x14:axisColor rgb="FF000000"/>
            </x14:dataBar>
          </x14:cfRule>
          <xm:sqref>S87:S91</xm:sqref>
        </x14:conditionalFormatting>
        <x14:conditionalFormatting xmlns:xm="http://schemas.microsoft.com/office/excel/2006/main" pivot="1">
          <x14:cfRule type="dataBar" id="{BA192F55-C55B-409D-B7D3-80DDD9738D9C}">
            <x14:dataBar minLength="0" maxLength="100" border="1" negativeBarBorderColorSameAsPositive="0">
              <x14:cfvo type="autoMin"/>
              <x14:cfvo type="autoMax"/>
              <x14:borderColor rgb="FF63C384"/>
              <x14:negativeFillColor rgb="FFFF0000"/>
              <x14:negativeBorderColor rgb="FFFF0000"/>
              <x14:axisColor rgb="FF000000"/>
            </x14:dataBar>
          </x14:cfRule>
          <xm:sqref>T87:T91</xm:sqref>
        </x14:conditionalFormatting>
        <x14:conditionalFormatting xmlns:xm="http://schemas.microsoft.com/office/excel/2006/main" pivot="1">
          <x14:cfRule type="dataBar" id="{94C64E8B-474A-4365-A027-5CAA177FB396}">
            <x14:dataBar minLength="0" maxLength="100" border="1" negativeBarBorderColorSameAsPositive="0">
              <x14:cfvo type="autoMin"/>
              <x14:cfvo type="autoMax"/>
              <x14:borderColor rgb="FF63C384"/>
              <x14:negativeFillColor rgb="FFFF0000"/>
              <x14:negativeBorderColor rgb="FFFF0000"/>
              <x14:axisColor rgb="FF000000"/>
            </x14:dataBar>
          </x14:cfRule>
          <xm:sqref>S98:S102</xm:sqref>
        </x14:conditionalFormatting>
        <x14:conditionalFormatting xmlns:xm="http://schemas.microsoft.com/office/excel/2006/main" pivot="1">
          <x14:cfRule type="dataBar" id="{6611C46E-ED4D-4D2F-B1FC-BB5E83C6C61C}">
            <x14:dataBar minLength="0" maxLength="100" border="1" negativeBarBorderColorSameAsPositive="0">
              <x14:cfvo type="autoMin"/>
              <x14:cfvo type="autoMax"/>
              <x14:borderColor rgb="FF63C384"/>
              <x14:negativeFillColor rgb="FFFF0000"/>
              <x14:negativeBorderColor rgb="FFFF0000"/>
              <x14:axisColor rgb="FF000000"/>
            </x14:dataBar>
          </x14:cfRule>
          <xm:sqref>T98:T102</xm:sqref>
        </x14:conditionalFormatting>
        <x14:conditionalFormatting xmlns:xm="http://schemas.microsoft.com/office/excel/2006/main" pivot="1">
          <x14:cfRule type="dataBar" id="{B85B7A65-2CB3-4ABE-9C2C-609151F75651}">
            <x14:dataBar minLength="0" maxLength="100" border="1" negativeBarBorderColorSameAsPositive="0">
              <x14:cfvo type="autoMin"/>
              <x14:cfvo type="autoMax"/>
              <x14:borderColor rgb="FF63C384"/>
              <x14:negativeFillColor rgb="FFFF0000"/>
              <x14:negativeBorderColor rgb="FFFF0000"/>
              <x14:axisColor rgb="FF000000"/>
            </x14:dataBar>
          </x14:cfRule>
          <xm:sqref>X56:X59 X61 X63 X65:X66 X68:X69 X71:X72 X74:X78</xm:sqref>
        </x14:conditionalFormatting>
        <x14:conditionalFormatting xmlns:xm="http://schemas.microsoft.com/office/excel/2006/main" pivot="1">
          <x14:cfRule type="dataBar" id="{A89BBF4A-CE4D-44F1-91C5-6D05AEB94FD3}">
            <x14:dataBar minLength="0" maxLength="100" border="1" negativeBarBorderColorSameAsPositive="0">
              <x14:cfvo type="autoMin"/>
              <x14:cfvo type="autoMax"/>
              <x14:borderColor rgb="FF63C384"/>
              <x14:negativeFillColor rgb="FFFF0000"/>
              <x14:negativeBorderColor rgb="FFFF0000"/>
              <x14:axisColor rgb="FF000000"/>
            </x14:dataBar>
          </x14:cfRule>
          <xm:sqref>Y56:Y59 Y61 Y63 Y65:Y66 Y68:Y69 Y71:Y72 Y74:Y78</xm:sqref>
        </x14:conditionalFormatting>
        <x14:conditionalFormatting xmlns:xm="http://schemas.microsoft.com/office/excel/2006/main" pivot="1">
          <x14:cfRule type="dataBar" id="{2121165C-20C3-4A71-8C36-67D89F02ED45}">
            <x14:dataBar minLength="0" maxLength="100" border="1" negativeBarBorderColorSameAsPositive="0">
              <x14:cfvo type="autoMin"/>
              <x14:cfvo type="autoMax"/>
              <x14:borderColor rgb="FF63C384"/>
              <x14:negativeFillColor rgb="FFFF0000"/>
              <x14:negativeBorderColor rgb="FFFF0000"/>
              <x14:axisColor rgb="FF000000"/>
            </x14:dataBar>
          </x14:cfRule>
          <xm:sqref>X85:X86 X88 X90 X92 X94 X96:X97 X99:X103</xm:sqref>
        </x14:conditionalFormatting>
        <x14:conditionalFormatting xmlns:xm="http://schemas.microsoft.com/office/excel/2006/main" pivot="1">
          <x14:cfRule type="dataBar" id="{E07F219B-601E-49FF-900B-BE236845642A}">
            <x14:dataBar minLength="0" maxLength="100" border="1" negativeBarBorderColorSameAsPositive="0">
              <x14:cfvo type="autoMin"/>
              <x14:cfvo type="autoMax"/>
              <x14:borderColor rgb="FF63C384"/>
              <x14:negativeFillColor rgb="FFFF0000"/>
              <x14:negativeBorderColor rgb="FFFF0000"/>
              <x14:axisColor rgb="FF000000"/>
            </x14:dataBar>
          </x14:cfRule>
          <xm:sqref>Y85:Y86 Y88 Y90 Y92 Y94 Y96:Y97 Y99:Y103</xm:sqref>
        </x14:conditionalFormatting>
        <x14:conditionalFormatting xmlns:xm="http://schemas.microsoft.com/office/excel/2006/main" pivot="1">
          <x14:cfRule type="dataBar" id="{5D61DF9C-A0F4-42E9-84BF-EC447D5CDBC5}">
            <x14:dataBar minLength="0" maxLength="100" border="1" negativeBarBorderColorSameAsPositive="0">
              <x14:cfvo type="autoMin"/>
              <x14:cfvo type="autoMax"/>
              <x14:borderColor rgb="FF63C384"/>
              <x14:negativeFillColor rgb="FFFF0000"/>
              <x14:negativeBorderColor rgb="FFFF0000"/>
              <x14:axisColor rgb="FF000000"/>
            </x14:dataBar>
          </x14:cfRule>
          <xm:sqref>X110:X112 X114 X116:X118 X120:X121 X123:X124 X126:X127 X129:X134</xm:sqref>
        </x14:conditionalFormatting>
        <x14:conditionalFormatting xmlns:xm="http://schemas.microsoft.com/office/excel/2006/main" pivot="1">
          <x14:cfRule type="dataBar" id="{0AB8299C-301C-4FE1-B6EB-23FC2370858F}">
            <x14:dataBar minLength="0" maxLength="100" border="1" negativeBarBorderColorSameAsPositive="0">
              <x14:cfvo type="autoMin"/>
              <x14:cfvo type="autoMax"/>
              <x14:borderColor rgb="FF63C384"/>
              <x14:negativeFillColor rgb="FFFF0000"/>
              <x14:negativeBorderColor rgb="FFFF0000"/>
              <x14:axisColor rgb="FF000000"/>
            </x14:dataBar>
          </x14:cfRule>
          <xm:sqref>Y110:Y112 Y114 Y116:Y118 Y120:Y121 Y123:Y124 Y126:Y127 Y129:Y134</xm:sqref>
        </x14:conditionalFormatting>
        <x14:conditionalFormatting xmlns:xm="http://schemas.microsoft.com/office/excel/2006/main" pivot="1">
          <x14:cfRule type="dataBar" id="{3778F6B8-D469-4192-AB07-C16D6D70C1D7}">
            <x14:dataBar minLength="0" maxLength="100" border="1" negativeBarBorderColorSameAsPositive="0">
              <x14:cfvo type="autoMin"/>
              <x14:cfvo type="autoMax"/>
              <x14:borderColor rgb="FF63C384"/>
              <x14:negativeFillColor rgb="FFFF0000"/>
              <x14:negativeBorderColor rgb="FFFF0000"/>
              <x14:axisColor rgb="FF000000"/>
            </x14:dataBar>
          </x14:cfRule>
          <xm:sqref>X141:X143 X145 X147:X148 X150 X152 X154 X157:X161</xm:sqref>
        </x14:conditionalFormatting>
        <x14:conditionalFormatting xmlns:xm="http://schemas.microsoft.com/office/excel/2006/main" pivot="1">
          <x14:cfRule type="dataBar" id="{32DA7766-C438-4D65-BD10-2D6A6547DA61}">
            <x14:dataBar minLength="0" maxLength="100" border="1" negativeBarBorderColorSameAsPositive="0">
              <x14:cfvo type="autoMin"/>
              <x14:cfvo type="autoMax"/>
              <x14:borderColor rgb="FF63C384"/>
              <x14:negativeFillColor rgb="FFFF0000"/>
              <x14:negativeBorderColor rgb="FFFF0000"/>
              <x14:axisColor rgb="FF000000"/>
            </x14:dataBar>
          </x14:cfRule>
          <xm:sqref>Y141:Y143 Y145 Y147:Y148 Y150 Y152 Y154:Y155 Y157:Y161</xm:sqref>
        </x14:conditionalFormatting>
        <x14:conditionalFormatting xmlns:xm="http://schemas.microsoft.com/office/excel/2006/main" pivot="1">
          <x14:cfRule type="dataBar" id="{9BE0D53C-8093-4A11-BBBF-B05C7A73778E}">
            <x14:dataBar minLength="0" maxLength="100" border="1" negativeBarBorderColorSameAsPositive="0">
              <x14:cfvo type="autoMin"/>
              <x14:cfvo type="autoMax"/>
              <x14:borderColor rgb="FF63C384"/>
              <x14:negativeFillColor rgb="FFFF0000"/>
              <x14:negativeBorderColor rgb="FFFF0000"/>
              <x14:axisColor rgb="FF000000"/>
            </x14:dataBar>
          </x14:cfRule>
          <xm:sqref>X168:X170 X172:X174 X176:X178 X180 X182:X184 X186:X189 X191:X196</xm:sqref>
        </x14:conditionalFormatting>
        <x14:conditionalFormatting xmlns:xm="http://schemas.microsoft.com/office/excel/2006/main" pivot="1">
          <x14:cfRule type="dataBar" id="{4DCFE3DF-3C7F-47F7-9E4B-C41BF1D379D9}">
            <x14:dataBar minLength="0" maxLength="100" border="1" negativeBarBorderColorSameAsPositive="0">
              <x14:cfvo type="autoMin"/>
              <x14:cfvo type="autoMax"/>
              <x14:borderColor rgb="FF63C384"/>
              <x14:negativeFillColor rgb="FFFF0000"/>
              <x14:negativeBorderColor rgb="FFFF0000"/>
              <x14:axisColor rgb="FF000000"/>
            </x14:dataBar>
          </x14:cfRule>
          <xm:sqref>Y168:Y170 Y172:Y174 Y176:Y178 Y180 Y182:Y184 Y186:Y189 Y191:Y196</xm:sqref>
        </x14:conditionalFormatting>
        <x14:conditionalFormatting xmlns:xm="http://schemas.microsoft.com/office/excel/2006/main" pivot="1">
          <x14:cfRule type="dataBar" id="{B6D5FDEB-86CC-41DB-A4DE-499487A1C98E}">
            <x14:dataBar minLength="0" maxLength="100" border="1" negativeBarBorderColorSameAsPositive="0">
              <x14:cfvo type="autoMin"/>
              <x14:cfvo type="autoMax"/>
              <x14:borderColor rgb="FF63C384"/>
              <x14:negativeFillColor rgb="FFFF0000"/>
              <x14:negativeBorderColor rgb="FFFF0000"/>
              <x14:axisColor rgb="FF000000"/>
            </x14:dataBar>
          </x14:cfRule>
          <xm:sqref>X205:X206 X203 X208:X209 X211 X213 X215:X218 X220:X228</xm:sqref>
        </x14:conditionalFormatting>
        <x14:conditionalFormatting xmlns:xm="http://schemas.microsoft.com/office/excel/2006/main" pivot="1">
          <x14:cfRule type="dataBar" id="{8722AF7D-8E66-4538-AF10-239BE49B5799}">
            <x14:dataBar minLength="0" maxLength="100" border="1" negativeBarBorderColorSameAsPositive="0">
              <x14:cfvo type="autoMin"/>
              <x14:cfvo type="autoMax"/>
              <x14:borderColor rgb="FF63C384"/>
              <x14:negativeFillColor rgb="FFFF0000"/>
              <x14:negativeBorderColor rgb="FFFF0000"/>
              <x14:axisColor rgb="FF000000"/>
            </x14:dataBar>
          </x14:cfRule>
          <xm:sqref>Y205:Y206 Y203 Y208:Y209 Y211 Y213 Y215:Y218 Y220:Y228</xm:sqref>
        </x14:conditionalFormatting>
        <x14:conditionalFormatting xmlns:xm="http://schemas.microsoft.com/office/excel/2006/main" pivot="1">
          <x14:cfRule type="dataBar" id="{0055226C-C7CE-45BA-BCFD-D0D9A744D68A}">
            <x14:dataBar minLength="0" maxLength="100" border="1" negativeBarBorderColorSameAsPositive="0">
              <x14:cfvo type="autoMin"/>
              <x14:cfvo type="autoMax"/>
              <x14:borderColor rgb="FF63C384"/>
              <x14:negativeFillColor rgb="FFFF0000"/>
              <x14:negativeBorderColor rgb="FFFF0000"/>
              <x14:axisColor rgb="FF000000"/>
            </x14:dataBar>
          </x14:cfRule>
          <xm:sqref>AC58 AC56 AC60:AC61 AC63:AC64 AC66 AC68:AC72 AC74:AC76 AC78:AC79 AD56 AD58 AD60:AD61 AD63:AD64 AD66 AD68:AD72 AD74:AD76 AD78:AD79</xm:sqref>
        </x14:conditionalFormatting>
        <x14:conditionalFormatting xmlns:xm="http://schemas.microsoft.com/office/excel/2006/main" pivot="1">
          <x14:cfRule type="dataBar" id="{98FBB083-1E0C-434E-835A-B0ED2B6D95BA}">
            <x14:dataBar minLength="0" maxLength="100" border="1" negativeBarBorderColorSameAsPositive="0">
              <x14:cfvo type="autoMin"/>
              <x14:cfvo type="autoMax"/>
              <x14:borderColor rgb="FF63C384"/>
              <x14:negativeFillColor rgb="FFFF0000"/>
              <x14:negativeBorderColor rgb="FFFF0000"/>
              <x14:axisColor rgb="FF000000"/>
            </x14:dataBar>
          </x14:cfRule>
          <xm:sqref>AC86:AC87 AC89:AC90 AC92 AC94:AC95 AC97:AC101 AC103:AC104 AC106 AD106 AD103:AD104 AD97:AD100 AD101 AD94:AD95 AD92 AD89:AD90 AD86:AD87</xm:sqref>
        </x14:conditionalFormatting>
        <x14:conditionalFormatting xmlns:xm="http://schemas.microsoft.com/office/excel/2006/main" pivot="1">
          <x14:cfRule type="dataBar" id="{9A44D8F3-5C95-474A-BDAF-4B26BEA93132}">
            <x14:dataBar minLength="0" maxLength="100" border="1" negativeBarBorderColorSameAsPositive="0">
              <x14:cfvo type="autoMin"/>
              <x14:cfvo type="autoMax"/>
              <x14:borderColor rgb="FF63C384"/>
              <x14:negativeFillColor rgb="FFFF0000"/>
              <x14:negativeBorderColor rgb="FFFF0000"/>
              <x14:axisColor rgb="FF000000"/>
            </x14:dataBar>
          </x14:cfRule>
          <xm:sqref>AC113 AD113 AC115:AD115 AC117:AD120 AC122:AD123 AC125:AD125 AC127:AD132 AC134:AD135 AC137:AD139</xm:sqref>
        </x14:conditionalFormatting>
        <x14:conditionalFormatting xmlns:xm="http://schemas.microsoft.com/office/excel/2006/main" pivot="1">
          <x14:cfRule type="dataBar" id="{12D62F96-5FC6-4D64-8C42-7657B15D934E}">
            <x14:dataBar minLength="0" maxLength="100" border="1" negativeBarBorderColorSameAsPositive="0">
              <x14:cfvo type="autoMin"/>
              <x14:cfvo type="autoMax"/>
              <x14:borderColor rgb="FF63C384"/>
              <x14:negativeFillColor rgb="FFFF0000"/>
              <x14:negativeBorderColor rgb="FFFF0000"/>
              <x14:axisColor rgb="FF000000"/>
            </x14:dataBar>
          </x14:cfRule>
          <xm:sqref>AC146:AD147 AC149:AD152 AC154:AD154 AC156:AD157 AC159:AD163 AC165:AD167 AC169:AD169</xm:sqref>
        </x14:conditionalFormatting>
        <x14:conditionalFormatting xmlns:xm="http://schemas.microsoft.com/office/excel/2006/main" pivot="1">
          <x14:cfRule type="dataBar" id="{29C5B77A-823B-486F-8432-DC8F45B45027}">
            <x14:dataBar minLength="0" maxLength="100" border="1" negativeBarBorderColorSameAsPositive="0">
              <x14:cfvo type="autoMin"/>
              <x14:cfvo type="autoMax"/>
              <x14:borderColor rgb="FF63C384"/>
              <x14:negativeFillColor rgb="FFFF0000"/>
              <x14:negativeBorderColor rgb="FFFF0000"/>
              <x14:axisColor rgb="FF000000"/>
            </x14:dataBar>
          </x14:cfRule>
          <xm:sqref>AC176:AD176 AC178 AD178 AC180:AD187 AC189:AD192 AC194:AD194 AC196:AD201 AC203:AD204 AC206:AD206</xm:sqref>
        </x14:conditionalFormatting>
        <x14:conditionalFormatting xmlns:xm="http://schemas.microsoft.com/office/excel/2006/main" pivot="1">
          <x14:cfRule type="dataBar" id="{3C67D5CC-8B28-4986-90B5-DA90626FB188}">
            <x14:dataBar minLength="0" maxLength="100" border="1" negativeBarBorderColorSameAsPositive="0">
              <x14:cfvo type="autoMin"/>
              <x14:cfvo type="autoMax"/>
              <x14:borderColor rgb="FF63C384"/>
              <x14:negativeFillColor rgb="FFFF0000"/>
              <x14:negativeBorderColor rgb="FFFF0000"/>
              <x14:axisColor rgb="FF000000"/>
            </x14:dataBar>
          </x14:cfRule>
          <xm:sqref>AC213:AD213 AC215:AD219 AC221:AD221 AC223:AD224 AC226:AD234 AC236:AD238 AC240:AD240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7D46B-011C-4D79-965E-DD1AFF5A2FCD}">
  <dimension ref="B1:AP187"/>
  <sheetViews>
    <sheetView workbookViewId="0"/>
  </sheetViews>
  <sheetFormatPr defaultRowHeight="14.4" x14ac:dyDescent="0.3"/>
  <cols>
    <col min="2" max="2" width="34.5546875" bestFit="1" customWidth="1"/>
    <col min="3" max="3" width="15.77734375" bestFit="1" customWidth="1"/>
    <col min="4" max="4" width="5.44140625" bestFit="1" customWidth="1"/>
    <col min="5" max="5" width="11" bestFit="1" customWidth="1"/>
    <col min="18" max="18" width="35.33203125" bestFit="1" customWidth="1"/>
    <col min="19" max="19" width="15.77734375" bestFit="1" customWidth="1"/>
    <col min="20" max="20" width="5.44140625" bestFit="1" customWidth="1"/>
    <col min="21" max="22" width="11" bestFit="1" customWidth="1"/>
  </cols>
  <sheetData>
    <row r="1" spans="3:42" ht="15" thickBot="1" x14ac:dyDescent="0.35"/>
    <row r="2" spans="3:42" ht="15" thickBot="1" x14ac:dyDescent="0.35">
      <c r="C2" s="403" t="s">
        <v>199</v>
      </c>
      <c r="D2" s="460"/>
      <c r="E2" s="460"/>
      <c r="F2" s="460"/>
      <c r="G2" s="460"/>
      <c r="H2" s="460"/>
      <c r="I2" s="460"/>
      <c r="J2" s="460"/>
      <c r="K2" s="460"/>
      <c r="L2" s="461"/>
      <c r="N2" s="462" t="s">
        <v>201</v>
      </c>
      <c r="O2" s="463"/>
      <c r="P2" s="463"/>
      <c r="Q2" s="463"/>
      <c r="R2" s="463"/>
      <c r="S2" s="463"/>
      <c r="T2" s="463"/>
      <c r="U2" s="463"/>
      <c r="V2" s="463"/>
      <c r="W2" s="464"/>
      <c r="Y2" s="457" t="s">
        <v>200</v>
      </c>
      <c r="Z2" s="458"/>
      <c r="AA2" s="458"/>
      <c r="AB2" s="458"/>
      <c r="AC2" s="458"/>
      <c r="AD2" s="458"/>
      <c r="AE2" s="458"/>
      <c r="AF2" s="458"/>
      <c r="AG2" s="458"/>
      <c r="AH2" s="458"/>
      <c r="AI2" s="458"/>
      <c r="AJ2" s="458"/>
      <c r="AK2" s="458"/>
      <c r="AL2" s="458"/>
      <c r="AM2" s="458"/>
      <c r="AN2" s="458"/>
      <c r="AO2" s="458"/>
      <c r="AP2" s="459"/>
    </row>
    <row r="4" spans="3:42" x14ac:dyDescent="0.3">
      <c r="C4" s="246"/>
      <c r="D4" s="246"/>
      <c r="E4" s="246"/>
      <c r="F4" s="246"/>
      <c r="G4" s="246"/>
      <c r="H4" s="246"/>
      <c r="I4" s="246"/>
      <c r="J4" s="246"/>
      <c r="K4" s="246"/>
      <c r="L4" s="246"/>
      <c r="N4" s="250"/>
      <c r="O4" s="250"/>
      <c r="P4" s="250"/>
      <c r="Q4" s="250"/>
      <c r="R4" s="250"/>
      <c r="S4" s="250"/>
      <c r="T4" s="250"/>
      <c r="U4" s="250"/>
      <c r="V4" s="250"/>
      <c r="W4" s="250"/>
      <c r="Y4" s="248"/>
      <c r="Z4" s="248"/>
      <c r="AA4" s="248"/>
      <c r="AB4" s="248"/>
      <c r="AC4" s="248"/>
      <c r="AD4" s="248"/>
      <c r="AE4" s="248"/>
      <c r="AF4" s="248"/>
      <c r="AG4" s="248"/>
      <c r="AH4" s="248"/>
      <c r="AI4" s="248"/>
      <c r="AJ4" s="248"/>
      <c r="AK4" s="248"/>
      <c r="AL4" s="248"/>
      <c r="AM4" s="248"/>
      <c r="AN4" s="248"/>
      <c r="AO4" s="248"/>
      <c r="AP4" s="248"/>
    </row>
    <row r="5" spans="3:42" x14ac:dyDescent="0.3">
      <c r="C5" s="246"/>
      <c r="D5" s="246"/>
      <c r="E5" s="246"/>
      <c r="F5" s="246"/>
      <c r="G5" s="246"/>
      <c r="H5" s="246"/>
      <c r="I5" s="246"/>
      <c r="J5" s="246"/>
      <c r="K5" s="246"/>
      <c r="L5" s="246"/>
      <c r="N5" s="250"/>
      <c r="O5" s="250"/>
      <c r="P5" s="250"/>
      <c r="Q5" s="250"/>
      <c r="R5" s="250"/>
      <c r="S5" s="250"/>
      <c r="T5" s="250"/>
      <c r="U5" s="250"/>
      <c r="V5" s="250"/>
      <c r="W5" s="250"/>
      <c r="Y5" s="248"/>
      <c r="Z5" s="248"/>
      <c r="AA5" s="248"/>
      <c r="AB5" s="248"/>
      <c r="AC5" s="248"/>
      <c r="AD5" s="248"/>
      <c r="AE5" s="248"/>
      <c r="AF5" s="248"/>
      <c r="AG5" s="248"/>
      <c r="AH5" s="248"/>
      <c r="AI5" s="248"/>
      <c r="AJ5" s="248"/>
      <c r="AK5" s="248"/>
      <c r="AL5" s="248"/>
      <c r="AM5" s="248"/>
      <c r="AN5" s="248"/>
      <c r="AO5" s="248"/>
      <c r="AP5" s="248"/>
    </row>
    <row r="6" spans="3:42" x14ac:dyDescent="0.3">
      <c r="C6" s="246"/>
      <c r="D6" s="246"/>
      <c r="E6" s="246"/>
      <c r="F6" s="246"/>
      <c r="G6" s="246"/>
      <c r="H6" s="246"/>
      <c r="I6" s="246"/>
      <c r="J6" s="246"/>
      <c r="K6" s="246"/>
      <c r="L6" s="246"/>
      <c r="N6" s="250"/>
      <c r="O6" s="250"/>
      <c r="P6" s="250"/>
      <c r="Q6" s="250"/>
      <c r="R6" s="250"/>
      <c r="S6" s="250"/>
      <c r="T6" s="250"/>
      <c r="U6" s="250"/>
      <c r="V6" s="250"/>
      <c r="W6" s="250"/>
      <c r="Y6" s="248"/>
      <c r="Z6" s="248"/>
      <c r="AA6" s="248"/>
      <c r="AB6" s="248"/>
      <c r="AC6" s="248"/>
      <c r="AD6" s="248"/>
      <c r="AE6" s="248"/>
      <c r="AF6" s="248"/>
      <c r="AG6" s="248"/>
      <c r="AH6" s="248"/>
      <c r="AI6" s="248"/>
      <c r="AJ6" s="248"/>
      <c r="AK6" s="248"/>
      <c r="AL6" s="248"/>
      <c r="AM6" s="248"/>
      <c r="AN6" s="248"/>
      <c r="AO6" s="248"/>
      <c r="AP6" s="248"/>
    </row>
    <row r="7" spans="3:42" x14ac:dyDescent="0.3">
      <c r="C7" s="246"/>
      <c r="D7" s="246"/>
      <c r="E7" s="246"/>
      <c r="F7" s="246"/>
      <c r="G7" s="246"/>
      <c r="H7" s="246"/>
      <c r="I7" s="246"/>
      <c r="J7" s="246"/>
      <c r="K7" s="246"/>
      <c r="L7" s="246"/>
      <c r="N7" s="250"/>
      <c r="O7" s="250"/>
      <c r="P7" s="250"/>
      <c r="Q7" s="250"/>
      <c r="R7" s="250"/>
      <c r="S7" s="250"/>
      <c r="T7" s="250"/>
      <c r="U7" s="250"/>
      <c r="V7" s="250"/>
      <c r="W7" s="250"/>
      <c r="Y7" s="248"/>
      <c r="Z7" s="248"/>
      <c r="AA7" s="248"/>
      <c r="AB7" s="248"/>
      <c r="AC7" s="248"/>
      <c r="AD7" s="248"/>
      <c r="AE7" s="248"/>
      <c r="AF7" s="248"/>
      <c r="AG7" s="248"/>
      <c r="AH7" s="248"/>
      <c r="AI7" s="248"/>
      <c r="AJ7" s="248"/>
      <c r="AK7" s="248"/>
      <c r="AL7" s="248"/>
      <c r="AM7" s="248"/>
      <c r="AN7" s="248"/>
      <c r="AO7" s="248"/>
      <c r="AP7" s="248"/>
    </row>
    <row r="8" spans="3:42" x14ac:dyDescent="0.3">
      <c r="C8" s="246"/>
      <c r="D8" s="246"/>
      <c r="E8" s="246"/>
      <c r="F8" s="246"/>
      <c r="G8" s="246"/>
      <c r="H8" s="246"/>
      <c r="I8" s="246"/>
      <c r="J8" s="246"/>
      <c r="K8" s="246"/>
      <c r="L8" s="246"/>
      <c r="N8" s="250"/>
      <c r="O8" s="250"/>
      <c r="P8" s="250"/>
      <c r="Q8" s="250"/>
      <c r="R8" s="250"/>
      <c r="S8" s="250"/>
      <c r="T8" s="250"/>
      <c r="U8" s="250"/>
      <c r="V8" s="250"/>
      <c r="W8" s="250"/>
      <c r="Y8" s="248"/>
      <c r="Z8" s="248"/>
      <c r="AA8" s="248"/>
      <c r="AB8" s="248"/>
      <c r="AC8" s="248"/>
      <c r="AD8" s="248"/>
      <c r="AE8" s="248"/>
      <c r="AF8" s="248"/>
      <c r="AG8" s="248"/>
      <c r="AH8" s="248"/>
      <c r="AI8" s="248"/>
      <c r="AJ8" s="248"/>
      <c r="AK8" s="248"/>
      <c r="AL8" s="248"/>
      <c r="AM8" s="248"/>
      <c r="AN8" s="248"/>
      <c r="AO8" s="248"/>
      <c r="AP8" s="248"/>
    </row>
    <row r="9" spans="3:42" x14ac:dyDescent="0.3">
      <c r="C9" s="246"/>
      <c r="D9" s="246"/>
      <c r="E9" s="246"/>
      <c r="F9" s="246"/>
      <c r="G9" s="246"/>
      <c r="H9" s="246"/>
      <c r="I9" s="246"/>
      <c r="J9" s="246"/>
      <c r="K9" s="246"/>
      <c r="L9" s="246"/>
      <c r="N9" s="250"/>
      <c r="O9" s="250"/>
      <c r="P9" s="250"/>
      <c r="Q9" s="250"/>
      <c r="R9" s="250"/>
      <c r="S9" s="250"/>
      <c r="T9" s="250"/>
      <c r="U9" s="250"/>
      <c r="V9" s="250"/>
      <c r="W9" s="250"/>
      <c r="Y9" s="248"/>
      <c r="Z9" s="248"/>
      <c r="AA9" s="248"/>
      <c r="AB9" s="248"/>
      <c r="AC9" s="248"/>
      <c r="AD9" s="248"/>
      <c r="AE9" s="248"/>
      <c r="AF9" s="248"/>
      <c r="AG9" s="248"/>
      <c r="AH9" s="248"/>
      <c r="AI9" s="248"/>
      <c r="AJ9" s="248"/>
      <c r="AK9" s="248"/>
      <c r="AL9" s="248"/>
      <c r="AM9" s="248"/>
      <c r="AN9" s="248"/>
      <c r="AO9" s="248"/>
      <c r="AP9" s="248"/>
    </row>
    <row r="10" spans="3:42" x14ac:dyDescent="0.3">
      <c r="C10" s="246"/>
      <c r="D10" s="246"/>
      <c r="E10" s="246"/>
      <c r="F10" s="246"/>
      <c r="G10" s="246"/>
      <c r="H10" s="246"/>
      <c r="I10" s="246"/>
      <c r="J10" s="246"/>
      <c r="K10" s="246"/>
      <c r="L10" s="246"/>
      <c r="N10" s="250"/>
      <c r="O10" s="250"/>
      <c r="P10" s="250"/>
      <c r="Q10" s="250"/>
      <c r="R10" s="250"/>
      <c r="S10" s="250"/>
      <c r="T10" s="250"/>
      <c r="U10" s="250"/>
      <c r="V10" s="250"/>
      <c r="W10" s="250"/>
      <c r="Y10" s="248"/>
      <c r="Z10" s="248"/>
      <c r="AA10" s="248"/>
      <c r="AB10" s="248"/>
      <c r="AC10" s="248"/>
      <c r="AD10" s="248"/>
      <c r="AE10" s="248"/>
      <c r="AF10" s="248"/>
      <c r="AG10" s="248"/>
      <c r="AH10" s="248"/>
      <c r="AI10" s="248"/>
      <c r="AJ10" s="248"/>
      <c r="AK10" s="248"/>
      <c r="AL10" s="248"/>
      <c r="AM10" s="248"/>
      <c r="AN10" s="248"/>
      <c r="AO10" s="248"/>
      <c r="AP10" s="248"/>
    </row>
    <row r="11" spans="3:42" x14ac:dyDescent="0.3">
      <c r="C11" s="246"/>
      <c r="D11" s="246"/>
      <c r="E11" s="246"/>
      <c r="F11" s="246"/>
      <c r="G11" s="246"/>
      <c r="H11" s="246"/>
      <c r="I11" s="246"/>
      <c r="J11" s="246"/>
      <c r="K11" s="246"/>
      <c r="L11" s="246"/>
      <c r="N11" s="250"/>
      <c r="O11" s="250"/>
      <c r="P11" s="250"/>
      <c r="Q11" s="250"/>
      <c r="R11" s="250"/>
      <c r="S11" s="250"/>
      <c r="T11" s="250"/>
      <c r="U11" s="250"/>
      <c r="V11" s="250"/>
      <c r="W11" s="250"/>
      <c r="Y11" s="248"/>
      <c r="Z11" s="248"/>
      <c r="AA11" s="248"/>
      <c r="AB11" s="248"/>
      <c r="AC11" s="248"/>
      <c r="AD11" s="248"/>
      <c r="AE11" s="248"/>
      <c r="AF11" s="248"/>
      <c r="AG11" s="248"/>
      <c r="AH11" s="248"/>
      <c r="AI11" s="248"/>
      <c r="AJ11" s="248"/>
      <c r="AK11" s="248"/>
      <c r="AL11" s="248"/>
      <c r="AM11" s="248"/>
      <c r="AN11" s="248"/>
      <c r="AO11" s="248"/>
      <c r="AP11" s="248"/>
    </row>
    <row r="12" spans="3:42" x14ac:dyDescent="0.3">
      <c r="C12" s="246"/>
      <c r="D12" s="246"/>
      <c r="E12" s="246"/>
      <c r="F12" s="246"/>
      <c r="G12" s="246"/>
      <c r="H12" s="246"/>
      <c r="I12" s="246"/>
      <c r="J12" s="246"/>
      <c r="K12" s="246"/>
      <c r="L12" s="246"/>
      <c r="N12" s="250"/>
      <c r="O12" s="250"/>
      <c r="P12" s="250"/>
      <c r="Q12" s="250"/>
      <c r="R12" s="250"/>
      <c r="S12" s="250"/>
      <c r="T12" s="250"/>
      <c r="U12" s="250"/>
      <c r="V12" s="250"/>
      <c r="W12" s="250"/>
      <c r="Y12" s="248"/>
      <c r="Z12" s="248"/>
      <c r="AA12" s="248"/>
      <c r="AB12" s="248"/>
      <c r="AC12" s="248"/>
      <c r="AD12" s="248"/>
      <c r="AE12" s="248"/>
      <c r="AF12" s="248"/>
      <c r="AG12" s="248"/>
      <c r="AH12" s="248"/>
      <c r="AI12" s="248"/>
      <c r="AJ12" s="248"/>
      <c r="AK12" s="248"/>
      <c r="AL12" s="248"/>
      <c r="AM12" s="248"/>
      <c r="AN12" s="248"/>
      <c r="AO12" s="248"/>
      <c r="AP12" s="248"/>
    </row>
    <row r="13" spans="3:42" x14ac:dyDescent="0.3">
      <c r="C13" s="246"/>
      <c r="D13" s="246"/>
      <c r="E13" s="246"/>
      <c r="F13" s="246"/>
      <c r="G13" s="246"/>
      <c r="H13" s="246"/>
      <c r="I13" s="246"/>
      <c r="J13" s="246"/>
      <c r="K13" s="246"/>
      <c r="L13" s="246"/>
      <c r="N13" s="250"/>
      <c r="O13" s="250"/>
      <c r="P13" s="250"/>
      <c r="Q13" s="250"/>
      <c r="R13" s="250"/>
      <c r="S13" s="250"/>
      <c r="T13" s="250"/>
      <c r="U13" s="250"/>
      <c r="V13" s="250"/>
      <c r="W13" s="250"/>
      <c r="Y13" s="248"/>
      <c r="Z13" s="248"/>
      <c r="AA13" s="248"/>
      <c r="AB13" s="248"/>
      <c r="AC13" s="248"/>
      <c r="AD13" s="248"/>
      <c r="AE13" s="248"/>
      <c r="AF13" s="248"/>
      <c r="AG13" s="248"/>
      <c r="AH13" s="248"/>
      <c r="AI13" s="248"/>
      <c r="AJ13" s="248"/>
      <c r="AK13" s="248"/>
      <c r="AL13" s="248"/>
      <c r="AM13" s="248"/>
      <c r="AN13" s="248"/>
      <c r="AO13" s="248"/>
      <c r="AP13" s="248"/>
    </row>
    <row r="14" spans="3:42" x14ac:dyDescent="0.3">
      <c r="C14" s="246"/>
      <c r="D14" s="246"/>
      <c r="E14" s="246"/>
      <c r="F14" s="246"/>
      <c r="G14" s="246"/>
      <c r="H14" s="246"/>
      <c r="I14" s="246"/>
      <c r="J14" s="246"/>
      <c r="K14" s="246"/>
      <c r="L14" s="246"/>
      <c r="N14" s="250"/>
      <c r="O14" s="250"/>
      <c r="P14" s="250"/>
      <c r="Q14" s="250"/>
      <c r="R14" s="250"/>
      <c r="S14" s="250"/>
      <c r="T14" s="250"/>
      <c r="U14" s="250"/>
      <c r="V14" s="250"/>
      <c r="W14" s="250"/>
      <c r="Y14" s="248"/>
      <c r="Z14" s="248"/>
      <c r="AA14" s="248"/>
      <c r="AB14" s="248"/>
      <c r="AC14" s="248"/>
      <c r="AD14" s="248"/>
      <c r="AE14" s="248"/>
      <c r="AF14" s="248"/>
      <c r="AG14" s="248"/>
      <c r="AH14" s="248"/>
      <c r="AI14" s="248"/>
      <c r="AJ14" s="248"/>
      <c r="AK14" s="248"/>
      <c r="AL14" s="248"/>
      <c r="AM14" s="248"/>
      <c r="AN14" s="248"/>
      <c r="AO14" s="248"/>
      <c r="AP14" s="248"/>
    </row>
    <row r="15" spans="3:42" x14ac:dyDescent="0.3">
      <c r="C15" s="246"/>
      <c r="D15" s="246"/>
      <c r="E15" s="246"/>
      <c r="F15" s="246"/>
      <c r="G15" s="246"/>
      <c r="H15" s="246"/>
      <c r="I15" s="246"/>
      <c r="J15" s="246"/>
      <c r="K15" s="246"/>
      <c r="L15" s="246"/>
      <c r="N15" s="250"/>
      <c r="O15" s="250"/>
      <c r="P15" s="250"/>
      <c r="Q15" s="250"/>
      <c r="R15" s="250"/>
      <c r="S15" s="250"/>
      <c r="T15" s="250"/>
      <c r="U15" s="250"/>
      <c r="V15" s="250"/>
      <c r="W15" s="250"/>
      <c r="Y15" s="248"/>
      <c r="Z15" s="248"/>
      <c r="AA15" s="248"/>
      <c r="AB15" s="248"/>
      <c r="AC15" s="248"/>
      <c r="AD15" s="248"/>
      <c r="AE15" s="248"/>
      <c r="AF15" s="248"/>
      <c r="AG15" s="248"/>
      <c r="AH15" s="248"/>
      <c r="AI15" s="248"/>
      <c r="AJ15" s="248"/>
      <c r="AK15" s="248"/>
      <c r="AL15" s="248"/>
      <c r="AM15" s="248"/>
      <c r="AN15" s="248"/>
      <c r="AO15" s="248"/>
      <c r="AP15" s="248"/>
    </row>
    <row r="16" spans="3:42" x14ac:dyDescent="0.3">
      <c r="C16" s="246"/>
      <c r="D16" s="246"/>
      <c r="E16" s="246"/>
      <c r="F16" s="246"/>
      <c r="G16" s="246"/>
      <c r="H16" s="246"/>
      <c r="I16" s="246"/>
      <c r="J16" s="246"/>
      <c r="K16" s="246"/>
      <c r="L16" s="246"/>
      <c r="N16" s="250"/>
      <c r="O16" s="250"/>
      <c r="P16" s="250"/>
      <c r="Q16" s="250"/>
      <c r="R16" s="250"/>
      <c r="S16" s="250"/>
      <c r="T16" s="250"/>
      <c r="U16" s="250"/>
      <c r="V16" s="250"/>
      <c r="W16" s="250"/>
      <c r="Y16" s="248"/>
      <c r="Z16" s="248"/>
      <c r="AA16" s="248"/>
      <c r="AB16" s="248"/>
      <c r="AC16" s="248"/>
      <c r="AD16" s="248"/>
      <c r="AE16" s="248"/>
      <c r="AF16" s="248"/>
      <c r="AG16" s="248"/>
      <c r="AH16" s="248"/>
      <c r="AI16" s="248"/>
      <c r="AJ16" s="248"/>
      <c r="AK16" s="248"/>
      <c r="AL16" s="248"/>
      <c r="AM16" s="248"/>
      <c r="AN16" s="248"/>
      <c r="AO16" s="248"/>
      <c r="AP16" s="248"/>
    </row>
    <row r="17" spans="3:42" x14ac:dyDescent="0.3">
      <c r="C17" s="246"/>
      <c r="D17" s="246"/>
      <c r="E17" s="246"/>
      <c r="F17" s="246"/>
      <c r="G17" s="246"/>
      <c r="H17" s="246"/>
      <c r="I17" s="246"/>
      <c r="J17" s="246"/>
      <c r="K17" s="246"/>
      <c r="L17" s="246"/>
      <c r="N17" s="250"/>
      <c r="O17" s="250"/>
      <c r="P17" s="250"/>
      <c r="Q17" s="250"/>
      <c r="R17" s="250"/>
      <c r="S17" s="250"/>
      <c r="T17" s="250"/>
      <c r="U17" s="250"/>
      <c r="V17" s="250"/>
      <c r="W17" s="250"/>
      <c r="Y17" s="248"/>
      <c r="Z17" s="248"/>
      <c r="AA17" s="248"/>
      <c r="AB17" s="248"/>
      <c r="AC17" s="248"/>
      <c r="AD17" s="248"/>
      <c r="AE17" s="248"/>
      <c r="AF17" s="248"/>
      <c r="AG17" s="248"/>
      <c r="AH17" s="248"/>
      <c r="AI17" s="248"/>
      <c r="AJ17" s="248"/>
      <c r="AK17" s="248"/>
      <c r="AL17" s="248"/>
      <c r="AM17" s="248"/>
      <c r="AN17" s="248"/>
      <c r="AO17" s="248"/>
      <c r="AP17" s="248"/>
    </row>
    <row r="18" spans="3:42" x14ac:dyDescent="0.3">
      <c r="C18" s="246"/>
      <c r="D18" s="246"/>
      <c r="E18" s="246"/>
      <c r="F18" s="246"/>
      <c r="G18" s="246"/>
      <c r="H18" s="246"/>
      <c r="I18" s="246"/>
      <c r="J18" s="246"/>
      <c r="K18" s="246"/>
      <c r="L18" s="246"/>
      <c r="N18" s="250"/>
      <c r="O18" s="250"/>
      <c r="P18" s="250"/>
      <c r="Q18" s="250"/>
      <c r="R18" s="250"/>
      <c r="S18" s="250"/>
      <c r="T18" s="250"/>
      <c r="U18" s="250"/>
      <c r="V18" s="250"/>
      <c r="W18" s="250"/>
      <c r="Y18" s="248"/>
      <c r="Z18" s="248"/>
      <c r="AA18" s="248"/>
      <c r="AB18" s="248"/>
      <c r="AC18" s="248"/>
      <c r="AD18" s="248"/>
      <c r="AE18" s="248"/>
      <c r="AF18" s="248"/>
      <c r="AG18" s="248"/>
      <c r="AH18" s="248"/>
      <c r="AI18" s="248"/>
      <c r="AJ18" s="248"/>
      <c r="AK18" s="248"/>
      <c r="AL18" s="248"/>
      <c r="AM18" s="248"/>
      <c r="AN18" s="248"/>
      <c r="AO18" s="248"/>
      <c r="AP18" s="248"/>
    </row>
    <row r="19" spans="3:42" x14ac:dyDescent="0.3">
      <c r="C19" s="246"/>
      <c r="D19" s="246"/>
      <c r="E19" s="246"/>
      <c r="F19" s="246"/>
      <c r="G19" s="246"/>
      <c r="H19" s="246"/>
      <c r="I19" s="246"/>
      <c r="J19" s="246"/>
      <c r="K19" s="246"/>
      <c r="L19" s="246"/>
      <c r="N19" s="250"/>
      <c r="O19" s="250"/>
      <c r="P19" s="250"/>
      <c r="Q19" s="250"/>
      <c r="R19" s="250"/>
      <c r="S19" s="250"/>
      <c r="T19" s="250"/>
      <c r="U19" s="250"/>
      <c r="V19" s="250"/>
      <c r="W19" s="250"/>
      <c r="Y19" s="248"/>
      <c r="Z19" s="248"/>
      <c r="AA19" s="248"/>
      <c r="AB19" s="248"/>
      <c r="AC19" s="248"/>
      <c r="AD19" s="248"/>
      <c r="AE19" s="248"/>
      <c r="AF19" s="248"/>
      <c r="AG19" s="248"/>
      <c r="AH19" s="248"/>
      <c r="AI19" s="248"/>
      <c r="AJ19" s="248"/>
      <c r="AK19" s="248"/>
      <c r="AL19" s="248"/>
      <c r="AM19" s="248"/>
      <c r="AN19" s="248"/>
      <c r="AO19" s="248"/>
      <c r="AP19" s="248"/>
    </row>
    <row r="20" spans="3:42" x14ac:dyDescent="0.3">
      <c r="C20" s="246"/>
      <c r="D20" s="246"/>
      <c r="E20" s="246"/>
      <c r="F20" s="246"/>
      <c r="G20" s="246"/>
      <c r="H20" s="246"/>
      <c r="I20" s="246"/>
      <c r="J20" s="246"/>
      <c r="K20" s="246"/>
      <c r="L20" s="246"/>
      <c r="N20" s="250"/>
      <c r="O20" s="250"/>
      <c r="P20" s="250"/>
      <c r="Q20" s="250"/>
      <c r="R20" s="250"/>
      <c r="S20" s="250"/>
      <c r="T20" s="250"/>
      <c r="U20" s="250"/>
      <c r="V20" s="250"/>
      <c r="W20" s="250"/>
      <c r="Y20" s="248"/>
      <c r="Z20" s="248"/>
      <c r="AA20" s="248"/>
      <c r="AB20" s="248"/>
      <c r="AC20" s="248"/>
      <c r="AD20" s="248"/>
      <c r="AE20" s="248"/>
      <c r="AF20" s="248"/>
      <c r="AG20" s="248"/>
      <c r="AH20" s="248"/>
      <c r="AI20" s="248"/>
      <c r="AJ20" s="248"/>
      <c r="AK20" s="248"/>
      <c r="AL20" s="248"/>
      <c r="AM20" s="248"/>
      <c r="AN20" s="248"/>
      <c r="AO20" s="248"/>
      <c r="AP20" s="248"/>
    </row>
    <row r="21" spans="3:42" x14ac:dyDescent="0.3">
      <c r="C21" s="246"/>
      <c r="D21" s="246"/>
      <c r="E21" s="246"/>
      <c r="F21" s="246"/>
      <c r="G21" s="246"/>
      <c r="H21" s="246"/>
      <c r="I21" s="246"/>
      <c r="J21" s="246"/>
      <c r="K21" s="246"/>
      <c r="L21" s="246"/>
      <c r="N21" s="250"/>
      <c r="O21" s="250"/>
      <c r="P21" s="250"/>
      <c r="Q21" s="250"/>
      <c r="R21" s="250"/>
      <c r="S21" s="250"/>
      <c r="T21" s="250"/>
      <c r="U21" s="250"/>
      <c r="V21" s="250"/>
      <c r="W21" s="250"/>
      <c r="Y21" s="248"/>
      <c r="Z21" s="248"/>
      <c r="AA21" s="248"/>
      <c r="AB21" s="248"/>
      <c r="AC21" s="248"/>
      <c r="AD21" s="248"/>
      <c r="AE21" s="248"/>
      <c r="AF21" s="248"/>
      <c r="AG21" s="248"/>
      <c r="AH21" s="248"/>
      <c r="AI21" s="248"/>
      <c r="AJ21" s="248"/>
      <c r="AK21" s="248"/>
      <c r="AL21" s="248"/>
      <c r="AM21" s="248"/>
      <c r="AN21" s="248"/>
      <c r="AO21" s="248"/>
      <c r="AP21" s="248"/>
    </row>
    <row r="22" spans="3:42" x14ac:dyDescent="0.3">
      <c r="C22" s="246"/>
      <c r="D22" s="246"/>
      <c r="E22" s="246"/>
      <c r="F22" s="246"/>
      <c r="G22" s="246"/>
      <c r="H22" s="246"/>
      <c r="I22" s="246"/>
      <c r="J22" s="246"/>
      <c r="K22" s="246"/>
      <c r="L22" s="246"/>
      <c r="N22" s="250"/>
      <c r="O22" s="250"/>
      <c r="P22" s="250"/>
      <c r="Q22" s="250"/>
      <c r="R22" s="250"/>
      <c r="S22" s="250"/>
      <c r="T22" s="250"/>
      <c r="U22" s="250"/>
      <c r="V22" s="250"/>
      <c r="W22" s="250"/>
      <c r="Y22" s="248"/>
      <c r="Z22" s="248"/>
      <c r="AA22" s="248"/>
      <c r="AB22" s="248"/>
      <c r="AC22" s="248"/>
      <c r="AD22" s="248"/>
      <c r="AE22" s="248"/>
      <c r="AF22" s="248"/>
      <c r="AG22" s="248"/>
      <c r="AH22" s="248"/>
      <c r="AI22" s="248"/>
      <c r="AJ22" s="248"/>
      <c r="AK22" s="248"/>
      <c r="AL22" s="248"/>
      <c r="AM22" s="248"/>
      <c r="AN22" s="248"/>
      <c r="AO22" s="248"/>
      <c r="AP22" s="248"/>
    </row>
    <row r="23" spans="3:42" x14ac:dyDescent="0.3">
      <c r="C23" s="246"/>
      <c r="D23" s="246"/>
      <c r="E23" s="246"/>
      <c r="F23" s="246"/>
      <c r="G23" s="246"/>
      <c r="H23" s="246"/>
      <c r="I23" s="246"/>
      <c r="J23" s="246"/>
      <c r="K23" s="246"/>
      <c r="L23" s="246"/>
      <c r="N23" s="250"/>
      <c r="O23" s="250"/>
      <c r="P23" s="250"/>
      <c r="Q23" s="250"/>
      <c r="R23" s="250"/>
      <c r="S23" s="250"/>
      <c r="T23" s="250"/>
      <c r="U23" s="250"/>
      <c r="V23" s="250"/>
      <c r="W23" s="250"/>
      <c r="Y23" s="248"/>
      <c r="Z23" s="248"/>
      <c r="AA23" s="248"/>
      <c r="AB23" s="248"/>
      <c r="AC23" s="248"/>
      <c r="AD23" s="248"/>
      <c r="AE23" s="248"/>
      <c r="AF23" s="248"/>
      <c r="AG23" s="248"/>
      <c r="AH23" s="248"/>
      <c r="AI23" s="248"/>
      <c r="AJ23" s="248"/>
      <c r="AK23" s="248"/>
      <c r="AL23" s="248"/>
      <c r="AM23" s="248"/>
      <c r="AN23" s="248"/>
      <c r="AO23" s="248"/>
      <c r="AP23" s="248"/>
    </row>
    <row r="24" spans="3:42" x14ac:dyDescent="0.3">
      <c r="C24" s="246"/>
      <c r="D24" s="246"/>
      <c r="E24" s="246"/>
      <c r="F24" s="246"/>
      <c r="G24" s="246"/>
      <c r="H24" s="246"/>
      <c r="I24" s="246"/>
      <c r="J24" s="246"/>
      <c r="K24" s="246"/>
      <c r="L24" s="246"/>
      <c r="N24" s="250"/>
      <c r="O24" s="250"/>
      <c r="P24" s="250"/>
      <c r="Q24" s="250"/>
      <c r="R24" s="250"/>
      <c r="S24" s="250"/>
      <c r="T24" s="250"/>
      <c r="U24" s="250"/>
      <c r="V24" s="250"/>
      <c r="W24" s="250"/>
      <c r="Y24" s="248"/>
      <c r="Z24" s="248"/>
      <c r="AA24" s="248"/>
      <c r="AB24" s="248"/>
      <c r="AC24" s="248"/>
      <c r="AD24" s="248"/>
      <c r="AE24" s="248"/>
      <c r="AF24" s="248"/>
      <c r="AG24" s="248"/>
      <c r="AH24" s="248"/>
      <c r="AI24" s="248"/>
      <c r="AJ24" s="248"/>
      <c r="AK24" s="248"/>
      <c r="AL24" s="248"/>
      <c r="AM24" s="248"/>
      <c r="AN24" s="248"/>
      <c r="AO24" s="248"/>
      <c r="AP24" s="248"/>
    </row>
    <row r="25" spans="3:42" x14ac:dyDescent="0.3">
      <c r="C25" s="246"/>
      <c r="D25" s="246"/>
      <c r="E25" s="246"/>
      <c r="F25" s="246"/>
      <c r="G25" s="246"/>
      <c r="H25" s="246"/>
      <c r="I25" s="246"/>
      <c r="J25" s="246"/>
      <c r="K25" s="246"/>
      <c r="L25" s="246"/>
      <c r="N25" s="250"/>
      <c r="O25" s="250"/>
      <c r="P25" s="250"/>
      <c r="Q25" s="250"/>
      <c r="R25" s="250"/>
      <c r="S25" s="250"/>
      <c r="T25" s="250"/>
      <c r="U25" s="250"/>
      <c r="V25" s="250"/>
      <c r="W25" s="250"/>
      <c r="Y25" s="248"/>
      <c r="Z25" s="248"/>
      <c r="AA25" s="248"/>
      <c r="AB25" s="248"/>
      <c r="AC25" s="248"/>
      <c r="AD25" s="248"/>
      <c r="AE25" s="248"/>
      <c r="AF25" s="248"/>
      <c r="AG25" s="248"/>
      <c r="AH25" s="248"/>
      <c r="AI25" s="248"/>
      <c r="AJ25" s="248"/>
      <c r="AK25" s="248"/>
      <c r="AL25" s="248"/>
      <c r="AM25" s="248"/>
      <c r="AN25" s="248"/>
      <c r="AO25" s="248"/>
      <c r="AP25" s="248"/>
    </row>
    <row r="26" spans="3:42" x14ac:dyDescent="0.3">
      <c r="C26" s="246"/>
      <c r="D26" s="246"/>
      <c r="E26" s="246"/>
      <c r="F26" s="246"/>
      <c r="G26" s="246"/>
      <c r="H26" s="246"/>
      <c r="I26" s="246"/>
      <c r="J26" s="246"/>
      <c r="K26" s="246"/>
      <c r="L26" s="246"/>
      <c r="N26" s="250"/>
      <c r="O26" s="250"/>
      <c r="P26" s="250"/>
      <c r="Q26" s="250"/>
      <c r="R26" s="250"/>
      <c r="S26" s="250"/>
      <c r="T26" s="250"/>
      <c r="U26" s="250"/>
      <c r="V26" s="250"/>
      <c r="W26" s="250"/>
      <c r="Y26" s="248"/>
      <c r="Z26" s="248"/>
      <c r="AA26" s="248"/>
      <c r="AB26" s="248"/>
      <c r="AC26" s="248"/>
      <c r="AD26" s="248"/>
      <c r="AE26" s="248"/>
      <c r="AF26" s="248"/>
      <c r="AG26" s="248"/>
      <c r="AH26" s="248"/>
      <c r="AI26" s="248"/>
      <c r="AJ26" s="248"/>
      <c r="AK26" s="248"/>
      <c r="AL26" s="248"/>
      <c r="AM26" s="248"/>
      <c r="AN26" s="248"/>
      <c r="AO26" s="248"/>
      <c r="AP26" s="248"/>
    </row>
    <row r="27" spans="3:42" x14ac:dyDescent="0.3">
      <c r="C27" s="246"/>
      <c r="D27" s="246"/>
      <c r="E27" s="246"/>
      <c r="F27" s="246"/>
      <c r="G27" s="246"/>
      <c r="H27" s="246"/>
      <c r="I27" s="246"/>
      <c r="J27" s="246"/>
      <c r="K27" s="246"/>
      <c r="L27" s="246"/>
      <c r="N27" s="250"/>
      <c r="O27" s="250"/>
      <c r="P27" s="250"/>
      <c r="Q27" s="250"/>
      <c r="R27" s="250"/>
      <c r="S27" s="250"/>
      <c r="T27" s="250"/>
      <c r="U27" s="250"/>
      <c r="V27" s="250"/>
      <c r="W27" s="250"/>
      <c r="Y27" s="248"/>
      <c r="Z27" s="248"/>
      <c r="AA27" s="248"/>
      <c r="AB27" s="248"/>
      <c r="AC27" s="248"/>
      <c r="AD27" s="248"/>
      <c r="AE27" s="248"/>
      <c r="AF27" s="248"/>
      <c r="AG27" s="248"/>
      <c r="AH27" s="248"/>
      <c r="AI27" s="248"/>
      <c r="AJ27" s="248"/>
      <c r="AK27" s="248"/>
      <c r="AL27" s="248"/>
      <c r="AM27" s="248"/>
      <c r="AN27" s="248"/>
      <c r="AO27" s="248"/>
      <c r="AP27" s="248"/>
    </row>
    <row r="28" spans="3:42" x14ac:dyDescent="0.3">
      <c r="C28" s="246"/>
      <c r="D28" s="246"/>
      <c r="E28" s="246"/>
      <c r="F28" s="246"/>
      <c r="G28" s="246"/>
      <c r="H28" s="246"/>
      <c r="I28" s="246"/>
      <c r="J28" s="246"/>
      <c r="K28" s="246"/>
      <c r="L28" s="246"/>
      <c r="N28" s="250"/>
      <c r="O28" s="250"/>
      <c r="P28" s="250"/>
      <c r="Q28" s="250"/>
      <c r="R28" s="250"/>
      <c r="S28" s="250"/>
      <c r="T28" s="250"/>
      <c r="U28" s="250"/>
      <c r="V28" s="250"/>
      <c r="W28" s="250"/>
      <c r="Y28" s="248"/>
      <c r="Z28" s="248"/>
      <c r="AA28" s="248"/>
      <c r="AB28" s="248"/>
      <c r="AC28" s="248"/>
      <c r="AD28" s="248"/>
      <c r="AE28" s="248"/>
      <c r="AF28" s="248"/>
      <c r="AG28" s="248"/>
      <c r="AH28" s="248"/>
      <c r="AI28" s="248"/>
      <c r="AJ28" s="248"/>
      <c r="AK28" s="248"/>
      <c r="AL28" s="248"/>
      <c r="AM28" s="248"/>
      <c r="AN28" s="248"/>
      <c r="AO28" s="248"/>
      <c r="AP28" s="248"/>
    </row>
    <row r="29" spans="3:42" x14ac:dyDescent="0.3">
      <c r="C29" s="246"/>
      <c r="D29" s="246"/>
      <c r="E29" s="246"/>
      <c r="F29" s="246"/>
      <c r="G29" s="246"/>
      <c r="H29" s="246"/>
      <c r="I29" s="246"/>
      <c r="J29" s="246"/>
      <c r="K29" s="246"/>
      <c r="L29" s="246"/>
      <c r="N29" s="250"/>
      <c r="O29" s="250"/>
      <c r="P29" s="250"/>
      <c r="Q29" s="250"/>
      <c r="R29" s="250"/>
      <c r="S29" s="250"/>
      <c r="T29" s="250"/>
      <c r="U29" s="250"/>
      <c r="V29" s="250"/>
      <c r="W29" s="250"/>
      <c r="Y29" s="248"/>
      <c r="Z29" s="248"/>
      <c r="AA29" s="248"/>
      <c r="AB29" s="248"/>
      <c r="AC29" s="248"/>
      <c r="AD29" s="248"/>
      <c r="AE29" s="248"/>
      <c r="AF29" s="248"/>
      <c r="AG29" s="248"/>
      <c r="AH29" s="248"/>
      <c r="AI29" s="248"/>
      <c r="AJ29" s="248"/>
      <c r="AK29" s="248"/>
      <c r="AL29" s="248"/>
      <c r="AM29" s="248"/>
      <c r="AN29" s="248"/>
      <c r="AO29" s="248"/>
      <c r="AP29" s="248"/>
    </row>
    <row r="30" spans="3:42" x14ac:dyDescent="0.3">
      <c r="C30" s="246"/>
      <c r="D30" s="246"/>
      <c r="E30" s="246"/>
      <c r="F30" s="246"/>
      <c r="G30" s="246"/>
      <c r="H30" s="246"/>
      <c r="I30" s="246"/>
      <c r="J30" s="246"/>
      <c r="K30" s="246"/>
      <c r="L30" s="246"/>
      <c r="N30" s="250"/>
      <c r="O30" s="250"/>
      <c r="P30" s="250"/>
      <c r="Q30" s="250"/>
      <c r="R30" s="250"/>
      <c r="S30" s="250"/>
      <c r="T30" s="250"/>
      <c r="U30" s="250"/>
      <c r="V30" s="250"/>
      <c r="W30" s="250"/>
      <c r="Y30" s="248"/>
      <c r="Z30" s="248"/>
      <c r="AA30" s="248"/>
      <c r="AB30" s="248"/>
      <c r="AC30" s="248"/>
      <c r="AD30" s="248"/>
      <c r="AE30" s="248"/>
      <c r="AF30" s="248"/>
      <c r="AG30" s="248"/>
      <c r="AH30" s="248"/>
      <c r="AI30" s="248"/>
      <c r="AJ30" s="248"/>
      <c r="AK30" s="248"/>
      <c r="AL30" s="248"/>
      <c r="AM30" s="248"/>
      <c r="AN30" s="248"/>
      <c r="AO30" s="248"/>
      <c r="AP30" s="248"/>
    </row>
    <row r="31" spans="3:42" x14ac:dyDescent="0.3">
      <c r="C31" s="246"/>
      <c r="D31" s="246"/>
      <c r="E31" s="246"/>
      <c r="F31" s="246"/>
      <c r="G31" s="246"/>
      <c r="H31" s="246"/>
      <c r="I31" s="246"/>
      <c r="J31" s="246"/>
      <c r="K31" s="246"/>
      <c r="L31" s="246"/>
      <c r="N31" s="250"/>
      <c r="O31" s="250"/>
      <c r="P31" s="250"/>
      <c r="Q31" s="250"/>
      <c r="R31" s="250"/>
      <c r="S31" s="250"/>
      <c r="T31" s="250"/>
      <c r="U31" s="250"/>
      <c r="V31" s="250"/>
      <c r="W31" s="250"/>
      <c r="Y31" s="248"/>
      <c r="Z31" s="248"/>
      <c r="AA31" s="248"/>
      <c r="AB31" s="248"/>
      <c r="AC31" s="248"/>
      <c r="AD31" s="248"/>
      <c r="AE31" s="248"/>
      <c r="AF31" s="248"/>
      <c r="AG31" s="248"/>
      <c r="AH31" s="248"/>
      <c r="AI31" s="248"/>
      <c r="AJ31" s="248"/>
      <c r="AK31" s="248"/>
      <c r="AL31" s="248"/>
      <c r="AM31" s="248"/>
      <c r="AN31" s="248"/>
      <c r="AO31" s="248"/>
      <c r="AP31" s="248"/>
    </row>
    <row r="32" spans="3:42" x14ac:dyDescent="0.3">
      <c r="C32" s="246"/>
      <c r="D32" s="246"/>
      <c r="E32" s="246"/>
      <c r="F32" s="246"/>
      <c r="G32" s="246"/>
      <c r="H32" s="246"/>
      <c r="I32" s="246"/>
      <c r="J32" s="246"/>
      <c r="K32" s="246"/>
      <c r="L32" s="246"/>
      <c r="N32" s="250"/>
      <c r="O32" s="250"/>
      <c r="P32" s="250"/>
      <c r="Q32" s="250"/>
      <c r="R32" s="250"/>
      <c r="S32" s="250"/>
      <c r="T32" s="250"/>
      <c r="U32" s="250"/>
      <c r="V32" s="250"/>
      <c r="W32" s="250"/>
      <c r="Y32" s="248"/>
      <c r="Z32" s="248"/>
      <c r="AA32" s="248"/>
      <c r="AB32" s="248"/>
      <c r="AC32" s="248"/>
      <c r="AD32" s="248"/>
      <c r="AE32" s="248"/>
      <c r="AF32" s="248"/>
      <c r="AG32" s="248"/>
      <c r="AH32" s="248"/>
      <c r="AI32" s="248"/>
      <c r="AJ32" s="248"/>
      <c r="AK32" s="248"/>
      <c r="AL32" s="248"/>
      <c r="AM32" s="248"/>
      <c r="AN32" s="248"/>
      <c r="AO32" s="248"/>
      <c r="AP32" s="248"/>
    </row>
    <row r="33" spans="2:42" x14ac:dyDescent="0.3">
      <c r="C33" s="246"/>
      <c r="D33" s="246"/>
      <c r="E33" s="246"/>
      <c r="F33" s="246"/>
      <c r="G33" s="246"/>
      <c r="H33" s="246"/>
      <c r="I33" s="246"/>
      <c r="J33" s="246"/>
      <c r="K33" s="246"/>
      <c r="L33" s="246"/>
      <c r="N33" s="250"/>
      <c r="O33" s="250"/>
      <c r="P33" s="250"/>
      <c r="Q33" s="250"/>
      <c r="R33" s="250"/>
      <c r="S33" s="250"/>
      <c r="T33" s="250"/>
      <c r="U33" s="250"/>
      <c r="V33" s="250"/>
      <c r="W33" s="250"/>
      <c r="Y33" s="248"/>
      <c r="Z33" s="248"/>
      <c r="AA33" s="248"/>
      <c r="AB33" s="248"/>
      <c r="AC33" s="248"/>
      <c r="AD33" s="248"/>
      <c r="AE33" s="248"/>
      <c r="AF33" s="248"/>
      <c r="AG33" s="248"/>
      <c r="AH33" s="248"/>
      <c r="AI33" s="248"/>
      <c r="AJ33" s="248"/>
      <c r="AK33" s="248"/>
      <c r="AL33" s="248"/>
      <c r="AM33" s="248"/>
      <c r="AN33" s="248"/>
      <c r="AO33" s="248"/>
      <c r="AP33" s="248"/>
    </row>
    <row r="34" spans="2:42" x14ac:dyDescent="0.3">
      <c r="B34" s="241"/>
      <c r="C34" s="247"/>
      <c r="D34" s="247"/>
      <c r="E34" s="247"/>
      <c r="F34" s="246"/>
      <c r="G34" s="246"/>
      <c r="H34" s="246"/>
      <c r="I34" s="246"/>
      <c r="J34" s="246"/>
      <c r="K34" s="246"/>
      <c r="L34" s="246"/>
      <c r="N34" s="250"/>
      <c r="O34" s="250"/>
      <c r="P34" s="250"/>
      <c r="Q34" s="250"/>
      <c r="R34" s="250"/>
      <c r="S34" s="250"/>
      <c r="T34" s="250"/>
      <c r="U34" s="250"/>
      <c r="V34" s="250"/>
      <c r="W34" s="250"/>
      <c r="Y34" s="248"/>
      <c r="Z34" s="248"/>
      <c r="AA34" s="248"/>
      <c r="AB34" s="248"/>
      <c r="AC34" s="248"/>
      <c r="AD34" s="248"/>
      <c r="AE34" s="248"/>
      <c r="AF34" s="248"/>
      <c r="AG34" s="248"/>
      <c r="AH34" s="248"/>
      <c r="AI34" s="248"/>
      <c r="AJ34" s="248"/>
      <c r="AK34" s="248"/>
      <c r="AL34" s="248"/>
      <c r="AM34" s="248"/>
      <c r="AN34" s="248"/>
      <c r="AO34" s="248"/>
      <c r="AP34" s="248"/>
    </row>
    <row r="35" spans="2:42" x14ac:dyDescent="0.3">
      <c r="C35" s="246"/>
      <c r="D35" s="246"/>
      <c r="E35" s="246"/>
      <c r="F35" s="246"/>
      <c r="G35" s="246"/>
      <c r="H35" s="246"/>
      <c r="I35" s="246"/>
      <c r="J35" s="246"/>
      <c r="K35" s="246"/>
      <c r="L35" s="246"/>
      <c r="N35" s="250"/>
      <c r="O35" s="250"/>
      <c r="P35" s="250"/>
      <c r="Q35" s="250"/>
      <c r="R35" s="250"/>
      <c r="S35" s="250"/>
      <c r="T35" s="250"/>
      <c r="U35" s="250"/>
      <c r="V35" s="250"/>
      <c r="W35" s="250"/>
      <c r="Y35" s="248"/>
      <c r="Z35" s="248"/>
      <c r="AA35" s="248"/>
      <c r="AB35" s="248"/>
      <c r="AC35" s="248"/>
      <c r="AD35" s="248"/>
      <c r="AE35" s="248"/>
      <c r="AF35" s="248"/>
      <c r="AG35" s="248"/>
      <c r="AH35" s="248"/>
      <c r="AI35" s="248"/>
      <c r="AJ35" s="248"/>
      <c r="AK35" s="248"/>
      <c r="AL35" s="248"/>
      <c r="AM35" s="248"/>
      <c r="AN35" s="248"/>
      <c r="AO35" s="248"/>
      <c r="AP35" s="248"/>
    </row>
    <row r="36" spans="2:42" x14ac:dyDescent="0.3">
      <c r="C36" s="246"/>
      <c r="D36" s="246"/>
      <c r="E36" s="246"/>
      <c r="F36" s="246"/>
      <c r="G36" s="246"/>
      <c r="H36" s="246"/>
      <c r="I36" s="246"/>
      <c r="J36" s="246"/>
      <c r="K36" s="246"/>
      <c r="L36" s="246"/>
      <c r="N36" s="250"/>
      <c r="O36" s="250"/>
      <c r="P36" s="250"/>
      <c r="Q36" s="250"/>
      <c r="R36" s="250"/>
      <c r="S36" s="250"/>
      <c r="T36" s="250"/>
      <c r="U36" s="250"/>
      <c r="V36" s="250"/>
      <c r="W36" s="250"/>
      <c r="Y36" s="248"/>
      <c r="Z36" s="248"/>
      <c r="AA36" s="248"/>
      <c r="AB36" s="248"/>
      <c r="AC36" s="248"/>
      <c r="AD36" s="248"/>
      <c r="AE36" s="248"/>
      <c r="AF36" s="248"/>
      <c r="AG36" s="248"/>
      <c r="AH36" s="248"/>
      <c r="AI36" s="248"/>
      <c r="AJ36" s="248"/>
      <c r="AK36" s="248"/>
      <c r="AL36" s="248"/>
      <c r="AM36" s="248"/>
      <c r="AN36" s="248"/>
      <c r="AO36" s="248"/>
      <c r="AP36" s="248"/>
    </row>
    <row r="37" spans="2:42" x14ac:dyDescent="0.3">
      <c r="C37" s="246"/>
      <c r="D37" s="246"/>
      <c r="E37" s="246"/>
      <c r="F37" s="246"/>
      <c r="G37" s="246"/>
      <c r="H37" s="246"/>
      <c r="I37" s="246"/>
      <c r="J37" s="246"/>
      <c r="K37" s="246"/>
      <c r="L37" s="246"/>
      <c r="N37" s="250"/>
      <c r="O37" s="250"/>
      <c r="P37" s="250"/>
      <c r="Q37" s="250"/>
      <c r="R37" s="250"/>
      <c r="S37" s="250"/>
      <c r="T37" s="250"/>
      <c r="U37" s="250"/>
      <c r="V37" s="250"/>
      <c r="W37" s="250"/>
      <c r="Y37" s="248"/>
      <c r="Z37" s="248"/>
      <c r="AA37" s="248"/>
      <c r="AB37" s="248"/>
      <c r="AC37" s="248"/>
      <c r="AD37" s="248"/>
      <c r="AE37" s="248"/>
      <c r="AF37" s="248"/>
      <c r="AG37" s="248"/>
      <c r="AH37" s="248"/>
      <c r="AI37" s="248"/>
      <c r="AJ37" s="248"/>
      <c r="AK37" s="248"/>
      <c r="AL37" s="248"/>
      <c r="AM37" s="248"/>
      <c r="AN37" s="248"/>
      <c r="AO37" s="248"/>
      <c r="AP37" s="248"/>
    </row>
    <row r="38" spans="2:42" x14ac:dyDescent="0.3">
      <c r="C38" s="246"/>
      <c r="D38" s="246"/>
      <c r="E38" s="246"/>
      <c r="F38" s="246"/>
      <c r="G38" s="246"/>
      <c r="H38" s="246"/>
      <c r="I38" s="246"/>
      <c r="J38" s="246"/>
      <c r="K38" s="246"/>
      <c r="L38" s="246"/>
      <c r="N38" s="250"/>
      <c r="O38" s="250"/>
      <c r="P38" s="250"/>
      <c r="Q38" s="250"/>
      <c r="R38" s="250"/>
      <c r="S38" s="250"/>
      <c r="T38" s="250"/>
      <c r="U38" s="250"/>
      <c r="V38" s="250"/>
      <c r="W38" s="250"/>
      <c r="Y38" s="248"/>
      <c r="Z38" s="248"/>
      <c r="AA38" s="248"/>
      <c r="AB38" s="248"/>
      <c r="AC38" s="248"/>
      <c r="AD38" s="248"/>
      <c r="AE38" s="248"/>
      <c r="AF38" s="248"/>
      <c r="AG38" s="248"/>
      <c r="AH38" s="248"/>
      <c r="AI38" s="248"/>
      <c r="AJ38" s="248"/>
      <c r="AK38" s="248"/>
      <c r="AL38" s="248"/>
      <c r="AM38" s="248"/>
      <c r="AN38" s="248"/>
      <c r="AO38" s="248"/>
      <c r="AP38" s="248"/>
    </row>
    <row r="39" spans="2:42" x14ac:dyDescent="0.3">
      <c r="C39" s="246"/>
      <c r="D39" s="246"/>
      <c r="E39" s="246"/>
      <c r="F39" s="246"/>
      <c r="G39" s="246"/>
      <c r="H39" s="246"/>
      <c r="I39" s="246"/>
      <c r="J39" s="246"/>
      <c r="K39" s="246"/>
      <c r="L39" s="246"/>
      <c r="N39" s="250"/>
      <c r="O39" s="250"/>
      <c r="P39" s="250"/>
      <c r="Q39" s="250"/>
      <c r="R39" s="250"/>
      <c r="S39" s="250"/>
      <c r="T39" s="250"/>
      <c r="U39" s="250"/>
      <c r="V39" s="250"/>
      <c r="W39" s="250"/>
      <c r="Y39" s="248"/>
      <c r="Z39" s="248"/>
      <c r="AA39" s="248"/>
      <c r="AB39" s="248"/>
      <c r="AC39" s="248"/>
      <c r="AD39" s="248"/>
      <c r="AE39" s="248"/>
      <c r="AF39" s="248"/>
      <c r="AG39" s="248"/>
      <c r="AH39" s="248"/>
      <c r="AI39" s="248"/>
      <c r="AJ39" s="248"/>
      <c r="AK39" s="248"/>
      <c r="AL39" s="248"/>
      <c r="AM39" s="248"/>
      <c r="AN39" s="248"/>
      <c r="AO39" s="248"/>
      <c r="AP39" s="248"/>
    </row>
    <row r="40" spans="2:42" x14ac:dyDescent="0.3">
      <c r="C40" s="246"/>
      <c r="D40" s="246"/>
      <c r="E40" s="246"/>
      <c r="F40" s="246"/>
      <c r="G40" s="246"/>
      <c r="H40" s="246"/>
      <c r="I40" s="246"/>
      <c r="J40" s="246"/>
      <c r="K40" s="246"/>
      <c r="L40" s="246"/>
      <c r="N40" s="250"/>
      <c r="O40" s="250"/>
      <c r="P40" s="250"/>
      <c r="Q40" s="250"/>
      <c r="R40" s="250"/>
      <c r="S40" s="250"/>
      <c r="T40" s="250"/>
      <c r="U40" s="250"/>
      <c r="V40" s="250"/>
      <c r="W40" s="250"/>
      <c r="Y40" s="248"/>
      <c r="Z40" s="248"/>
      <c r="AA40" s="248"/>
      <c r="AB40" s="248"/>
      <c r="AC40" s="248"/>
      <c r="AD40" s="248"/>
      <c r="AE40" s="248"/>
      <c r="AF40" s="248"/>
      <c r="AG40" s="248"/>
      <c r="AH40" s="248"/>
      <c r="AI40" s="248"/>
      <c r="AJ40" s="248"/>
      <c r="AK40" s="248"/>
      <c r="AL40" s="248"/>
      <c r="AM40" s="248"/>
      <c r="AN40" s="248"/>
      <c r="AO40" s="248"/>
      <c r="AP40" s="248"/>
    </row>
    <row r="41" spans="2:42" x14ac:dyDescent="0.3">
      <c r="C41" s="246"/>
      <c r="D41" s="246"/>
      <c r="E41" s="246"/>
      <c r="F41" s="246"/>
      <c r="G41" s="246"/>
      <c r="H41" s="246"/>
      <c r="I41" s="246"/>
      <c r="J41" s="246"/>
      <c r="K41" s="246"/>
      <c r="L41" s="246"/>
      <c r="N41" s="250"/>
      <c r="O41" s="250"/>
      <c r="P41" s="250"/>
      <c r="Q41" s="250"/>
      <c r="R41" s="250"/>
      <c r="S41" s="250"/>
      <c r="T41" s="250"/>
      <c r="U41" s="250"/>
      <c r="V41" s="250"/>
      <c r="W41" s="250"/>
      <c r="Y41" s="248"/>
      <c r="Z41" s="248"/>
      <c r="AA41" s="248"/>
      <c r="AB41" s="248"/>
      <c r="AC41" s="248"/>
      <c r="AD41" s="248"/>
      <c r="AE41" s="248"/>
      <c r="AF41" s="248"/>
      <c r="AG41" s="248"/>
      <c r="AH41" s="248"/>
      <c r="AI41" s="248"/>
      <c r="AJ41" s="248"/>
      <c r="AK41" s="248"/>
      <c r="AL41" s="248"/>
      <c r="AM41" s="248"/>
      <c r="AN41" s="248"/>
      <c r="AO41" s="248"/>
      <c r="AP41" s="248"/>
    </row>
    <row r="42" spans="2:42" x14ac:dyDescent="0.3">
      <c r="C42" s="246"/>
      <c r="D42" s="246"/>
      <c r="E42" s="246"/>
      <c r="F42" s="246"/>
      <c r="G42" s="246"/>
      <c r="H42" s="246"/>
      <c r="I42" s="246"/>
      <c r="J42" s="246"/>
      <c r="K42" s="246"/>
      <c r="L42" s="246"/>
      <c r="N42" s="250"/>
      <c r="O42" s="250"/>
      <c r="P42" s="250"/>
      <c r="Q42" s="250"/>
      <c r="R42" s="250"/>
      <c r="S42" s="250"/>
      <c r="T42" s="250"/>
      <c r="U42" s="250"/>
      <c r="V42" s="250"/>
      <c r="W42" s="250"/>
      <c r="Y42" s="248"/>
      <c r="Z42" s="248"/>
      <c r="AA42" s="248"/>
      <c r="AB42" s="248"/>
      <c r="AC42" s="248"/>
      <c r="AD42" s="248"/>
      <c r="AE42" s="248"/>
      <c r="AF42" s="248"/>
      <c r="AG42" s="248"/>
      <c r="AH42" s="248"/>
      <c r="AI42" s="248"/>
      <c r="AJ42" s="248"/>
      <c r="AK42" s="248"/>
      <c r="AL42" s="248"/>
      <c r="AM42" s="248"/>
      <c r="AN42" s="248"/>
      <c r="AO42" s="248"/>
      <c r="AP42" s="248"/>
    </row>
    <row r="43" spans="2:42" x14ac:dyDescent="0.3">
      <c r="C43" s="246"/>
      <c r="D43" s="246"/>
      <c r="E43" s="246"/>
      <c r="F43" s="246"/>
      <c r="G43" s="246"/>
      <c r="H43" s="246"/>
      <c r="I43" s="246"/>
      <c r="J43" s="246"/>
      <c r="K43" s="246"/>
      <c r="L43" s="246"/>
      <c r="N43" s="250"/>
      <c r="O43" s="250"/>
      <c r="P43" s="250"/>
      <c r="Q43" s="250"/>
      <c r="R43" s="250"/>
      <c r="S43" s="250"/>
      <c r="T43" s="250"/>
      <c r="U43" s="250"/>
      <c r="V43" s="250"/>
      <c r="W43" s="250"/>
      <c r="Y43" s="248"/>
      <c r="Z43" s="248"/>
      <c r="AA43" s="248"/>
      <c r="AB43" s="248"/>
      <c r="AC43" s="248"/>
      <c r="AD43" s="248"/>
      <c r="AE43" s="248"/>
      <c r="AF43" s="248"/>
      <c r="AG43" s="248"/>
      <c r="AH43" s="248"/>
      <c r="AI43" s="248"/>
      <c r="AJ43" s="248"/>
      <c r="AK43" s="248"/>
      <c r="AL43" s="248"/>
      <c r="AM43" s="248"/>
      <c r="AN43" s="248"/>
      <c r="AO43" s="248"/>
      <c r="AP43" s="248"/>
    </row>
    <row r="44" spans="2:42" x14ac:dyDescent="0.3">
      <c r="C44" s="246"/>
      <c r="D44" s="246"/>
      <c r="E44" s="246"/>
      <c r="F44" s="246"/>
      <c r="G44" s="246"/>
      <c r="H44" s="246"/>
      <c r="I44" s="246"/>
      <c r="J44" s="246"/>
      <c r="K44" s="246"/>
      <c r="L44" s="246"/>
      <c r="N44" s="250"/>
      <c r="O44" s="250"/>
      <c r="P44" s="250"/>
      <c r="Q44" s="250"/>
      <c r="R44" s="250"/>
      <c r="S44" s="250"/>
      <c r="T44" s="250"/>
      <c r="U44" s="250"/>
      <c r="V44" s="250"/>
      <c r="W44" s="250"/>
      <c r="Y44" s="248"/>
      <c r="Z44" s="248"/>
      <c r="AA44" s="248"/>
      <c r="AB44" s="248"/>
      <c r="AC44" s="248"/>
      <c r="AD44" s="248"/>
      <c r="AE44" s="248"/>
      <c r="AF44" s="248"/>
      <c r="AG44" s="248"/>
      <c r="AH44" s="248"/>
      <c r="AI44" s="248"/>
      <c r="AJ44" s="248"/>
      <c r="AK44" s="248"/>
      <c r="AL44" s="248"/>
      <c r="AM44" s="248"/>
      <c r="AN44" s="248"/>
      <c r="AO44" s="248"/>
      <c r="AP44" s="248"/>
    </row>
    <row r="45" spans="2:42" x14ac:dyDescent="0.3">
      <c r="C45" s="246"/>
      <c r="D45" s="246"/>
      <c r="E45" s="246"/>
      <c r="F45" s="246"/>
      <c r="G45" s="246"/>
      <c r="H45" s="246"/>
      <c r="I45" s="246"/>
      <c r="J45" s="246"/>
      <c r="K45" s="246"/>
      <c r="L45" s="246"/>
      <c r="N45" s="250"/>
      <c r="O45" s="250"/>
      <c r="P45" s="250"/>
      <c r="Q45" s="250"/>
      <c r="R45" s="250"/>
      <c r="S45" s="250"/>
      <c r="T45" s="250"/>
      <c r="U45" s="250"/>
      <c r="V45" s="250"/>
      <c r="W45" s="250"/>
      <c r="Y45" s="248"/>
      <c r="Z45" s="248"/>
      <c r="AA45" s="248"/>
      <c r="AB45" s="248"/>
      <c r="AC45" s="248"/>
      <c r="AD45" s="248"/>
      <c r="AE45" s="248"/>
      <c r="AF45" s="248"/>
      <c r="AG45" s="248"/>
      <c r="AH45" s="248"/>
      <c r="AI45" s="248"/>
      <c r="AJ45" s="248"/>
      <c r="AK45" s="248"/>
      <c r="AL45" s="248"/>
      <c r="AM45" s="248"/>
      <c r="AN45" s="248"/>
      <c r="AO45" s="248"/>
      <c r="AP45" s="248"/>
    </row>
    <row r="46" spans="2:42" x14ac:dyDescent="0.3">
      <c r="C46" s="246"/>
      <c r="D46" s="246"/>
      <c r="E46" s="246"/>
      <c r="F46" s="246"/>
      <c r="G46" s="246"/>
      <c r="H46" s="246"/>
      <c r="I46" s="246"/>
      <c r="J46" s="246"/>
      <c r="K46" s="246"/>
      <c r="L46" s="246"/>
      <c r="N46" s="250"/>
      <c r="O46" s="250"/>
      <c r="P46" s="250"/>
      <c r="Q46" s="250"/>
      <c r="R46" s="250"/>
      <c r="S46" s="250"/>
      <c r="T46" s="250"/>
      <c r="U46" s="250"/>
      <c r="V46" s="250"/>
      <c r="W46" s="250"/>
      <c r="Y46" s="248"/>
      <c r="Z46" s="248"/>
      <c r="AA46" s="248"/>
      <c r="AB46" s="248"/>
      <c r="AC46" s="248"/>
      <c r="AD46" s="248"/>
      <c r="AE46" s="248"/>
      <c r="AF46" s="248"/>
      <c r="AG46" s="248"/>
      <c r="AH46" s="248"/>
      <c r="AI46" s="248"/>
      <c r="AJ46" s="248"/>
      <c r="AK46" s="248"/>
      <c r="AL46" s="248"/>
      <c r="AM46" s="248"/>
      <c r="AN46" s="248"/>
      <c r="AO46" s="248"/>
      <c r="AP46" s="248"/>
    </row>
    <row r="47" spans="2:42" x14ac:dyDescent="0.3">
      <c r="C47" s="246"/>
      <c r="D47" s="246"/>
      <c r="E47" s="246"/>
      <c r="F47" s="246"/>
      <c r="G47" s="246"/>
      <c r="H47" s="246"/>
      <c r="I47" s="246"/>
      <c r="J47" s="246"/>
      <c r="K47" s="246"/>
      <c r="L47" s="246"/>
      <c r="N47" s="250"/>
      <c r="O47" s="250"/>
      <c r="P47" s="250"/>
      <c r="Q47" s="250"/>
      <c r="R47" s="250"/>
      <c r="S47" s="250"/>
      <c r="T47" s="250"/>
      <c r="U47" s="250"/>
      <c r="V47" s="250"/>
      <c r="W47" s="250"/>
      <c r="Y47" s="248"/>
      <c r="Z47" s="248"/>
      <c r="AA47" s="248"/>
      <c r="AB47" s="248"/>
      <c r="AC47" s="248"/>
      <c r="AD47" s="248"/>
      <c r="AE47" s="248"/>
      <c r="AF47" s="248"/>
      <c r="AG47" s="248"/>
      <c r="AH47" s="248"/>
      <c r="AI47" s="248"/>
      <c r="AJ47" s="248"/>
      <c r="AK47" s="248"/>
      <c r="AL47" s="248"/>
      <c r="AM47" s="248"/>
      <c r="AN47" s="248"/>
      <c r="AO47" s="248"/>
      <c r="AP47" s="248"/>
    </row>
    <row r="48" spans="2:42" x14ac:dyDescent="0.3">
      <c r="C48" s="246"/>
      <c r="D48" s="246"/>
      <c r="E48" s="246"/>
      <c r="F48" s="246"/>
      <c r="G48" s="246"/>
      <c r="H48" s="246"/>
      <c r="I48" s="246"/>
      <c r="J48" s="246"/>
      <c r="K48" s="246"/>
      <c r="L48" s="246"/>
      <c r="N48" s="250"/>
      <c r="O48" s="250"/>
      <c r="P48" s="250"/>
      <c r="Q48" s="250"/>
      <c r="R48" s="250"/>
      <c r="S48" s="250"/>
      <c r="T48" s="250"/>
      <c r="U48" s="250"/>
      <c r="V48" s="250"/>
      <c r="W48" s="250"/>
      <c r="Y48" s="248"/>
      <c r="Z48" s="248"/>
      <c r="AA48" s="248"/>
      <c r="AB48" s="248"/>
      <c r="AC48" s="248"/>
      <c r="AD48" s="248"/>
      <c r="AE48" s="248"/>
      <c r="AF48" s="248"/>
      <c r="AG48" s="248"/>
      <c r="AH48" s="248"/>
      <c r="AI48" s="248"/>
      <c r="AJ48" s="248"/>
      <c r="AK48" s="248"/>
      <c r="AL48" s="248"/>
      <c r="AM48" s="248"/>
      <c r="AN48" s="248"/>
      <c r="AO48" s="248"/>
      <c r="AP48" s="248"/>
    </row>
    <row r="49" spans="3:42" x14ac:dyDescent="0.3">
      <c r="C49" s="246"/>
      <c r="D49" s="246"/>
      <c r="E49" s="246"/>
      <c r="F49" s="246"/>
      <c r="G49" s="246"/>
      <c r="H49" s="246"/>
      <c r="I49" s="246"/>
      <c r="J49" s="246"/>
      <c r="K49" s="246"/>
      <c r="L49" s="246"/>
      <c r="N49" s="250"/>
      <c r="O49" s="250"/>
      <c r="P49" s="250"/>
      <c r="Q49" s="250"/>
      <c r="R49" s="250"/>
      <c r="S49" s="250"/>
      <c r="T49" s="250"/>
      <c r="U49" s="250"/>
      <c r="V49" s="250"/>
      <c r="W49" s="250"/>
      <c r="Y49" s="248"/>
      <c r="Z49" s="248"/>
      <c r="AA49" s="248"/>
      <c r="AB49" s="248"/>
      <c r="AC49" s="248"/>
      <c r="AD49" s="248"/>
      <c r="AE49" s="248"/>
      <c r="AF49" s="248"/>
      <c r="AG49" s="248"/>
      <c r="AH49" s="248"/>
      <c r="AI49" s="248"/>
      <c r="AJ49" s="248"/>
      <c r="AK49" s="248"/>
      <c r="AL49" s="248"/>
      <c r="AM49" s="248"/>
      <c r="AN49" s="248"/>
      <c r="AO49" s="248"/>
      <c r="AP49" s="248"/>
    </row>
    <row r="50" spans="3:42" x14ac:dyDescent="0.3">
      <c r="C50" s="246"/>
      <c r="D50" s="246"/>
      <c r="E50" s="246"/>
      <c r="F50" s="246"/>
      <c r="G50" s="246"/>
      <c r="H50" s="246"/>
      <c r="I50" s="246"/>
      <c r="J50" s="246"/>
      <c r="K50" s="246"/>
      <c r="L50" s="246"/>
      <c r="N50" s="250"/>
      <c r="O50" s="250"/>
      <c r="P50" s="250"/>
      <c r="Q50" s="250"/>
      <c r="R50" s="250"/>
      <c r="S50" s="250"/>
      <c r="T50" s="250"/>
      <c r="U50" s="250"/>
      <c r="V50" s="250"/>
      <c r="W50" s="250"/>
      <c r="Y50" s="248"/>
      <c r="Z50" s="248"/>
      <c r="AA50" s="248"/>
      <c r="AB50" s="248"/>
      <c r="AC50" s="248"/>
      <c r="AD50" s="248"/>
      <c r="AE50" s="248"/>
      <c r="AF50" s="248"/>
      <c r="AG50" s="248"/>
      <c r="AH50" s="248"/>
      <c r="AI50" s="248"/>
      <c r="AJ50" s="248"/>
      <c r="AK50" s="248"/>
      <c r="AL50" s="248"/>
      <c r="AM50" s="248"/>
      <c r="AN50" s="248"/>
      <c r="AO50" s="248"/>
      <c r="AP50" s="248"/>
    </row>
    <row r="51" spans="3:42" x14ac:dyDescent="0.3">
      <c r="C51" s="246"/>
      <c r="D51" s="246"/>
      <c r="E51" s="246"/>
      <c r="F51" s="246"/>
      <c r="G51" s="246"/>
      <c r="H51" s="246"/>
      <c r="I51" s="246"/>
      <c r="J51" s="246"/>
      <c r="K51" s="246"/>
      <c r="L51" s="246"/>
      <c r="N51" s="250"/>
      <c r="O51" s="250"/>
      <c r="P51" s="250"/>
      <c r="Q51" s="250"/>
      <c r="R51" s="250"/>
      <c r="S51" s="250"/>
      <c r="T51" s="250"/>
      <c r="U51" s="250"/>
      <c r="V51" s="250"/>
      <c r="W51" s="250"/>
      <c r="Y51" s="248"/>
      <c r="Z51" s="248"/>
      <c r="AA51" s="248"/>
      <c r="AB51" s="248"/>
      <c r="AC51" s="248"/>
      <c r="AD51" s="248"/>
      <c r="AE51" s="248"/>
      <c r="AF51" s="248"/>
      <c r="AG51" s="248"/>
      <c r="AH51" s="248"/>
      <c r="AI51" s="248"/>
      <c r="AJ51" s="248"/>
      <c r="AK51" s="248"/>
      <c r="AL51" s="248"/>
      <c r="AM51" s="248"/>
      <c r="AN51" s="248"/>
      <c r="AO51" s="248"/>
      <c r="AP51" s="248"/>
    </row>
    <row r="52" spans="3:42" x14ac:dyDescent="0.3">
      <c r="C52" s="246"/>
      <c r="D52" s="246"/>
      <c r="E52" s="246"/>
      <c r="F52" s="246"/>
      <c r="G52" s="246"/>
      <c r="H52" s="246"/>
      <c r="I52" s="246"/>
      <c r="J52" s="246"/>
      <c r="K52" s="246"/>
      <c r="L52" s="246"/>
      <c r="N52" s="250"/>
      <c r="O52" s="250"/>
      <c r="P52" s="250"/>
      <c r="Q52" s="250"/>
      <c r="R52" s="250"/>
      <c r="S52" s="250"/>
      <c r="T52" s="250"/>
      <c r="U52" s="250"/>
      <c r="V52" s="250"/>
      <c r="W52" s="250"/>
      <c r="Y52" s="248"/>
      <c r="Z52" s="248"/>
      <c r="AA52" s="248"/>
      <c r="AB52" s="248"/>
      <c r="AC52" s="248"/>
      <c r="AD52" s="248"/>
      <c r="AE52" s="248"/>
      <c r="AF52" s="248"/>
      <c r="AG52" s="248"/>
      <c r="AH52" s="248"/>
      <c r="AI52" s="248"/>
      <c r="AJ52" s="248"/>
      <c r="AK52" s="248"/>
      <c r="AL52" s="248"/>
      <c r="AM52" s="248"/>
      <c r="AN52" s="248"/>
      <c r="AO52" s="248"/>
      <c r="AP52" s="248"/>
    </row>
    <row r="53" spans="3:42" x14ac:dyDescent="0.3">
      <c r="C53" s="246"/>
      <c r="D53" s="246"/>
      <c r="E53" s="246"/>
      <c r="F53" s="246"/>
      <c r="G53" s="246"/>
      <c r="H53" s="246"/>
      <c r="I53" s="246"/>
      <c r="J53" s="246"/>
      <c r="K53" s="246"/>
      <c r="L53" s="246"/>
      <c r="N53" s="250"/>
      <c r="O53" s="250"/>
      <c r="P53" s="250"/>
      <c r="Q53" s="250"/>
      <c r="R53" s="250"/>
      <c r="S53" s="250"/>
      <c r="T53" s="250"/>
      <c r="U53" s="250"/>
      <c r="V53" s="250"/>
      <c r="W53" s="250"/>
      <c r="Y53" s="248"/>
      <c r="Z53" s="248"/>
      <c r="AA53" s="248"/>
      <c r="AB53" s="248"/>
      <c r="AC53" s="248"/>
      <c r="AD53" s="248"/>
      <c r="AE53" s="248"/>
      <c r="AF53" s="248"/>
      <c r="AG53" s="248"/>
      <c r="AH53" s="248"/>
      <c r="AI53" s="248"/>
      <c r="AJ53" s="248"/>
      <c r="AK53" s="248"/>
      <c r="AL53" s="248"/>
      <c r="AM53" s="248"/>
      <c r="AN53" s="248"/>
      <c r="AO53" s="248"/>
      <c r="AP53" s="248"/>
    </row>
    <row r="54" spans="3:42" x14ac:dyDescent="0.3">
      <c r="C54" s="246"/>
      <c r="D54" s="246"/>
      <c r="E54" s="246"/>
      <c r="F54" s="246"/>
      <c r="G54" s="246"/>
      <c r="H54" s="246"/>
      <c r="I54" s="246"/>
      <c r="J54" s="246"/>
      <c r="K54" s="246"/>
      <c r="L54" s="246"/>
      <c r="N54" s="250"/>
      <c r="O54" s="250"/>
      <c r="P54" s="250"/>
      <c r="Q54" s="250"/>
      <c r="R54" s="250"/>
      <c r="S54" s="250"/>
      <c r="T54" s="250"/>
      <c r="U54" s="250"/>
      <c r="V54" s="250"/>
      <c r="W54" s="250"/>
      <c r="Y54" s="248"/>
      <c r="Z54" s="248"/>
      <c r="AA54" s="248"/>
      <c r="AB54" s="248"/>
      <c r="AC54" s="248"/>
      <c r="AD54" s="248"/>
      <c r="AE54" s="248"/>
      <c r="AF54" s="248"/>
      <c r="AG54" s="248"/>
      <c r="AH54" s="248"/>
      <c r="AI54" s="248"/>
      <c r="AJ54" s="248"/>
      <c r="AK54" s="248"/>
      <c r="AL54" s="248"/>
      <c r="AM54" s="248"/>
      <c r="AN54" s="248"/>
      <c r="AO54" s="248"/>
      <c r="AP54" s="248"/>
    </row>
    <row r="55" spans="3:42" x14ac:dyDescent="0.3">
      <c r="C55" s="246"/>
      <c r="D55" s="246"/>
      <c r="E55" s="246"/>
      <c r="F55" s="246"/>
      <c r="G55" s="246"/>
      <c r="H55" s="246"/>
      <c r="I55" s="246"/>
      <c r="J55" s="246"/>
      <c r="K55" s="246"/>
      <c r="L55" s="246"/>
      <c r="N55" s="250"/>
      <c r="O55" s="250"/>
      <c r="P55" s="250"/>
      <c r="Q55" s="250"/>
      <c r="R55" s="250"/>
      <c r="S55" s="250"/>
      <c r="T55" s="250"/>
      <c r="U55" s="250"/>
      <c r="V55" s="250"/>
      <c r="W55" s="250"/>
      <c r="Y55" s="248"/>
      <c r="Z55" s="248"/>
      <c r="AA55" s="248"/>
      <c r="AB55" s="248"/>
      <c r="AC55" s="248"/>
      <c r="AD55" s="248"/>
      <c r="AE55" s="248"/>
      <c r="AF55" s="248"/>
      <c r="AG55" s="248"/>
      <c r="AH55" s="248"/>
      <c r="AI55" s="248"/>
      <c r="AJ55" s="248"/>
      <c r="AK55" s="248"/>
      <c r="AL55" s="248"/>
      <c r="AM55" s="248"/>
      <c r="AN55" s="248"/>
      <c r="AO55" s="248"/>
      <c r="AP55" s="248"/>
    </row>
    <row r="56" spans="3:42" x14ac:dyDescent="0.3">
      <c r="C56" s="246"/>
      <c r="D56" s="246"/>
      <c r="E56" s="246"/>
      <c r="F56" s="246"/>
      <c r="G56" s="246"/>
      <c r="H56" s="246"/>
      <c r="I56" s="246"/>
      <c r="J56" s="246"/>
      <c r="K56" s="246"/>
      <c r="L56" s="246"/>
      <c r="N56" s="250"/>
      <c r="O56" s="250"/>
      <c r="P56" s="250"/>
      <c r="Q56" s="250"/>
      <c r="R56" s="250"/>
      <c r="S56" s="250"/>
      <c r="T56" s="250"/>
      <c r="U56" s="250"/>
      <c r="V56" s="250"/>
      <c r="W56" s="250"/>
      <c r="Y56" s="248"/>
      <c r="Z56" s="248"/>
      <c r="AA56" s="248"/>
      <c r="AB56" s="248"/>
      <c r="AC56" s="248"/>
      <c r="AD56" s="248"/>
      <c r="AE56" s="248"/>
      <c r="AF56" s="248"/>
      <c r="AG56" s="248"/>
      <c r="AH56" s="248"/>
      <c r="AI56" s="248"/>
      <c r="AJ56" s="248"/>
      <c r="AK56" s="248"/>
      <c r="AL56" s="248"/>
      <c r="AM56" s="248"/>
      <c r="AN56" s="248"/>
      <c r="AO56" s="248"/>
      <c r="AP56" s="248"/>
    </row>
    <row r="57" spans="3:42" x14ac:dyDescent="0.3">
      <c r="C57" s="246"/>
      <c r="D57" s="246"/>
      <c r="E57" s="246"/>
      <c r="F57" s="246"/>
      <c r="G57" s="246"/>
      <c r="H57" s="246"/>
      <c r="I57" s="246"/>
      <c r="J57" s="246"/>
      <c r="K57" s="246"/>
      <c r="L57" s="246"/>
      <c r="N57" s="250"/>
      <c r="O57" s="250"/>
      <c r="P57" s="250"/>
      <c r="Q57" s="250"/>
      <c r="R57" s="250"/>
      <c r="S57" s="250"/>
      <c r="T57" s="250"/>
      <c r="U57" s="250"/>
      <c r="V57" s="250"/>
      <c r="W57" s="250"/>
      <c r="Y57" s="248"/>
      <c r="Z57" s="248"/>
      <c r="AA57" s="248"/>
      <c r="AB57" s="248"/>
      <c r="AC57" s="248"/>
      <c r="AD57" s="248"/>
      <c r="AE57" s="248"/>
      <c r="AF57" s="248"/>
      <c r="AG57" s="248"/>
      <c r="AH57" s="248"/>
      <c r="AI57" s="248"/>
      <c r="AJ57" s="248"/>
      <c r="AK57" s="248"/>
      <c r="AL57" s="248"/>
      <c r="AM57" s="248"/>
      <c r="AN57" s="248"/>
      <c r="AO57" s="248"/>
      <c r="AP57" s="248"/>
    </row>
    <row r="58" spans="3:42" x14ac:dyDescent="0.3">
      <c r="C58" s="246"/>
      <c r="D58" s="246"/>
      <c r="E58" s="246"/>
      <c r="F58" s="246"/>
      <c r="G58" s="246"/>
      <c r="H58" s="246"/>
      <c r="I58" s="246"/>
      <c r="J58" s="246"/>
      <c r="K58" s="246"/>
      <c r="L58" s="246"/>
      <c r="N58" s="250"/>
      <c r="O58" s="250"/>
      <c r="P58" s="250"/>
      <c r="Q58" s="250"/>
      <c r="R58" s="250"/>
      <c r="S58" s="250"/>
      <c r="T58" s="250"/>
      <c r="U58" s="250"/>
      <c r="V58" s="250"/>
      <c r="W58" s="250"/>
      <c r="Y58" s="248"/>
      <c r="Z58" s="248"/>
      <c r="AA58" s="248"/>
      <c r="AB58" s="248"/>
      <c r="AC58" s="248"/>
      <c r="AD58" s="248"/>
      <c r="AE58" s="248"/>
      <c r="AF58" s="248"/>
      <c r="AG58" s="248"/>
      <c r="AH58" s="248"/>
      <c r="AI58" s="248"/>
      <c r="AJ58" s="248"/>
      <c r="AK58" s="248"/>
      <c r="AL58" s="248"/>
      <c r="AM58" s="248"/>
      <c r="AN58" s="248"/>
      <c r="AO58" s="248"/>
      <c r="AP58" s="248"/>
    </row>
    <row r="59" spans="3:42" x14ac:dyDescent="0.3">
      <c r="C59" s="246"/>
      <c r="D59" s="246"/>
      <c r="E59" s="246"/>
      <c r="F59" s="246"/>
      <c r="G59" s="246"/>
      <c r="H59" s="246"/>
      <c r="I59" s="246"/>
      <c r="J59" s="246"/>
      <c r="K59" s="246"/>
      <c r="L59" s="246"/>
      <c r="N59" s="250"/>
      <c r="O59" s="250"/>
      <c r="P59" s="250"/>
      <c r="Q59" s="250"/>
      <c r="R59" s="250"/>
      <c r="S59" s="250"/>
      <c r="T59" s="250"/>
      <c r="U59" s="250"/>
      <c r="V59" s="250"/>
      <c r="W59" s="250"/>
      <c r="Y59" s="248"/>
      <c r="Z59" s="248"/>
      <c r="AA59" s="248"/>
      <c r="AB59" s="248"/>
      <c r="AC59" s="248"/>
      <c r="AD59" s="248"/>
      <c r="AE59" s="248"/>
      <c r="AF59" s="248"/>
      <c r="AG59" s="248"/>
      <c r="AH59" s="248"/>
      <c r="AI59" s="248"/>
      <c r="AJ59" s="248"/>
      <c r="AK59" s="248"/>
      <c r="AL59" s="248"/>
      <c r="AM59" s="248"/>
      <c r="AN59" s="248"/>
      <c r="AO59" s="248"/>
      <c r="AP59" s="248"/>
    </row>
    <row r="60" spans="3:42" x14ac:dyDescent="0.3">
      <c r="C60" s="246"/>
      <c r="D60" s="246"/>
      <c r="E60" s="246"/>
      <c r="F60" s="246"/>
      <c r="G60" s="246"/>
      <c r="H60" s="246"/>
      <c r="I60" s="246"/>
      <c r="J60" s="246"/>
      <c r="K60" s="246"/>
      <c r="L60" s="246"/>
      <c r="N60" s="250"/>
      <c r="O60" s="250"/>
      <c r="P60" s="250"/>
      <c r="Q60" s="250"/>
      <c r="R60" s="250"/>
      <c r="S60" s="250"/>
      <c r="T60" s="250"/>
      <c r="U60" s="250"/>
      <c r="V60" s="250"/>
      <c r="W60" s="250"/>
      <c r="Y60" s="248"/>
      <c r="Z60" s="248"/>
      <c r="AA60" s="248"/>
      <c r="AB60" s="248"/>
      <c r="AC60" s="248"/>
      <c r="AD60" s="248"/>
      <c r="AE60" s="248"/>
      <c r="AF60" s="248"/>
      <c r="AG60" s="248"/>
      <c r="AH60" s="248"/>
      <c r="AI60" s="248"/>
      <c r="AJ60" s="248"/>
      <c r="AK60" s="248"/>
      <c r="AL60" s="248"/>
      <c r="AM60" s="248"/>
      <c r="AN60" s="248"/>
      <c r="AO60" s="248"/>
      <c r="AP60" s="248"/>
    </row>
    <row r="61" spans="3:42" x14ac:dyDescent="0.3">
      <c r="C61" s="246"/>
      <c r="D61" s="246"/>
      <c r="E61" s="246"/>
      <c r="F61" s="246"/>
      <c r="G61" s="246"/>
      <c r="H61" s="246"/>
      <c r="I61" s="246"/>
      <c r="J61" s="246"/>
      <c r="K61" s="246"/>
      <c r="L61" s="246"/>
      <c r="N61" s="250"/>
      <c r="O61" s="250"/>
      <c r="P61" s="250"/>
      <c r="Q61" s="250"/>
      <c r="R61" s="250"/>
      <c r="S61" s="250"/>
      <c r="T61" s="250"/>
      <c r="U61" s="250"/>
      <c r="V61" s="250"/>
      <c r="W61" s="250"/>
      <c r="Y61" s="248"/>
      <c r="Z61" s="248"/>
      <c r="AA61" s="248"/>
      <c r="AB61" s="248"/>
      <c r="AC61" s="248"/>
      <c r="AD61" s="248"/>
      <c r="AE61" s="248"/>
      <c r="AF61" s="248"/>
      <c r="AG61" s="248"/>
      <c r="AH61" s="248"/>
      <c r="AI61" s="248"/>
      <c r="AJ61" s="248"/>
      <c r="AK61" s="248"/>
      <c r="AL61" s="248"/>
      <c r="AM61" s="248"/>
      <c r="AN61" s="248"/>
      <c r="AO61" s="248"/>
      <c r="AP61" s="248"/>
    </row>
    <row r="62" spans="3:42" x14ac:dyDescent="0.3">
      <c r="C62" s="246"/>
      <c r="D62" s="246"/>
      <c r="E62" s="246"/>
      <c r="F62" s="246"/>
      <c r="G62" s="246"/>
      <c r="H62" s="246"/>
      <c r="I62" s="246"/>
      <c r="J62" s="246"/>
      <c r="K62" s="246"/>
      <c r="L62" s="246"/>
      <c r="N62" s="250"/>
      <c r="O62" s="250"/>
      <c r="P62" s="250"/>
      <c r="Q62" s="250"/>
      <c r="R62" s="250"/>
      <c r="S62" s="250"/>
      <c r="T62" s="250"/>
      <c r="U62" s="250"/>
      <c r="V62" s="250"/>
      <c r="W62" s="250"/>
      <c r="Y62" s="248"/>
      <c r="Z62" s="248"/>
      <c r="AA62" s="248"/>
      <c r="AB62" s="248"/>
      <c r="AC62" s="248"/>
      <c r="AD62" s="248"/>
      <c r="AE62" s="248"/>
      <c r="AF62" s="248"/>
      <c r="AG62" s="248"/>
      <c r="AH62" s="248"/>
      <c r="AI62" s="248"/>
      <c r="AJ62" s="248"/>
      <c r="AK62" s="248"/>
      <c r="AL62" s="248"/>
      <c r="AM62" s="248"/>
      <c r="AN62" s="248"/>
      <c r="AO62" s="248"/>
      <c r="AP62" s="248"/>
    </row>
    <row r="63" spans="3:42" x14ac:dyDescent="0.3">
      <c r="C63" s="246"/>
      <c r="D63" s="246"/>
      <c r="E63" s="246"/>
      <c r="F63" s="246"/>
      <c r="G63" s="246"/>
      <c r="H63" s="246"/>
      <c r="I63" s="246"/>
      <c r="J63" s="246"/>
      <c r="K63" s="246"/>
      <c r="L63" s="246"/>
      <c r="N63" s="250"/>
      <c r="O63" s="250"/>
      <c r="P63" s="250"/>
      <c r="Q63" s="250"/>
      <c r="R63" s="250"/>
      <c r="S63" s="250"/>
      <c r="T63" s="250"/>
      <c r="U63" s="250"/>
      <c r="V63" s="250"/>
      <c r="W63" s="250"/>
      <c r="Y63" s="248"/>
      <c r="Z63" s="248"/>
      <c r="AA63" s="248"/>
      <c r="AB63" s="248"/>
      <c r="AC63" s="248"/>
      <c r="AD63" s="248"/>
      <c r="AE63" s="248"/>
      <c r="AF63" s="248"/>
      <c r="AG63" s="248"/>
      <c r="AH63" s="248"/>
      <c r="AI63" s="248"/>
      <c r="AJ63" s="248"/>
      <c r="AK63" s="248"/>
      <c r="AL63" s="248"/>
      <c r="AM63" s="248"/>
      <c r="AN63" s="248"/>
      <c r="AO63" s="248"/>
      <c r="AP63" s="248"/>
    </row>
    <row r="64" spans="3:42" x14ac:dyDescent="0.3">
      <c r="C64" s="246"/>
      <c r="D64" s="246"/>
      <c r="E64" s="246"/>
      <c r="F64" s="246"/>
      <c r="G64" s="246"/>
      <c r="H64" s="246"/>
      <c r="I64" s="246"/>
      <c r="J64" s="246"/>
      <c r="K64" s="246"/>
      <c r="L64" s="246"/>
      <c r="N64" s="250"/>
      <c r="O64" s="250"/>
      <c r="P64" s="250"/>
      <c r="Q64" s="250"/>
      <c r="R64" s="250"/>
      <c r="S64" s="250"/>
      <c r="T64" s="250"/>
      <c r="U64" s="250"/>
      <c r="V64" s="250"/>
      <c r="W64" s="250"/>
      <c r="Y64" s="248"/>
      <c r="Z64" s="248"/>
      <c r="AA64" s="248"/>
      <c r="AB64" s="248"/>
      <c r="AC64" s="248"/>
      <c r="AD64" s="248"/>
      <c r="AE64" s="248"/>
      <c r="AF64" s="248"/>
      <c r="AG64" s="248"/>
      <c r="AH64" s="248"/>
      <c r="AI64" s="248"/>
      <c r="AJ64" s="248"/>
      <c r="AK64" s="248"/>
      <c r="AL64" s="248"/>
      <c r="AM64" s="248"/>
      <c r="AN64" s="248"/>
      <c r="AO64" s="248"/>
      <c r="AP64" s="248"/>
    </row>
    <row r="65" spans="3:42" x14ac:dyDescent="0.3">
      <c r="C65" s="246"/>
      <c r="D65" s="246"/>
      <c r="E65" s="246"/>
      <c r="F65" s="246"/>
      <c r="G65" s="246"/>
      <c r="H65" s="246"/>
      <c r="I65" s="246"/>
      <c r="J65" s="246"/>
      <c r="K65" s="246"/>
      <c r="L65" s="246"/>
      <c r="N65" s="250"/>
      <c r="O65" s="250"/>
      <c r="P65" s="250"/>
      <c r="Q65" s="250"/>
      <c r="R65" s="250"/>
      <c r="S65" s="250"/>
      <c r="T65" s="250"/>
      <c r="U65" s="250"/>
      <c r="V65" s="250"/>
      <c r="W65" s="250"/>
      <c r="Y65" s="248"/>
      <c r="Z65" s="248"/>
      <c r="AA65" s="248"/>
      <c r="AB65" s="248"/>
      <c r="AC65" s="248"/>
      <c r="AD65" s="248"/>
      <c r="AE65" s="248"/>
      <c r="AF65" s="248"/>
      <c r="AG65" s="248"/>
      <c r="AH65" s="248"/>
      <c r="AI65" s="248"/>
      <c r="AJ65" s="248"/>
      <c r="AK65" s="248"/>
      <c r="AL65" s="248"/>
      <c r="AM65" s="248"/>
      <c r="AN65" s="248"/>
      <c r="AO65" s="248"/>
      <c r="AP65" s="248"/>
    </row>
    <row r="66" spans="3:42" x14ac:dyDescent="0.3">
      <c r="C66" s="246"/>
      <c r="D66" s="246"/>
      <c r="E66" s="246"/>
      <c r="F66" s="246"/>
      <c r="G66" s="246"/>
      <c r="H66" s="246"/>
      <c r="I66" s="246"/>
      <c r="J66" s="246"/>
      <c r="K66" s="246"/>
      <c r="L66" s="246"/>
      <c r="N66" s="250"/>
      <c r="O66" s="250"/>
      <c r="P66" s="250"/>
      <c r="Q66" s="250"/>
      <c r="R66" s="250"/>
      <c r="S66" s="250"/>
      <c r="T66" s="250"/>
      <c r="U66" s="250"/>
      <c r="V66" s="250"/>
      <c r="W66" s="250"/>
      <c r="Y66" s="248"/>
      <c r="Z66" s="248"/>
      <c r="AA66" s="248"/>
      <c r="AB66" s="248"/>
      <c r="AC66" s="248"/>
      <c r="AD66" s="248"/>
      <c r="AE66" s="248"/>
      <c r="AF66" s="248"/>
      <c r="AG66" s="248"/>
      <c r="AH66" s="248"/>
      <c r="AI66" s="248"/>
      <c r="AJ66" s="248"/>
      <c r="AK66" s="248"/>
      <c r="AL66" s="248"/>
      <c r="AM66" s="248"/>
      <c r="AN66" s="248"/>
      <c r="AO66" s="248"/>
      <c r="AP66" s="248"/>
    </row>
    <row r="67" spans="3:42" x14ac:dyDescent="0.3">
      <c r="C67" s="246"/>
      <c r="D67" s="246"/>
      <c r="E67" s="246"/>
      <c r="F67" s="246"/>
      <c r="G67" s="246"/>
      <c r="H67" s="246"/>
      <c r="I67" s="246"/>
      <c r="J67" s="246"/>
      <c r="K67" s="246"/>
      <c r="L67" s="246"/>
      <c r="N67" s="250"/>
      <c r="O67" s="250"/>
      <c r="P67" s="250"/>
      <c r="Q67" s="250"/>
      <c r="R67" s="250"/>
      <c r="S67" s="250"/>
      <c r="T67" s="250"/>
      <c r="U67" s="250"/>
      <c r="V67" s="250"/>
      <c r="W67" s="250"/>
      <c r="Y67" s="248"/>
      <c r="Z67" s="248"/>
      <c r="AA67" s="248"/>
      <c r="AB67" s="248"/>
      <c r="AC67" s="248"/>
      <c r="AD67" s="248"/>
      <c r="AE67" s="248"/>
      <c r="AF67" s="248"/>
      <c r="AG67" s="248"/>
      <c r="AH67" s="248"/>
      <c r="AI67" s="248"/>
      <c r="AJ67" s="248"/>
      <c r="AK67" s="248"/>
      <c r="AL67" s="248"/>
      <c r="AM67" s="248"/>
      <c r="AN67" s="248"/>
      <c r="AO67" s="248"/>
      <c r="AP67" s="248"/>
    </row>
    <row r="68" spans="3:42" x14ac:dyDescent="0.3">
      <c r="N68" s="250"/>
      <c r="O68" s="250"/>
      <c r="P68" s="250"/>
      <c r="Q68" s="250"/>
      <c r="R68" s="250"/>
      <c r="S68" s="250"/>
      <c r="T68" s="250"/>
      <c r="U68" s="250"/>
      <c r="V68" s="250"/>
      <c r="W68" s="250"/>
      <c r="Y68" s="248"/>
      <c r="Z68" s="248"/>
      <c r="AA68" s="248"/>
      <c r="AB68" s="248"/>
      <c r="AC68" s="248"/>
      <c r="AD68" s="248"/>
      <c r="AE68" s="248"/>
      <c r="AF68" s="248"/>
      <c r="AG68" s="248"/>
      <c r="AH68" s="248"/>
      <c r="AI68" s="248"/>
      <c r="AJ68" s="248"/>
      <c r="AK68" s="248"/>
      <c r="AL68" s="248"/>
      <c r="AM68" s="248"/>
      <c r="AN68" s="248"/>
      <c r="AO68" s="248"/>
      <c r="AP68" s="248"/>
    </row>
    <row r="69" spans="3:42" x14ac:dyDescent="0.3">
      <c r="N69" s="250"/>
      <c r="O69" s="250"/>
      <c r="P69" s="250"/>
      <c r="Q69" s="250"/>
      <c r="R69" s="250"/>
      <c r="S69" s="250"/>
      <c r="T69" s="250"/>
      <c r="U69" s="250"/>
      <c r="V69" s="250"/>
      <c r="W69" s="250"/>
      <c r="Y69" s="248"/>
      <c r="Z69" s="248"/>
      <c r="AA69" s="248"/>
      <c r="AB69" s="248"/>
      <c r="AC69" s="248"/>
      <c r="AD69" s="248"/>
      <c r="AE69" s="248"/>
      <c r="AF69" s="248"/>
      <c r="AG69" s="248"/>
      <c r="AH69" s="248"/>
      <c r="AI69" s="248"/>
      <c r="AJ69" s="248"/>
      <c r="AK69" s="248"/>
      <c r="AL69" s="248"/>
      <c r="AM69" s="248"/>
      <c r="AN69" s="248"/>
      <c r="AO69" s="248"/>
      <c r="AP69" s="248"/>
    </row>
    <row r="70" spans="3:42" x14ac:dyDescent="0.3">
      <c r="N70" s="250"/>
      <c r="O70" s="250"/>
      <c r="P70" s="250"/>
      <c r="Q70" s="250"/>
      <c r="R70" s="250"/>
      <c r="S70" s="250"/>
      <c r="T70" s="250"/>
      <c r="U70" s="250"/>
      <c r="V70" s="250"/>
      <c r="W70" s="250"/>
      <c r="Y70" s="248"/>
      <c r="Z70" s="248"/>
      <c r="AA70" s="248"/>
      <c r="AB70" s="248"/>
      <c r="AC70" s="248"/>
      <c r="AD70" s="248"/>
      <c r="AE70" s="248"/>
      <c r="AF70" s="248"/>
      <c r="AG70" s="248"/>
      <c r="AH70" s="248"/>
      <c r="AI70" s="248"/>
      <c r="AJ70" s="248"/>
      <c r="AK70" s="248"/>
      <c r="AL70" s="248"/>
      <c r="AM70" s="248"/>
      <c r="AN70" s="248"/>
      <c r="AO70" s="248"/>
      <c r="AP70" s="248"/>
    </row>
    <row r="71" spans="3:42" x14ac:dyDescent="0.3">
      <c r="N71" s="250"/>
      <c r="O71" s="250"/>
      <c r="P71" s="250"/>
      <c r="Q71" s="250"/>
      <c r="R71" s="250"/>
      <c r="S71" s="250"/>
      <c r="T71" s="250"/>
      <c r="U71" s="250"/>
      <c r="V71" s="250"/>
      <c r="W71" s="250"/>
      <c r="Y71" s="248"/>
      <c r="Z71" s="248"/>
      <c r="AA71" s="248"/>
      <c r="AB71" s="248"/>
      <c r="AC71" s="248"/>
      <c r="AD71" s="248"/>
      <c r="AE71" s="248"/>
      <c r="AF71" s="248"/>
      <c r="AG71" s="248"/>
      <c r="AH71" s="248"/>
      <c r="AI71" s="248"/>
      <c r="AJ71" s="248"/>
      <c r="AK71" s="248"/>
      <c r="AL71" s="248"/>
      <c r="AM71" s="248"/>
      <c r="AN71" s="248"/>
      <c r="AO71" s="248"/>
      <c r="AP71" s="248"/>
    </row>
    <row r="72" spans="3:42" x14ac:dyDescent="0.3">
      <c r="N72" s="250"/>
      <c r="O72" s="250"/>
      <c r="P72" s="250"/>
      <c r="Q72" s="250"/>
      <c r="R72" s="250"/>
      <c r="S72" s="250"/>
      <c r="T72" s="250"/>
      <c r="U72" s="250"/>
      <c r="V72" s="250"/>
      <c r="W72" s="250"/>
      <c r="Y72" s="248"/>
      <c r="Z72" s="248"/>
      <c r="AA72" s="248"/>
      <c r="AB72" s="248"/>
      <c r="AC72" s="248"/>
      <c r="AD72" s="248"/>
      <c r="AE72" s="248"/>
      <c r="AF72" s="248"/>
      <c r="AG72" s="248"/>
      <c r="AH72" s="248"/>
      <c r="AI72" s="248"/>
      <c r="AJ72" s="248"/>
      <c r="AK72" s="248"/>
      <c r="AL72" s="248"/>
      <c r="AM72" s="248"/>
      <c r="AN72" s="248"/>
      <c r="AO72" s="248"/>
      <c r="AP72" s="248"/>
    </row>
    <row r="73" spans="3:42" x14ac:dyDescent="0.3">
      <c r="N73" s="250"/>
      <c r="O73" s="250"/>
      <c r="P73" s="250"/>
      <c r="Q73" s="250"/>
      <c r="R73" s="250"/>
      <c r="S73" s="250"/>
      <c r="T73" s="250"/>
      <c r="U73" s="250"/>
      <c r="V73" s="250"/>
      <c r="W73" s="250"/>
      <c r="Y73" s="248"/>
      <c r="Z73" s="248"/>
      <c r="AA73" s="248"/>
      <c r="AB73" s="248"/>
      <c r="AC73" s="248"/>
      <c r="AD73" s="248"/>
      <c r="AE73" s="248"/>
      <c r="AF73" s="248"/>
      <c r="AG73" s="248"/>
      <c r="AH73" s="248"/>
      <c r="AI73" s="248"/>
      <c r="AJ73" s="248"/>
      <c r="AK73" s="248"/>
      <c r="AL73" s="248"/>
      <c r="AM73" s="248"/>
      <c r="AN73" s="248"/>
      <c r="AO73" s="248"/>
      <c r="AP73" s="248"/>
    </row>
    <row r="74" spans="3:42" x14ac:dyDescent="0.3">
      <c r="N74" s="250"/>
      <c r="O74" s="250"/>
      <c r="P74" s="250"/>
      <c r="Q74" s="250"/>
      <c r="R74" s="250"/>
      <c r="S74" s="250"/>
      <c r="T74" s="250"/>
      <c r="U74" s="250"/>
      <c r="V74" s="250"/>
      <c r="W74" s="250"/>
      <c r="Y74" s="248"/>
      <c r="Z74" s="248"/>
      <c r="AA74" s="248"/>
      <c r="AB74" s="248"/>
      <c r="AC74" s="248"/>
      <c r="AD74" s="248"/>
      <c r="AE74" s="248"/>
      <c r="AF74" s="248"/>
      <c r="AG74" s="248"/>
      <c r="AH74" s="248"/>
      <c r="AI74" s="248"/>
      <c r="AJ74" s="248"/>
      <c r="AK74" s="248"/>
      <c r="AL74" s="248"/>
      <c r="AM74" s="248"/>
      <c r="AN74" s="248"/>
      <c r="AO74" s="248"/>
      <c r="AP74" s="248"/>
    </row>
    <row r="75" spans="3:42" x14ac:dyDescent="0.3">
      <c r="N75" s="250"/>
      <c r="O75" s="250"/>
      <c r="P75" s="250"/>
      <c r="Q75" s="250"/>
      <c r="R75" s="250"/>
      <c r="S75" s="250"/>
      <c r="T75" s="250"/>
      <c r="U75" s="250"/>
      <c r="V75" s="250"/>
      <c r="W75" s="250"/>
      <c r="Y75" s="248"/>
      <c r="Z75" s="248"/>
      <c r="AA75" s="248"/>
      <c r="AB75" s="248"/>
      <c r="AC75" s="248"/>
      <c r="AD75" s="248"/>
      <c r="AE75" s="248"/>
      <c r="AF75" s="248"/>
      <c r="AG75" s="248"/>
      <c r="AH75" s="248"/>
      <c r="AI75" s="248"/>
      <c r="AJ75" s="248"/>
      <c r="AK75" s="248"/>
      <c r="AL75" s="248"/>
      <c r="AM75" s="248"/>
      <c r="AN75" s="248"/>
      <c r="AO75" s="248"/>
      <c r="AP75" s="248"/>
    </row>
    <row r="76" spans="3:42" x14ac:dyDescent="0.3">
      <c r="N76" s="250"/>
      <c r="O76" s="250"/>
      <c r="P76" s="250"/>
      <c r="Q76" s="250"/>
      <c r="R76" s="250"/>
      <c r="S76" s="250"/>
      <c r="T76" s="250"/>
      <c r="U76" s="250"/>
      <c r="V76" s="250"/>
      <c r="W76" s="250"/>
      <c r="Y76" s="248"/>
      <c r="Z76" s="248"/>
      <c r="AA76" s="248"/>
      <c r="AB76" s="248"/>
      <c r="AC76" s="248"/>
      <c r="AD76" s="248"/>
      <c r="AE76" s="248"/>
      <c r="AF76" s="248"/>
      <c r="AG76" s="248"/>
      <c r="AH76" s="248"/>
      <c r="AI76" s="248"/>
      <c r="AJ76" s="248"/>
      <c r="AK76" s="248"/>
      <c r="AL76" s="248"/>
      <c r="AM76" s="248"/>
      <c r="AN76" s="248"/>
      <c r="AO76" s="248"/>
      <c r="AP76" s="248"/>
    </row>
    <row r="77" spans="3:42" x14ac:dyDescent="0.3">
      <c r="N77" s="250"/>
      <c r="O77" s="250"/>
      <c r="P77" s="250"/>
      <c r="Q77" s="250"/>
      <c r="R77" s="250"/>
      <c r="S77" s="250"/>
      <c r="T77" s="250"/>
      <c r="U77" s="250"/>
      <c r="V77" s="250"/>
      <c r="W77" s="250"/>
      <c r="Y77" s="248"/>
      <c r="Z77" s="248"/>
      <c r="AA77" s="248"/>
      <c r="AB77" s="248"/>
      <c r="AC77" s="248"/>
      <c r="AD77" s="248"/>
      <c r="AE77" s="248"/>
      <c r="AF77" s="248"/>
      <c r="AG77" s="248"/>
      <c r="AH77" s="248"/>
      <c r="AI77" s="248"/>
      <c r="AJ77" s="248"/>
      <c r="AK77" s="248"/>
      <c r="AL77" s="248"/>
      <c r="AM77" s="248"/>
      <c r="AN77" s="248"/>
      <c r="AO77" s="248"/>
      <c r="AP77" s="248"/>
    </row>
    <row r="78" spans="3:42" x14ac:dyDescent="0.3">
      <c r="N78" s="250"/>
      <c r="O78" s="250"/>
      <c r="P78" s="250"/>
      <c r="Q78" s="250"/>
      <c r="R78" s="250"/>
      <c r="S78" s="250"/>
      <c r="T78" s="250"/>
      <c r="U78" s="250"/>
      <c r="V78" s="250"/>
      <c r="W78" s="250"/>
      <c r="Y78" s="248"/>
      <c r="Z78" s="248"/>
      <c r="AA78" s="248"/>
      <c r="AB78" s="248"/>
      <c r="AC78" s="248"/>
      <c r="AD78" s="248"/>
      <c r="AE78" s="248"/>
      <c r="AF78" s="248"/>
      <c r="AG78" s="248"/>
      <c r="AH78" s="248"/>
      <c r="AI78" s="248"/>
      <c r="AJ78" s="248"/>
      <c r="AK78" s="248"/>
      <c r="AL78" s="248"/>
      <c r="AM78" s="248"/>
      <c r="AN78" s="248"/>
      <c r="AO78" s="248"/>
      <c r="AP78" s="248"/>
    </row>
    <row r="79" spans="3:42" x14ac:dyDescent="0.3">
      <c r="N79" s="250"/>
      <c r="O79" s="250"/>
      <c r="P79" s="250"/>
      <c r="Q79" s="250"/>
      <c r="R79" s="250"/>
      <c r="S79" s="250"/>
      <c r="T79" s="250"/>
      <c r="U79" s="250"/>
      <c r="V79" s="250"/>
      <c r="W79" s="250"/>
      <c r="Y79" s="248"/>
      <c r="Z79" s="248"/>
      <c r="AA79" s="248"/>
      <c r="AB79" s="248"/>
      <c r="AC79" s="248"/>
      <c r="AD79" s="248"/>
      <c r="AE79" s="248"/>
      <c r="AF79" s="248"/>
      <c r="AG79" s="248"/>
      <c r="AH79" s="248"/>
      <c r="AI79" s="248"/>
      <c r="AJ79" s="248"/>
      <c r="AK79" s="248"/>
      <c r="AL79" s="248"/>
      <c r="AM79" s="248"/>
      <c r="AN79" s="248"/>
      <c r="AO79" s="248"/>
      <c r="AP79" s="248"/>
    </row>
    <row r="80" spans="3:42" x14ac:dyDescent="0.3">
      <c r="N80" s="250"/>
      <c r="O80" s="250"/>
      <c r="P80" s="250"/>
      <c r="Q80" s="250"/>
      <c r="R80" s="250"/>
      <c r="S80" s="250"/>
      <c r="T80" s="250"/>
      <c r="U80" s="250"/>
      <c r="V80" s="250"/>
      <c r="W80" s="250"/>
      <c r="Y80" s="248"/>
      <c r="Z80" s="248"/>
      <c r="AA80" s="248"/>
      <c r="AB80" s="248"/>
      <c r="AC80" s="248"/>
      <c r="AD80" s="248"/>
      <c r="AE80" s="248"/>
      <c r="AF80" s="248"/>
      <c r="AG80" s="248"/>
      <c r="AH80" s="248"/>
      <c r="AI80" s="248"/>
      <c r="AJ80" s="248"/>
      <c r="AK80" s="248"/>
      <c r="AL80" s="248"/>
      <c r="AM80" s="248"/>
      <c r="AN80" s="248"/>
      <c r="AO80" s="248"/>
      <c r="AP80" s="248"/>
    </row>
    <row r="81" spans="14:42" x14ac:dyDescent="0.3">
      <c r="N81" s="250"/>
      <c r="O81" s="250"/>
      <c r="P81" s="250"/>
      <c r="Q81" s="250"/>
      <c r="R81" s="250"/>
      <c r="S81" s="250"/>
      <c r="T81" s="250"/>
      <c r="U81" s="250"/>
      <c r="V81" s="250"/>
      <c r="W81" s="250"/>
      <c r="Y81" s="248"/>
      <c r="Z81" s="248"/>
      <c r="AA81" s="248"/>
      <c r="AB81" s="248"/>
      <c r="AC81" s="248"/>
      <c r="AD81" s="248"/>
      <c r="AE81" s="248"/>
      <c r="AF81" s="248"/>
      <c r="AG81" s="248"/>
      <c r="AH81" s="248"/>
      <c r="AI81" s="248"/>
      <c r="AJ81" s="248"/>
      <c r="AK81" s="248"/>
      <c r="AL81" s="248"/>
      <c r="AM81" s="248"/>
      <c r="AN81" s="248"/>
      <c r="AO81" s="248"/>
      <c r="AP81" s="248"/>
    </row>
    <row r="82" spans="14:42" x14ac:dyDescent="0.3">
      <c r="N82" s="250"/>
      <c r="O82" s="250"/>
      <c r="P82" s="250"/>
      <c r="Q82" s="250"/>
      <c r="R82" s="250"/>
      <c r="S82" s="250"/>
      <c r="T82" s="250"/>
      <c r="U82" s="250"/>
      <c r="V82" s="250"/>
      <c r="W82" s="250"/>
      <c r="Y82" s="248"/>
      <c r="Z82" s="248"/>
      <c r="AA82" s="248"/>
      <c r="AB82" s="248"/>
      <c r="AC82" s="248"/>
      <c r="AD82" s="248"/>
      <c r="AE82" s="248"/>
      <c r="AF82" s="248"/>
      <c r="AG82" s="248"/>
      <c r="AH82" s="248"/>
      <c r="AI82" s="248"/>
      <c r="AJ82" s="248"/>
      <c r="AK82" s="248"/>
      <c r="AL82" s="248"/>
      <c r="AM82" s="248"/>
      <c r="AN82" s="248"/>
      <c r="AO82" s="248"/>
      <c r="AP82" s="248"/>
    </row>
    <row r="83" spans="14:42" x14ac:dyDescent="0.3">
      <c r="N83" s="250"/>
      <c r="O83" s="250"/>
      <c r="P83" s="250"/>
      <c r="Q83" s="250"/>
      <c r="R83" s="250"/>
      <c r="S83" s="250"/>
      <c r="T83" s="250"/>
      <c r="U83" s="250"/>
      <c r="V83" s="250"/>
      <c r="W83" s="250"/>
      <c r="Y83" s="248"/>
      <c r="Z83" s="248"/>
      <c r="AA83" s="248"/>
      <c r="AB83" s="248"/>
      <c r="AC83" s="248"/>
      <c r="AD83" s="248"/>
      <c r="AE83" s="248"/>
      <c r="AF83" s="248"/>
      <c r="AG83" s="248"/>
      <c r="AH83" s="248"/>
      <c r="AI83" s="248"/>
      <c r="AJ83" s="248"/>
      <c r="AK83" s="248"/>
      <c r="AL83" s="248"/>
      <c r="AM83" s="248"/>
      <c r="AN83" s="248"/>
      <c r="AO83" s="248"/>
      <c r="AP83" s="248"/>
    </row>
    <row r="84" spans="14:42" x14ac:dyDescent="0.3">
      <c r="N84" s="250"/>
      <c r="O84" s="250"/>
      <c r="P84" s="250"/>
      <c r="Q84" s="250"/>
      <c r="R84" s="250"/>
      <c r="S84" s="250"/>
      <c r="T84" s="250"/>
      <c r="U84" s="250"/>
      <c r="V84" s="250"/>
      <c r="W84" s="250"/>
      <c r="Y84" s="248"/>
      <c r="Z84" s="248"/>
      <c r="AA84" s="248"/>
      <c r="AB84" s="248"/>
      <c r="AC84" s="248"/>
      <c r="AD84" s="248"/>
      <c r="AE84" s="248"/>
      <c r="AF84" s="248"/>
      <c r="AG84" s="248"/>
      <c r="AH84" s="248"/>
      <c r="AI84" s="248"/>
      <c r="AJ84" s="248"/>
      <c r="AK84" s="248"/>
      <c r="AL84" s="248"/>
      <c r="AM84" s="248"/>
      <c r="AN84" s="248"/>
      <c r="AO84" s="248"/>
      <c r="AP84" s="248"/>
    </row>
    <row r="85" spans="14:42" x14ac:dyDescent="0.3">
      <c r="N85" s="250"/>
      <c r="O85" s="250"/>
      <c r="P85" s="250"/>
      <c r="Q85" s="250"/>
      <c r="R85" s="250"/>
      <c r="S85" s="250"/>
      <c r="T85" s="250"/>
      <c r="U85" s="250"/>
      <c r="V85" s="250"/>
      <c r="W85" s="250"/>
      <c r="Y85" s="248"/>
      <c r="Z85" s="248"/>
      <c r="AA85" s="248"/>
      <c r="AB85" s="248"/>
      <c r="AC85" s="248"/>
      <c r="AD85" s="248"/>
      <c r="AE85" s="248"/>
      <c r="AF85" s="248"/>
      <c r="AG85" s="248"/>
      <c r="AH85" s="248"/>
      <c r="AI85" s="248"/>
      <c r="AJ85" s="248"/>
      <c r="AK85" s="248"/>
      <c r="AL85" s="248"/>
      <c r="AM85" s="248"/>
      <c r="AN85" s="248"/>
      <c r="AO85" s="248"/>
      <c r="AP85" s="248"/>
    </row>
    <row r="86" spans="14:42" x14ac:dyDescent="0.3">
      <c r="N86" s="250"/>
      <c r="O86" s="250"/>
      <c r="P86" s="250"/>
      <c r="Q86" s="250"/>
      <c r="R86" s="250"/>
      <c r="S86" s="250"/>
      <c r="T86" s="250"/>
      <c r="U86" s="250"/>
      <c r="V86" s="250"/>
      <c r="W86" s="250"/>
      <c r="Y86" s="248"/>
      <c r="Z86" s="248"/>
      <c r="AA86" s="248"/>
      <c r="AB86" s="248"/>
      <c r="AC86" s="248"/>
      <c r="AD86" s="248"/>
      <c r="AE86" s="248"/>
      <c r="AF86" s="248"/>
      <c r="AG86" s="248"/>
      <c r="AH86" s="248"/>
      <c r="AI86" s="248"/>
      <c r="AJ86" s="248"/>
      <c r="AK86" s="248"/>
      <c r="AL86" s="248"/>
      <c r="AM86" s="248"/>
      <c r="AN86" s="248"/>
      <c r="AO86" s="248"/>
      <c r="AP86" s="248"/>
    </row>
    <row r="87" spans="14:42" x14ac:dyDescent="0.3">
      <c r="N87" s="250"/>
      <c r="O87" s="250"/>
      <c r="P87" s="250"/>
      <c r="Q87" s="250"/>
      <c r="R87" s="250"/>
      <c r="S87" s="250"/>
      <c r="T87" s="250"/>
      <c r="U87" s="250"/>
      <c r="V87" s="250"/>
      <c r="W87" s="250"/>
      <c r="Y87" s="248"/>
      <c r="Z87" s="248"/>
      <c r="AA87" s="248"/>
      <c r="AB87" s="248"/>
      <c r="AC87" s="248"/>
      <c r="AD87" s="248"/>
      <c r="AE87" s="248"/>
      <c r="AF87" s="248"/>
      <c r="AG87" s="248"/>
      <c r="AH87" s="248"/>
      <c r="AI87" s="248"/>
      <c r="AJ87" s="248"/>
      <c r="AK87" s="248"/>
      <c r="AL87" s="248"/>
      <c r="AM87" s="248"/>
      <c r="AN87" s="248"/>
      <c r="AO87" s="248"/>
      <c r="AP87" s="248"/>
    </row>
    <row r="88" spans="14:42" x14ac:dyDescent="0.3">
      <c r="N88" s="250"/>
      <c r="O88" s="250"/>
      <c r="P88" s="250"/>
      <c r="Q88" s="250"/>
      <c r="R88" s="250"/>
      <c r="S88" s="250"/>
      <c r="T88" s="250"/>
      <c r="U88" s="250"/>
      <c r="V88" s="250"/>
      <c r="W88" s="250"/>
      <c r="Y88" s="248"/>
      <c r="Z88" s="248"/>
      <c r="AA88" s="248"/>
      <c r="AB88" s="248"/>
      <c r="AC88" s="248"/>
      <c r="AD88" s="248"/>
      <c r="AE88" s="248"/>
      <c r="AF88" s="248"/>
      <c r="AG88" s="248"/>
      <c r="AH88" s="248"/>
      <c r="AI88" s="248"/>
      <c r="AJ88" s="248"/>
      <c r="AK88" s="248"/>
      <c r="AL88" s="248"/>
      <c r="AM88" s="248"/>
      <c r="AN88" s="248"/>
      <c r="AO88" s="248"/>
      <c r="AP88" s="248"/>
    </row>
    <row r="89" spans="14:42" x14ac:dyDescent="0.3">
      <c r="N89" s="250"/>
      <c r="O89" s="250"/>
      <c r="P89" s="250"/>
      <c r="Q89" s="250"/>
      <c r="R89" s="250"/>
      <c r="S89" s="250"/>
      <c r="T89" s="250"/>
      <c r="U89" s="250"/>
      <c r="V89" s="250"/>
      <c r="W89" s="250"/>
      <c r="Y89" s="248"/>
      <c r="Z89" s="248"/>
      <c r="AA89" s="248"/>
      <c r="AB89" s="248"/>
      <c r="AC89" s="248"/>
      <c r="AD89" s="248"/>
      <c r="AE89" s="248"/>
      <c r="AF89" s="248"/>
      <c r="AG89" s="248"/>
      <c r="AH89" s="248"/>
      <c r="AI89" s="248"/>
      <c r="AJ89" s="248"/>
      <c r="AK89" s="248"/>
      <c r="AL89" s="248"/>
      <c r="AM89" s="248"/>
      <c r="AN89" s="248"/>
      <c r="AO89" s="248"/>
      <c r="AP89" s="248"/>
    </row>
    <row r="90" spans="14:42" x14ac:dyDescent="0.3">
      <c r="N90" s="250"/>
      <c r="O90" s="250"/>
      <c r="P90" s="250"/>
      <c r="Q90" s="250"/>
      <c r="R90" s="250"/>
      <c r="S90" s="250"/>
      <c r="T90" s="250"/>
      <c r="U90" s="250"/>
      <c r="V90" s="250"/>
      <c r="W90" s="250"/>
      <c r="Y90" s="248"/>
      <c r="Z90" s="248"/>
      <c r="AA90" s="248"/>
      <c r="AB90" s="248"/>
      <c r="AC90" s="248"/>
      <c r="AD90" s="248"/>
      <c r="AE90" s="248"/>
      <c r="AF90" s="248"/>
      <c r="AG90" s="248"/>
      <c r="AH90" s="248"/>
      <c r="AI90" s="248"/>
      <c r="AJ90" s="248"/>
      <c r="AK90" s="248"/>
      <c r="AL90" s="248"/>
      <c r="AM90" s="248"/>
      <c r="AN90" s="248"/>
      <c r="AO90" s="248"/>
      <c r="AP90" s="248"/>
    </row>
    <row r="91" spans="14:42" x14ac:dyDescent="0.3">
      <c r="N91" s="250"/>
      <c r="O91" s="250"/>
      <c r="P91" s="250"/>
      <c r="Q91" s="250"/>
      <c r="R91" s="250"/>
      <c r="S91" s="250"/>
      <c r="T91" s="250"/>
      <c r="U91" s="250"/>
      <c r="V91" s="250"/>
      <c r="W91" s="250"/>
      <c r="Y91" s="248"/>
      <c r="Z91" s="248"/>
      <c r="AA91" s="248"/>
      <c r="AB91" s="248"/>
      <c r="AC91" s="248"/>
      <c r="AD91" s="248"/>
      <c r="AE91" s="248"/>
      <c r="AF91" s="248"/>
      <c r="AG91" s="248"/>
      <c r="AH91" s="248"/>
      <c r="AI91" s="248"/>
      <c r="AJ91" s="248"/>
      <c r="AK91" s="248"/>
      <c r="AL91" s="248"/>
      <c r="AM91" s="248"/>
      <c r="AN91" s="248"/>
      <c r="AO91" s="248"/>
      <c r="AP91" s="248"/>
    </row>
    <row r="92" spans="14:42" x14ac:dyDescent="0.3">
      <c r="N92" s="250"/>
      <c r="O92" s="250"/>
      <c r="P92" s="250"/>
      <c r="Q92" s="250"/>
      <c r="R92" s="250"/>
      <c r="S92" s="250"/>
      <c r="T92" s="250"/>
      <c r="U92" s="250"/>
      <c r="V92" s="250"/>
      <c r="W92" s="250"/>
      <c r="Y92" s="248"/>
      <c r="Z92" s="248"/>
      <c r="AA92" s="248"/>
      <c r="AB92" s="248"/>
      <c r="AC92" s="248"/>
      <c r="AD92" s="248"/>
      <c r="AE92" s="248"/>
      <c r="AF92" s="248"/>
      <c r="AG92" s="248"/>
      <c r="AH92" s="248"/>
      <c r="AI92" s="248"/>
      <c r="AJ92" s="248"/>
      <c r="AK92" s="248"/>
      <c r="AL92" s="248"/>
      <c r="AM92" s="248"/>
      <c r="AN92" s="248"/>
      <c r="AO92" s="248"/>
      <c r="AP92" s="248"/>
    </row>
    <row r="93" spans="14:42" x14ac:dyDescent="0.3">
      <c r="N93" s="250"/>
      <c r="O93" s="250"/>
      <c r="P93" s="250"/>
      <c r="Q93" s="250"/>
      <c r="R93" s="250"/>
      <c r="S93" s="250"/>
      <c r="T93" s="250"/>
      <c r="U93" s="250"/>
      <c r="V93" s="250"/>
      <c r="W93" s="250"/>
      <c r="Y93" s="248"/>
      <c r="Z93" s="248"/>
      <c r="AA93" s="248"/>
      <c r="AB93" s="248"/>
      <c r="AC93" s="248"/>
      <c r="AD93" s="248"/>
      <c r="AE93" s="248"/>
      <c r="AF93" s="248"/>
      <c r="AG93" s="248"/>
      <c r="AH93" s="248"/>
      <c r="AI93" s="248"/>
      <c r="AJ93" s="248"/>
      <c r="AK93" s="248"/>
      <c r="AL93" s="248"/>
      <c r="AM93" s="248"/>
      <c r="AN93" s="248"/>
      <c r="AO93" s="248"/>
      <c r="AP93" s="248"/>
    </row>
    <row r="94" spans="14:42" x14ac:dyDescent="0.3">
      <c r="N94" s="250"/>
      <c r="O94" s="250"/>
      <c r="P94" s="250"/>
      <c r="Q94" s="250"/>
      <c r="R94" s="250"/>
      <c r="S94" s="250"/>
      <c r="T94" s="250"/>
      <c r="U94" s="250"/>
      <c r="V94" s="250"/>
      <c r="W94" s="250"/>
      <c r="Y94" s="248"/>
      <c r="Z94" s="248"/>
      <c r="AA94" s="248"/>
      <c r="AB94" s="248"/>
      <c r="AC94" s="248"/>
      <c r="AD94" s="248"/>
      <c r="AE94" s="248"/>
      <c r="AF94" s="248"/>
      <c r="AG94" s="248"/>
      <c r="AH94" s="248"/>
      <c r="AI94" s="248"/>
      <c r="AJ94" s="248"/>
      <c r="AK94" s="248"/>
      <c r="AL94" s="248"/>
      <c r="AM94" s="248"/>
      <c r="AN94" s="248"/>
      <c r="AO94" s="248"/>
      <c r="AP94" s="248"/>
    </row>
    <row r="95" spans="14:42" x14ac:dyDescent="0.3">
      <c r="N95" s="250"/>
      <c r="O95" s="250"/>
      <c r="P95" s="250"/>
      <c r="Q95" s="250"/>
      <c r="R95" s="250"/>
      <c r="S95" s="250"/>
      <c r="T95" s="250"/>
      <c r="U95" s="250"/>
      <c r="V95" s="250"/>
      <c r="W95" s="250"/>
      <c r="Y95" s="248"/>
      <c r="Z95" s="248"/>
      <c r="AA95" s="248"/>
      <c r="AB95" s="248"/>
      <c r="AC95" s="248"/>
      <c r="AD95" s="248"/>
      <c r="AE95" s="248"/>
      <c r="AF95" s="248"/>
      <c r="AG95" s="248"/>
      <c r="AH95" s="248"/>
      <c r="AI95" s="248"/>
      <c r="AJ95" s="248"/>
      <c r="AK95" s="248"/>
      <c r="AL95" s="248"/>
      <c r="AM95" s="248"/>
      <c r="AN95" s="248"/>
      <c r="AO95" s="248"/>
      <c r="AP95" s="248"/>
    </row>
    <row r="96" spans="14:42" x14ac:dyDescent="0.3">
      <c r="N96" s="250"/>
      <c r="O96" s="250"/>
      <c r="P96" s="250"/>
      <c r="Q96" s="250"/>
      <c r="R96" s="250"/>
      <c r="S96" s="250"/>
      <c r="T96" s="250"/>
      <c r="U96" s="250"/>
      <c r="V96" s="250"/>
      <c r="W96" s="250"/>
      <c r="Y96" s="248"/>
      <c r="Z96" s="248"/>
      <c r="AA96" s="248"/>
      <c r="AB96" s="248"/>
      <c r="AC96" s="248"/>
      <c r="AD96" s="248"/>
      <c r="AE96" s="248"/>
      <c r="AF96" s="248"/>
      <c r="AG96" s="248"/>
      <c r="AH96" s="248"/>
      <c r="AI96" s="248"/>
      <c r="AJ96" s="248"/>
      <c r="AK96" s="248"/>
      <c r="AL96" s="248"/>
      <c r="AM96" s="248"/>
      <c r="AN96" s="248"/>
      <c r="AO96" s="248"/>
      <c r="AP96" s="248"/>
    </row>
    <row r="97" spans="14:42" x14ac:dyDescent="0.3">
      <c r="N97" s="250"/>
      <c r="O97" s="250"/>
      <c r="P97" s="250"/>
      <c r="Q97" s="250"/>
      <c r="R97" s="250"/>
      <c r="S97" s="250"/>
      <c r="T97" s="250"/>
      <c r="U97" s="250"/>
      <c r="V97" s="250"/>
      <c r="W97" s="250"/>
      <c r="Y97" s="248"/>
      <c r="Z97" s="248"/>
      <c r="AA97" s="248"/>
      <c r="AB97" s="248"/>
      <c r="AC97" s="248"/>
      <c r="AD97" s="248"/>
      <c r="AE97" s="248"/>
      <c r="AF97" s="248"/>
      <c r="AG97" s="248"/>
      <c r="AH97" s="248"/>
      <c r="AI97" s="248"/>
      <c r="AJ97" s="248"/>
      <c r="AK97" s="248"/>
      <c r="AL97" s="248"/>
      <c r="AM97" s="248"/>
      <c r="AN97" s="248"/>
      <c r="AO97" s="248"/>
      <c r="AP97" s="248"/>
    </row>
    <row r="98" spans="14:42" x14ac:dyDescent="0.3">
      <c r="N98" s="250"/>
      <c r="O98" s="250"/>
      <c r="P98" s="250"/>
      <c r="Q98" s="250"/>
      <c r="R98" s="250"/>
      <c r="S98" s="250"/>
      <c r="T98" s="250"/>
      <c r="U98" s="250"/>
      <c r="V98" s="250"/>
      <c r="W98" s="250"/>
      <c r="Y98" s="248"/>
      <c r="Z98" s="248"/>
      <c r="AA98" s="248"/>
      <c r="AB98" s="248"/>
      <c r="AC98" s="248"/>
      <c r="AD98" s="248"/>
      <c r="AE98" s="248"/>
      <c r="AF98" s="248"/>
      <c r="AG98" s="248"/>
      <c r="AH98" s="248"/>
      <c r="AI98" s="248"/>
      <c r="AJ98" s="248"/>
      <c r="AK98" s="248"/>
      <c r="AL98" s="248"/>
      <c r="AM98" s="248"/>
      <c r="AN98" s="248"/>
      <c r="AO98" s="248"/>
      <c r="AP98" s="248"/>
    </row>
    <row r="99" spans="14:42" x14ac:dyDescent="0.3">
      <c r="N99" s="250"/>
      <c r="O99" s="250"/>
      <c r="P99" s="250"/>
      <c r="Q99" s="250"/>
      <c r="R99" s="250"/>
      <c r="S99" s="250"/>
      <c r="T99" s="250"/>
      <c r="U99" s="250"/>
      <c r="V99" s="250"/>
      <c r="W99" s="250"/>
      <c r="Y99" s="248"/>
      <c r="Z99" s="248"/>
      <c r="AA99" s="248"/>
      <c r="AB99" s="248"/>
      <c r="AC99" s="248"/>
      <c r="AD99" s="248"/>
      <c r="AE99" s="248"/>
      <c r="AF99" s="248"/>
      <c r="AG99" s="248"/>
      <c r="AH99" s="248"/>
      <c r="AI99" s="248"/>
      <c r="AJ99" s="248"/>
      <c r="AK99" s="248"/>
      <c r="AL99" s="248"/>
      <c r="AM99" s="248"/>
      <c r="AN99" s="248"/>
      <c r="AO99" s="248"/>
      <c r="AP99" s="248"/>
    </row>
    <row r="100" spans="14:42" x14ac:dyDescent="0.3">
      <c r="N100" s="250"/>
      <c r="O100" s="250"/>
      <c r="P100" s="250"/>
      <c r="Q100" s="250"/>
      <c r="R100" s="250"/>
      <c r="S100" s="250"/>
      <c r="T100" s="250"/>
      <c r="U100" s="250"/>
      <c r="V100" s="250"/>
      <c r="W100" s="250"/>
      <c r="Y100" s="248"/>
      <c r="Z100" s="248"/>
      <c r="AA100" s="248"/>
      <c r="AB100" s="248"/>
      <c r="AC100" s="248"/>
      <c r="AD100" s="248"/>
      <c r="AE100" s="248"/>
      <c r="AF100" s="248"/>
      <c r="AG100" s="248"/>
      <c r="AH100" s="248"/>
      <c r="AI100" s="248"/>
      <c r="AJ100" s="248"/>
      <c r="AK100" s="248"/>
      <c r="AL100" s="248"/>
      <c r="AM100" s="248"/>
      <c r="AN100" s="248"/>
      <c r="AO100" s="248"/>
      <c r="AP100" s="248"/>
    </row>
    <row r="101" spans="14:42" x14ac:dyDescent="0.3">
      <c r="N101" s="250"/>
      <c r="O101" s="250"/>
      <c r="P101" s="250"/>
      <c r="Q101" s="250"/>
      <c r="R101" s="250"/>
      <c r="S101" s="250"/>
      <c r="T101" s="250"/>
      <c r="U101" s="250"/>
      <c r="V101" s="250"/>
      <c r="W101" s="250"/>
      <c r="Y101" s="248"/>
      <c r="Z101" s="248"/>
      <c r="AA101" s="248"/>
      <c r="AB101" s="248"/>
      <c r="AC101" s="248"/>
      <c r="AD101" s="248"/>
      <c r="AE101" s="248"/>
      <c r="AF101" s="248"/>
      <c r="AG101" s="248"/>
      <c r="AH101" s="248"/>
      <c r="AI101" s="248"/>
      <c r="AJ101" s="248"/>
      <c r="AK101" s="248"/>
      <c r="AL101" s="248"/>
      <c r="AM101" s="248"/>
      <c r="AN101" s="248"/>
      <c r="AO101" s="248"/>
      <c r="AP101" s="248"/>
    </row>
    <row r="102" spans="14:42" x14ac:dyDescent="0.3">
      <c r="N102" s="250"/>
      <c r="O102" s="250"/>
      <c r="P102" s="250"/>
      <c r="Q102" s="250"/>
      <c r="R102" s="250"/>
      <c r="S102" s="250"/>
      <c r="T102" s="250"/>
      <c r="U102" s="250"/>
      <c r="V102" s="250"/>
      <c r="W102" s="250"/>
      <c r="Y102" s="248"/>
      <c r="Z102" s="248"/>
      <c r="AA102" s="248"/>
      <c r="AB102" s="248"/>
      <c r="AC102" s="248"/>
      <c r="AD102" s="248"/>
      <c r="AE102" s="248"/>
      <c r="AF102" s="248"/>
      <c r="AG102" s="248"/>
      <c r="AH102" s="248"/>
      <c r="AI102" s="248"/>
      <c r="AJ102" s="248"/>
      <c r="AK102" s="248"/>
      <c r="AL102" s="248"/>
      <c r="AM102" s="248"/>
      <c r="AN102" s="248"/>
      <c r="AO102" s="248"/>
      <c r="AP102" s="248"/>
    </row>
    <row r="103" spans="14:42" x14ac:dyDescent="0.3">
      <c r="N103" s="250"/>
      <c r="O103" s="250"/>
      <c r="P103" s="250"/>
      <c r="Q103" s="250"/>
      <c r="R103" s="250"/>
      <c r="S103" s="250"/>
      <c r="T103" s="250"/>
      <c r="U103" s="250"/>
      <c r="V103" s="250"/>
      <c r="W103" s="250"/>
      <c r="Y103" s="248"/>
      <c r="Z103" s="248"/>
      <c r="AA103" s="248"/>
      <c r="AB103" s="248"/>
      <c r="AC103" s="248"/>
      <c r="AD103" s="248"/>
      <c r="AE103" s="248"/>
      <c r="AF103" s="248"/>
      <c r="AG103" s="248"/>
      <c r="AH103" s="248"/>
      <c r="AI103" s="248"/>
      <c r="AJ103" s="248"/>
      <c r="AK103" s="248"/>
      <c r="AL103" s="248"/>
      <c r="AM103" s="248"/>
      <c r="AN103" s="248"/>
      <c r="AO103" s="248"/>
      <c r="AP103" s="248"/>
    </row>
    <row r="104" spans="14:42" x14ac:dyDescent="0.3">
      <c r="N104" s="250"/>
      <c r="O104" s="250"/>
      <c r="P104" s="250"/>
      <c r="Q104" s="250"/>
      <c r="R104" s="250"/>
      <c r="S104" s="250"/>
      <c r="T104" s="250"/>
      <c r="U104" s="250"/>
      <c r="V104" s="250"/>
      <c r="W104" s="250"/>
      <c r="Y104" s="248"/>
      <c r="Z104" s="248"/>
      <c r="AA104" s="248"/>
      <c r="AB104" s="248"/>
      <c r="AC104" s="248"/>
      <c r="AD104" s="248"/>
      <c r="AE104" s="248"/>
      <c r="AF104" s="248"/>
      <c r="AG104" s="248"/>
      <c r="AH104" s="248"/>
      <c r="AI104" s="248"/>
      <c r="AJ104" s="248"/>
      <c r="AK104" s="248"/>
      <c r="AL104" s="248"/>
      <c r="AM104" s="248"/>
      <c r="AN104" s="248"/>
      <c r="AO104" s="248"/>
      <c r="AP104" s="248"/>
    </row>
    <row r="105" spans="14:42" x14ac:dyDescent="0.3">
      <c r="N105" s="250"/>
      <c r="O105" s="250"/>
      <c r="P105" s="250"/>
      <c r="Q105" s="250"/>
      <c r="R105" s="250"/>
      <c r="S105" s="250"/>
      <c r="T105" s="250"/>
      <c r="U105" s="250"/>
      <c r="V105" s="250"/>
      <c r="W105" s="250"/>
      <c r="Y105" s="248"/>
      <c r="Z105" s="248"/>
      <c r="AA105" s="248"/>
      <c r="AB105" s="248"/>
      <c r="AC105" s="248"/>
      <c r="AD105" s="248"/>
      <c r="AE105" s="248"/>
      <c r="AF105" s="248"/>
      <c r="AG105" s="248"/>
      <c r="AH105" s="248"/>
      <c r="AI105" s="248"/>
      <c r="AJ105" s="248"/>
      <c r="AK105" s="248"/>
      <c r="AL105" s="248"/>
      <c r="AM105" s="248"/>
      <c r="AN105" s="248"/>
      <c r="AO105" s="248"/>
      <c r="AP105" s="248"/>
    </row>
    <row r="106" spans="14:42" x14ac:dyDescent="0.3">
      <c r="N106" s="250"/>
      <c r="O106" s="250"/>
      <c r="P106" s="250"/>
      <c r="Q106" s="250"/>
      <c r="R106" s="250"/>
      <c r="S106" s="250"/>
      <c r="T106" s="250"/>
      <c r="U106" s="250"/>
      <c r="V106" s="250"/>
      <c r="W106" s="250"/>
      <c r="Y106" s="248"/>
      <c r="Z106" s="248"/>
      <c r="AA106" s="248"/>
      <c r="AB106" s="248"/>
      <c r="AC106" s="248"/>
      <c r="AD106" s="248"/>
      <c r="AE106" s="248"/>
      <c r="AF106" s="248"/>
      <c r="AG106" s="248"/>
      <c r="AH106" s="248"/>
      <c r="AI106" s="248"/>
      <c r="AJ106" s="248"/>
      <c r="AK106" s="248"/>
      <c r="AL106" s="248"/>
      <c r="AM106" s="248"/>
      <c r="AN106" s="248"/>
      <c r="AO106" s="248"/>
      <c r="AP106" s="248"/>
    </row>
    <row r="107" spans="14:42" x14ac:dyDescent="0.3">
      <c r="N107" s="250"/>
      <c r="O107" s="250"/>
      <c r="P107" s="250"/>
      <c r="Q107" s="250"/>
      <c r="R107" s="250"/>
      <c r="S107" s="250"/>
      <c r="T107" s="250"/>
      <c r="U107" s="250"/>
      <c r="V107" s="250"/>
      <c r="W107" s="250"/>
      <c r="Y107" s="248"/>
      <c r="Z107" s="248"/>
      <c r="AA107" s="248"/>
      <c r="AB107" s="248"/>
      <c r="AC107" s="248"/>
      <c r="AD107" s="248"/>
      <c r="AE107" s="248"/>
      <c r="AF107" s="248"/>
      <c r="AG107" s="248"/>
      <c r="AH107" s="248"/>
      <c r="AI107" s="248"/>
      <c r="AJ107" s="248"/>
      <c r="AK107" s="248"/>
      <c r="AL107" s="248"/>
      <c r="AM107" s="248"/>
      <c r="AN107" s="248"/>
      <c r="AO107" s="248"/>
      <c r="AP107" s="248"/>
    </row>
    <row r="108" spans="14:42" x14ac:dyDescent="0.3">
      <c r="N108" s="250"/>
      <c r="O108" s="250"/>
      <c r="P108" s="250"/>
      <c r="Q108" s="250"/>
      <c r="R108" s="250"/>
      <c r="S108" s="250"/>
      <c r="T108" s="250"/>
      <c r="U108" s="250"/>
      <c r="V108" s="250"/>
      <c r="W108" s="250"/>
      <c r="Y108" s="248"/>
      <c r="Z108" s="248"/>
      <c r="AA108" s="248"/>
      <c r="AB108" s="248"/>
      <c r="AC108" s="248"/>
      <c r="AD108" s="248"/>
      <c r="AE108" s="248"/>
      <c r="AF108" s="248"/>
      <c r="AG108" s="248"/>
      <c r="AH108" s="248"/>
      <c r="AI108" s="248"/>
      <c r="AJ108" s="248"/>
      <c r="AK108" s="248"/>
      <c r="AL108" s="248"/>
      <c r="AM108" s="248"/>
      <c r="AN108" s="248"/>
      <c r="AO108" s="248"/>
      <c r="AP108" s="248"/>
    </row>
    <row r="109" spans="14:42" x14ac:dyDescent="0.3">
      <c r="N109" s="250"/>
      <c r="O109" s="250"/>
      <c r="P109" s="250"/>
      <c r="Q109" s="250"/>
      <c r="R109" s="250"/>
      <c r="S109" s="250"/>
      <c r="T109" s="250"/>
      <c r="U109" s="250"/>
      <c r="V109" s="250"/>
      <c r="W109" s="250"/>
      <c r="Y109" s="248"/>
      <c r="Z109" s="248"/>
      <c r="AA109" s="248"/>
      <c r="AB109" s="248"/>
      <c r="AC109" s="248"/>
      <c r="AD109" s="248"/>
      <c r="AE109" s="248"/>
      <c r="AF109" s="248"/>
      <c r="AG109" s="248"/>
      <c r="AH109" s="248"/>
      <c r="AI109" s="248"/>
      <c r="AJ109" s="248"/>
      <c r="AK109" s="248"/>
      <c r="AL109" s="248"/>
      <c r="AM109" s="248"/>
      <c r="AN109" s="248"/>
      <c r="AO109" s="248"/>
      <c r="AP109" s="248"/>
    </row>
    <row r="110" spans="14:42" x14ac:dyDescent="0.3">
      <c r="N110" s="250"/>
      <c r="O110" s="250"/>
      <c r="P110" s="250"/>
      <c r="Q110" s="250"/>
      <c r="R110" s="250"/>
      <c r="S110" s="250"/>
      <c r="T110" s="250"/>
      <c r="U110" s="250"/>
      <c r="V110" s="250"/>
      <c r="W110" s="250"/>
      <c r="Y110" s="248"/>
      <c r="Z110" s="248"/>
      <c r="AA110" s="248"/>
      <c r="AB110" s="248"/>
      <c r="AC110" s="248"/>
      <c r="AD110" s="248"/>
      <c r="AE110" s="248"/>
      <c r="AF110" s="248"/>
      <c r="AG110" s="248"/>
      <c r="AH110" s="248"/>
      <c r="AI110" s="248"/>
      <c r="AJ110" s="248"/>
      <c r="AK110" s="248"/>
      <c r="AL110" s="248"/>
      <c r="AM110" s="248"/>
      <c r="AN110" s="248"/>
      <c r="AO110" s="248"/>
      <c r="AP110" s="248"/>
    </row>
    <row r="111" spans="14:42" x14ac:dyDescent="0.3">
      <c r="N111" s="250"/>
      <c r="O111" s="250"/>
      <c r="P111" s="250"/>
      <c r="Q111" s="250"/>
      <c r="R111" s="250"/>
      <c r="S111" s="250"/>
      <c r="T111" s="250"/>
      <c r="U111" s="250"/>
      <c r="V111" s="250"/>
      <c r="W111" s="250"/>
      <c r="Y111" s="248"/>
      <c r="Z111" s="248"/>
      <c r="AA111" s="248"/>
      <c r="AB111" s="248"/>
      <c r="AC111" s="248"/>
      <c r="AD111" s="248"/>
      <c r="AE111" s="248"/>
      <c r="AF111" s="248"/>
      <c r="AG111" s="248"/>
      <c r="AH111" s="248"/>
      <c r="AI111" s="248"/>
      <c r="AJ111" s="248"/>
      <c r="AK111" s="248"/>
      <c r="AL111" s="248"/>
      <c r="AM111" s="248"/>
      <c r="AN111" s="248"/>
      <c r="AO111" s="248"/>
      <c r="AP111" s="248"/>
    </row>
    <row r="112" spans="14:42" x14ac:dyDescent="0.3">
      <c r="N112" s="250"/>
      <c r="O112" s="250"/>
      <c r="P112" s="250"/>
      <c r="Q112" s="250"/>
      <c r="R112" s="250"/>
      <c r="S112" s="250"/>
      <c r="T112" s="250"/>
      <c r="U112" s="250"/>
      <c r="V112" s="250"/>
      <c r="W112" s="250"/>
      <c r="Y112" s="248"/>
      <c r="Z112" s="248"/>
      <c r="AA112" s="248"/>
      <c r="AB112" s="248"/>
      <c r="AC112" s="248"/>
      <c r="AD112" s="248"/>
      <c r="AE112" s="248"/>
      <c r="AF112" s="248"/>
      <c r="AG112" s="248"/>
      <c r="AH112" s="248"/>
      <c r="AI112" s="248"/>
      <c r="AJ112" s="248"/>
      <c r="AK112" s="248"/>
      <c r="AL112" s="248"/>
      <c r="AM112" s="248"/>
      <c r="AN112" s="248"/>
      <c r="AO112" s="248"/>
      <c r="AP112" s="248"/>
    </row>
    <row r="113" spans="14:42" x14ac:dyDescent="0.3">
      <c r="N113" s="250"/>
      <c r="O113" s="250"/>
      <c r="P113" s="250"/>
      <c r="Q113" s="250"/>
      <c r="R113" s="250"/>
      <c r="S113" s="250"/>
      <c r="T113" s="250"/>
      <c r="U113" s="250"/>
      <c r="V113" s="250"/>
      <c r="W113" s="250"/>
      <c r="Y113" s="248"/>
      <c r="Z113" s="248"/>
      <c r="AA113" s="248"/>
      <c r="AB113" s="248"/>
      <c r="AC113" s="248"/>
      <c r="AD113" s="248"/>
      <c r="AE113" s="248"/>
      <c r="AF113" s="248"/>
      <c r="AG113" s="248"/>
      <c r="AH113" s="248"/>
      <c r="AI113" s="248"/>
      <c r="AJ113" s="248"/>
      <c r="AK113" s="248"/>
      <c r="AL113" s="248"/>
      <c r="AM113" s="248"/>
      <c r="AN113" s="248"/>
      <c r="AO113" s="248"/>
      <c r="AP113" s="248"/>
    </row>
    <row r="114" spans="14:42" x14ac:dyDescent="0.3">
      <c r="N114" s="250"/>
      <c r="O114" s="250"/>
      <c r="P114" s="250"/>
      <c r="Q114" s="250"/>
      <c r="R114" s="250"/>
      <c r="S114" s="250"/>
      <c r="T114" s="250"/>
      <c r="U114" s="250"/>
      <c r="V114" s="250"/>
      <c r="W114" s="250"/>
      <c r="Y114" s="248"/>
      <c r="Z114" s="248"/>
      <c r="AA114" s="248"/>
      <c r="AB114" s="248"/>
      <c r="AC114" s="248"/>
      <c r="AD114" s="248"/>
      <c r="AE114" s="248"/>
      <c r="AF114" s="248"/>
      <c r="AG114" s="248"/>
      <c r="AH114" s="248"/>
      <c r="AI114" s="248"/>
      <c r="AJ114" s="248"/>
      <c r="AK114" s="248"/>
      <c r="AL114" s="248"/>
      <c r="AM114" s="248"/>
      <c r="AN114" s="248"/>
      <c r="AO114" s="248"/>
      <c r="AP114" s="248"/>
    </row>
    <row r="115" spans="14:42" x14ac:dyDescent="0.3">
      <c r="N115" s="250"/>
      <c r="O115" s="250"/>
      <c r="P115" s="250"/>
      <c r="Q115" s="250"/>
      <c r="R115" s="250"/>
      <c r="S115" s="250"/>
      <c r="T115" s="250"/>
      <c r="U115" s="250"/>
      <c r="V115" s="250"/>
      <c r="W115" s="250"/>
      <c r="Y115" s="248"/>
      <c r="Z115" s="248"/>
      <c r="AA115" s="248"/>
      <c r="AB115" s="248"/>
      <c r="AC115" s="248"/>
      <c r="AD115" s="248"/>
      <c r="AE115" s="248"/>
      <c r="AF115" s="248"/>
      <c r="AG115" s="248"/>
      <c r="AH115" s="248"/>
      <c r="AI115" s="248"/>
      <c r="AJ115" s="248"/>
      <c r="AK115" s="248"/>
      <c r="AL115" s="248"/>
      <c r="AM115" s="248"/>
      <c r="AN115" s="248"/>
      <c r="AO115" s="248"/>
      <c r="AP115" s="248"/>
    </row>
    <row r="116" spans="14:42" x14ac:dyDescent="0.3">
      <c r="N116" s="250"/>
      <c r="O116" s="250"/>
      <c r="P116" s="250"/>
      <c r="Q116" s="250"/>
      <c r="R116" s="250"/>
      <c r="S116" s="250"/>
      <c r="T116" s="250"/>
      <c r="U116" s="250"/>
      <c r="V116" s="250"/>
      <c r="W116" s="250"/>
      <c r="Y116" s="248"/>
      <c r="Z116" s="248"/>
      <c r="AA116" s="248"/>
      <c r="AB116" s="248"/>
      <c r="AC116" s="248"/>
      <c r="AD116" s="248"/>
      <c r="AE116" s="248"/>
      <c r="AF116" s="248"/>
      <c r="AG116" s="248"/>
      <c r="AH116" s="248"/>
      <c r="AI116" s="248"/>
      <c r="AJ116" s="248"/>
      <c r="AK116" s="248"/>
      <c r="AL116" s="248"/>
      <c r="AM116" s="248"/>
      <c r="AN116" s="248"/>
      <c r="AO116" s="248"/>
      <c r="AP116" s="248"/>
    </row>
    <row r="117" spans="14:42" x14ac:dyDescent="0.3">
      <c r="N117" s="250"/>
      <c r="O117" s="250"/>
      <c r="P117" s="250"/>
      <c r="Q117" s="250"/>
      <c r="R117" s="250"/>
      <c r="S117" s="250"/>
      <c r="T117" s="250"/>
      <c r="U117" s="250"/>
      <c r="V117" s="250"/>
      <c r="W117" s="250"/>
      <c r="Y117" s="248"/>
      <c r="Z117" s="248"/>
      <c r="AA117" s="248"/>
      <c r="AB117" s="248"/>
      <c r="AC117" s="248"/>
      <c r="AD117" s="248"/>
      <c r="AE117" s="248"/>
      <c r="AF117" s="248"/>
      <c r="AG117" s="248"/>
      <c r="AH117" s="248"/>
      <c r="AI117" s="248"/>
      <c r="AJ117" s="248"/>
      <c r="AK117" s="248"/>
      <c r="AL117" s="248"/>
      <c r="AM117" s="248"/>
      <c r="AN117" s="248"/>
      <c r="AO117" s="248"/>
      <c r="AP117" s="248"/>
    </row>
    <row r="118" spans="14:42" x14ac:dyDescent="0.3">
      <c r="N118" s="250"/>
      <c r="O118" s="250"/>
      <c r="P118" s="250"/>
      <c r="Q118" s="250"/>
      <c r="R118" s="250"/>
      <c r="S118" s="250"/>
      <c r="T118" s="250"/>
      <c r="U118" s="250"/>
      <c r="V118" s="250"/>
      <c r="W118" s="250"/>
      <c r="Y118" s="248"/>
      <c r="Z118" s="248"/>
      <c r="AA118" s="248"/>
      <c r="AB118" s="248"/>
      <c r="AC118" s="248"/>
      <c r="AD118" s="248"/>
      <c r="AE118" s="248"/>
      <c r="AF118" s="248"/>
      <c r="AG118" s="248"/>
      <c r="AH118" s="248"/>
      <c r="AI118" s="248"/>
      <c r="AJ118" s="248"/>
      <c r="AK118" s="248"/>
      <c r="AL118" s="248"/>
      <c r="AM118" s="248"/>
      <c r="AN118" s="248"/>
      <c r="AO118" s="248"/>
      <c r="AP118" s="248"/>
    </row>
    <row r="119" spans="14:42" x14ac:dyDescent="0.3">
      <c r="N119" s="250"/>
      <c r="O119" s="250"/>
      <c r="P119" s="250"/>
      <c r="Q119" s="250"/>
      <c r="R119" s="250"/>
      <c r="S119" s="250"/>
      <c r="T119" s="250"/>
      <c r="U119" s="250"/>
      <c r="V119" s="250"/>
      <c r="W119" s="250"/>
      <c r="Y119" s="248"/>
      <c r="Z119" s="248"/>
      <c r="AA119" s="248"/>
      <c r="AB119" s="248"/>
      <c r="AC119" s="248"/>
      <c r="AD119" s="248"/>
      <c r="AE119" s="248"/>
      <c r="AF119" s="248"/>
      <c r="AG119" s="248"/>
      <c r="AH119" s="248"/>
      <c r="AI119" s="248"/>
      <c r="AJ119" s="248"/>
      <c r="AK119" s="248"/>
      <c r="AL119" s="248"/>
      <c r="AM119" s="248"/>
      <c r="AN119" s="248"/>
      <c r="AO119" s="248"/>
      <c r="AP119" s="248"/>
    </row>
    <row r="120" spans="14:42" x14ac:dyDescent="0.3">
      <c r="N120" s="250"/>
      <c r="O120" s="250"/>
      <c r="P120" s="250"/>
      <c r="Q120" s="250"/>
      <c r="R120" s="250"/>
      <c r="S120" s="250"/>
      <c r="T120" s="250"/>
      <c r="U120" s="250"/>
      <c r="V120" s="250"/>
      <c r="W120" s="250"/>
      <c r="Y120" s="248"/>
      <c r="Z120" s="248"/>
      <c r="AA120" s="248"/>
      <c r="AB120" s="248"/>
      <c r="AC120" s="248"/>
      <c r="AD120" s="248"/>
      <c r="AE120" s="248"/>
      <c r="AF120" s="248"/>
      <c r="AG120" s="248"/>
      <c r="AH120" s="248"/>
      <c r="AI120" s="248"/>
      <c r="AJ120" s="248"/>
      <c r="AK120" s="248"/>
      <c r="AL120" s="248"/>
      <c r="AM120" s="248"/>
      <c r="AN120" s="248"/>
      <c r="AO120" s="248"/>
      <c r="AP120" s="248"/>
    </row>
    <row r="121" spans="14:42" x14ac:dyDescent="0.3">
      <c r="N121" s="250"/>
      <c r="O121" s="250"/>
      <c r="P121" s="250"/>
      <c r="Q121" s="250"/>
      <c r="R121" s="250"/>
      <c r="S121" s="250"/>
      <c r="T121" s="250"/>
      <c r="U121" s="250"/>
      <c r="V121" s="250"/>
      <c r="W121" s="250"/>
      <c r="Y121" s="248"/>
      <c r="Z121" s="248"/>
      <c r="AA121" s="248"/>
      <c r="AB121" s="248"/>
      <c r="AC121" s="248"/>
      <c r="AD121" s="248"/>
      <c r="AE121" s="248"/>
      <c r="AF121" s="248"/>
      <c r="AG121" s="248"/>
      <c r="AH121" s="248"/>
      <c r="AI121" s="248"/>
      <c r="AJ121" s="248"/>
      <c r="AK121" s="248"/>
      <c r="AL121" s="248"/>
      <c r="AM121" s="248"/>
      <c r="AN121" s="248"/>
      <c r="AO121" s="248"/>
      <c r="AP121" s="248"/>
    </row>
    <row r="122" spans="14:42" x14ac:dyDescent="0.3">
      <c r="N122" s="250"/>
      <c r="O122" s="250"/>
      <c r="P122" s="250"/>
      <c r="Q122" s="250"/>
      <c r="R122" s="250"/>
      <c r="S122" s="250"/>
      <c r="T122" s="250"/>
      <c r="U122" s="250"/>
      <c r="V122" s="250"/>
      <c r="W122" s="250"/>
      <c r="Y122" s="248"/>
      <c r="Z122" s="248"/>
      <c r="AA122" s="248"/>
      <c r="AB122" s="248"/>
      <c r="AC122" s="248"/>
      <c r="AD122" s="248"/>
      <c r="AE122" s="248"/>
      <c r="AF122" s="248"/>
      <c r="AG122" s="248"/>
      <c r="AH122" s="248"/>
      <c r="AI122" s="248"/>
      <c r="AJ122" s="248"/>
      <c r="AK122" s="248"/>
      <c r="AL122" s="248"/>
      <c r="AM122" s="248"/>
      <c r="AN122" s="248"/>
      <c r="AO122" s="248"/>
      <c r="AP122" s="248"/>
    </row>
    <row r="123" spans="14:42" x14ac:dyDescent="0.3">
      <c r="N123" s="250"/>
      <c r="O123" s="250"/>
      <c r="P123" s="250"/>
      <c r="Q123" s="250"/>
      <c r="R123" s="250"/>
      <c r="S123" s="250"/>
      <c r="T123" s="250"/>
      <c r="U123" s="250"/>
      <c r="V123" s="250"/>
      <c r="W123" s="250"/>
      <c r="Y123" s="248"/>
      <c r="Z123" s="248"/>
      <c r="AA123" s="248"/>
      <c r="AB123" s="248"/>
      <c r="AC123" s="248"/>
      <c r="AD123" s="248"/>
      <c r="AE123" s="248"/>
      <c r="AF123" s="248"/>
      <c r="AG123" s="248"/>
      <c r="AH123" s="248"/>
      <c r="AI123" s="248"/>
      <c r="AJ123" s="248"/>
      <c r="AK123" s="248"/>
      <c r="AL123" s="248"/>
      <c r="AM123" s="248"/>
      <c r="AN123" s="248"/>
      <c r="AO123" s="248"/>
      <c r="AP123" s="248"/>
    </row>
    <row r="124" spans="14:42" x14ac:dyDescent="0.3">
      <c r="N124" s="250"/>
      <c r="O124" s="250"/>
      <c r="P124" s="250"/>
      <c r="Q124" s="250"/>
      <c r="R124" s="250"/>
      <c r="S124" s="250"/>
      <c r="T124" s="250"/>
      <c r="U124" s="250"/>
      <c r="V124" s="250"/>
      <c r="W124" s="250"/>
      <c r="Y124" s="248"/>
      <c r="Z124" s="248"/>
      <c r="AA124" s="248"/>
      <c r="AB124" s="248"/>
      <c r="AC124" s="248"/>
      <c r="AD124" s="248"/>
      <c r="AE124" s="248"/>
      <c r="AF124" s="248"/>
      <c r="AG124" s="248"/>
      <c r="AH124" s="248"/>
      <c r="AI124" s="248"/>
      <c r="AJ124" s="248"/>
      <c r="AK124" s="248"/>
      <c r="AL124" s="248"/>
      <c r="AM124" s="248"/>
      <c r="AN124" s="248"/>
      <c r="AO124" s="248"/>
      <c r="AP124" s="248"/>
    </row>
    <row r="125" spans="14:42" x14ac:dyDescent="0.3">
      <c r="N125" s="250"/>
      <c r="O125" s="250"/>
      <c r="P125" s="250"/>
      <c r="Q125" s="250"/>
      <c r="R125" s="250"/>
      <c r="S125" s="250"/>
      <c r="T125" s="250"/>
      <c r="U125" s="250"/>
      <c r="V125" s="250"/>
      <c r="W125" s="250"/>
      <c r="Y125" s="248"/>
      <c r="Z125" s="248"/>
      <c r="AA125" s="248"/>
      <c r="AB125" s="248"/>
      <c r="AC125" s="248"/>
      <c r="AD125" s="248"/>
      <c r="AE125" s="248"/>
      <c r="AF125" s="248"/>
      <c r="AG125" s="248"/>
      <c r="AH125" s="248"/>
      <c r="AI125" s="248"/>
      <c r="AJ125" s="248"/>
      <c r="AK125" s="248"/>
      <c r="AL125" s="248"/>
      <c r="AM125" s="248"/>
      <c r="AN125" s="248"/>
      <c r="AO125" s="248"/>
      <c r="AP125" s="248"/>
    </row>
    <row r="126" spans="14:42" x14ac:dyDescent="0.3">
      <c r="N126" s="250"/>
      <c r="O126" s="250"/>
      <c r="P126" s="250"/>
      <c r="Q126" s="250"/>
      <c r="R126" s="250"/>
      <c r="S126" s="250"/>
      <c r="T126" s="250"/>
      <c r="U126" s="250"/>
      <c r="V126" s="250"/>
      <c r="W126" s="250"/>
      <c r="Y126" s="248"/>
      <c r="Z126" s="248"/>
      <c r="AA126" s="248"/>
      <c r="AB126" s="248"/>
      <c r="AC126" s="248"/>
      <c r="AD126" s="248"/>
      <c r="AE126" s="248"/>
      <c r="AF126" s="248"/>
      <c r="AG126" s="248"/>
      <c r="AH126" s="248"/>
      <c r="AI126" s="248"/>
      <c r="AJ126" s="248"/>
      <c r="AK126" s="248"/>
      <c r="AL126" s="248"/>
      <c r="AM126" s="248"/>
      <c r="AN126" s="248"/>
      <c r="AO126" s="248"/>
      <c r="AP126" s="248"/>
    </row>
    <row r="127" spans="14:42" x14ac:dyDescent="0.3">
      <c r="N127" s="250"/>
      <c r="O127" s="250"/>
      <c r="P127" s="250"/>
      <c r="Q127" s="250"/>
      <c r="R127" s="250"/>
      <c r="S127" s="250"/>
      <c r="T127" s="250"/>
      <c r="U127" s="250"/>
      <c r="V127" s="250"/>
      <c r="W127" s="250"/>
      <c r="Y127" s="248"/>
      <c r="Z127" s="248"/>
      <c r="AA127" s="248"/>
      <c r="AB127" s="248"/>
      <c r="AC127" s="248"/>
      <c r="AD127" s="248"/>
      <c r="AE127" s="248"/>
      <c r="AF127" s="248"/>
      <c r="AG127" s="248"/>
      <c r="AH127" s="248"/>
      <c r="AI127" s="248"/>
      <c r="AJ127" s="248"/>
      <c r="AK127" s="248"/>
      <c r="AL127" s="248"/>
      <c r="AM127" s="248"/>
      <c r="AN127" s="248"/>
      <c r="AO127" s="248"/>
      <c r="AP127" s="248"/>
    </row>
    <row r="128" spans="14:42" x14ac:dyDescent="0.3">
      <c r="N128" s="250"/>
      <c r="O128" s="250"/>
      <c r="P128" s="250"/>
      <c r="Q128" s="250"/>
      <c r="R128" s="250"/>
      <c r="S128" s="250"/>
      <c r="T128" s="250"/>
      <c r="U128" s="250"/>
      <c r="V128" s="250"/>
      <c r="W128" s="250"/>
      <c r="Y128" s="248"/>
      <c r="Z128" s="248"/>
      <c r="AA128" s="248"/>
      <c r="AB128" s="248"/>
      <c r="AC128" s="248"/>
      <c r="AD128" s="248"/>
      <c r="AE128" s="248"/>
      <c r="AF128" s="248"/>
      <c r="AG128" s="248"/>
      <c r="AH128" s="248"/>
      <c r="AI128" s="248"/>
      <c r="AJ128" s="248"/>
      <c r="AK128" s="248"/>
      <c r="AL128" s="248"/>
      <c r="AM128" s="248"/>
      <c r="AN128" s="248"/>
      <c r="AO128" s="248"/>
      <c r="AP128" s="248"/>
    </row>
    <row r="129" spans="14:42" x14ac:dyDescent="0.3">
      <c r="N129" s="250"/>
      <c r="O129" s="250"/>
      <c r="P129" s="250"/>
      <c r="Q129" s="250"/>
      <c r="R129" s="250"/>
      <c r="S129" s="250"/>
      <c r="T129" s="250"/>
      <c r="U129" s="250"/>
      <c r="V129" s="250"/>
      <c r="W129" s="250"/>
      <c r="Y129" s="248"/>
      <c r="Z129" s="248"/>
      <c r="AA129" s="248"/>
      <c r="AB129" s="248"/>
      <c r="AC129" s="248"/>
      <c r="AD129" s="248"/>
      <c r="AE129" s="248"/>
      <c r="AF129" s="248"/>
      <c r="AG129" s="248"/>
      <c r="AH129" s="248"/>
      <c r="AI129" s="248"/>
      <c r="AJ129" s="248"/>
      <c r="AK129" s="248"/>
      <c r="AL129" s="248"/>
      <c r="AM129" s="248"/>
      <c r="AN129" s="248"/>
      <c r="AO129" s="248"/>
      <c r="AP129" s="248"/>
    </row>
    <row r="130" spans="14:42" x14ac:dyDescent="0.3">
      <c r="N130" s="250"/>
      <c r="O130" s="250"/>
      <c r="P130" s="250"/>
      <c r="Q130" s="250"/>
      <c r="R130" s="250"/>
      <c r="S130" s="250"/>
      <c r="T130" s="250"/>
      <c r="U130" s="250"/>
      <c r="V130" s="250"/>
      <c r="W130" s="250"/>
      <c r="Y130" s="248"/>
      <c r="Z130" s="248"/>
      <c r="AA130" s="248"/>
      <c r="AB130" s="248"/>
      <c r="AC130" s="248"/>
      <c r="AD130" s="248"/>
      <c r="AE130" s="248"/>
      <c r="AF130" s="248"/>
      <c r="AG130" s="248"/>
      <c r="AH130" s="248"/>
      <c r="AI130" s="248"/>
      <c r="AJ130" s="248"/>
      <c r="AK130" s="248"/>
      <c r="AL130" s="248"/>
      <c r="AM130" s="248"/>
      <c r="AN130" s="248"/>
      <c r="AO130" s="248"/>
      <c r="AP130" s="248"/>
    </row>
    <row r="131" spans="14:42" x14ac:dyDescent="0.3">
      <c r="N131" s="250"/>
      <c r="O131" s="250"/>
      <c r="P131" s="250"/>
      <c r="Q131" s="250"/>
      <c r="R131" s="250"/>
      <c r="S131" s="250"/>
      <c r="T131" s="250"/>
      <c r="U131" s="250"/>
      <c r="V131" s="250"/>
      <c r="W131" s="250"/>
      <c r="Y131" s="248"/>
      <c r="Z131" s="248"/>
      <c r="AA131" s="248"/>
      <c r="AB131" s="248"/>
      <c r="AC131" s="248"/>
      <c r="AD131" s="248"/>
      <c r="AE131" s="248"/>
      <c r="AF131" s="248"/>
      <c r="AG131" s="248"/>
      <c r="AH131" s="248"/>
      <c r="AI131" s="248"/>
      <c r="AJ131" s="248"/>
      <c r="AK131" s="248"/>
      <c r="AL131" s="248"/>
      <c r="AM131" s="248"/>
      <c r="AN131" s="248"/>
      <c r="AO131" s="248"/>
      <c r="AP131" s="248"/>
    </row>
    <row r="132" spans="14:42" x14ac:dyDescent="0.3">
      <c r="N132" s="250"/>
      <c r="O132" s="250"/>
      <c r="P132" s="250"/>
      <c r="Q132" s="250"/>
      <c r="R132" s="250"/>
      <c r="S132" s="250"/>
      <c r="T132" s="250"/>
      <c r="U132" s="250"/>
      <c r="V132" s="250"/>
      <c r="W132" s="250"/>
      <c r="Y132" s="248"/>
      <c r="Z132" s="248"/>
      <c r="AA132" s="248"/>
      <c r="AB132" s="248"/>
      <c r="AC132" s="248"/>
      <c r="AD132" s="248"/>
      <c r="AE132" s="248"/>
      <c r="AF132" s="248"/>
      <c r="AG132" s="248"/>
      <c r="AH132" s="248"/>
      <c r="AI132" s="248"/>
      <c r="AJ132" s="248"/>
      <c r="AK132" s="248"/>
      <c r="AL132" s="248"/>
      <c r="AM132" s="248"/>
      <c r="AN132" s="248"/>
      <c r="AO132" s="248"/>
      <c r="AP132" s="248"/>
    </row>
    <row r="133" spans="14:42" x14ac:dyDescent="0.3">
      <c r="N133" s="250"/>
      <c r="O133" s="250"/>
      <c r="P133" s="250"/>
      <c r="Q133" s="250"/>
      <c r="R133" s="250"/>
      <c r="S133" s="250"/>
      <c r="T133" s="250"/>
      <c r="U133" s="250"/>
      <c r="V133" s="250"/>
      <c r="W133" s="250"/>
      <c r="Y133" s="248"/>
      <c r="Z133" s="248"/>
      <c r="AA133" s="248"/>
      <c r="AB133" s="248"/>
      <c r="AC133" s="248"/>
      <c r="AD133" s="248"/>
      <c r="AE133" s="248"/>
      <c r="AF133" s="248"/>
      <c r="AG133" s="248"/>
      <c r="AH133" s="248"/>
      <c r="AI133" s="248"/>
      <c r="AJ133" s="248"/>
      <c r="AK133" s="248"/>
      <c r="AL133" s="248"/>
      <c r="AM133" s="248"/>
      <c r="AN133" s="248"/>
      <c r="AO133" s="248"/>
      <c r="AP133" s="248"/>
    </row>
    <row r="134" spans="14:42" x14ac:dyDescent="0.3">
      <c r="N134" s="250"/>
      <c r="O134" s="250"/>
      <c r="P134" s="250"/>
      <c r="Q134" s="250"/>
      <c r="R134" s="250"/>
      <c r="S134" s="250"/>
      <c r="T134" s="250"/>
      <c r="U134" s="250"/>
      <c r="V134" s="250"/>
      <c r="W134" s="250"/>
      <c r="Y134" s="248"/>
      <c r="Z134" s="248"/>
      <c r="AA134" s="248"/>
      <c r="AB134" s="248"/>
      <c r="AC134" s="248"/>
      <c r="AD134" s="248"/>
      <c r="AE134" s="248"/>
      <c r="AF134" s="248"/>
      <c r="AG134" s="248"/>
      <c r="AH134" s="248"/>
      <c r="AI134" s="248"/>
      <c r="AJ134" s="248"/>
      <c r="AK134" s="248"/>
      <c r="AL134" s="248"/>
      <c r="AM134" s="248"/>
      <c r="AN134" s="248"/>
      <c r="AO134" s="248"/>
      <c r="AP134" s="248"/>
    </row>
    <row r="135" spans="14:42" x14ac:dyDescent="0.3">
      <c r="N135" s="250"/>
      <c r="O135" s="250"/>
      <c r="P135" s="250"/>
      <c r="Q135" s="250"/>
      <c r="R135" s="250"/>
      <c r="S135" s="250"/>
      <c r="T135" s="250"/>
      <c r="U135" s="250"/>
      <c r="V135" s="250"/>
      <c r="W135" s="250"/>
      <c r="Y135" s="248"/>
      <c r="Z135" s="248"/>
      <c r="AA135" s="248"/>
      <c r="AB135" s="248"/>
      <c r="AC135" s="248"/>
      <c r="AD135" s="248"/>
      <c r="AE135" s="248"/>
      <c r="AF135" s="248"/>
      <c r="AG135" s="248"/>
      <c r="AH135" s="248"/>
      <c r="AI135" s="248"/>
      <c r="AJ135" s="248"/>
      <c r="AK135" s="248"/>
      <c r="AL135" s="248"/>
      <c r="AM135" s="248"/>
      <c r="AN135" s="248"/>
      <c r="AO135" s="248"/>
      <c r="AP135" s="248"/>
    </row>
    <row r="136" spans="14:42" x14ac:dyDescent="0.3">
      <c r="N136" s="250"/>
      <c r="O136" s="250"/>
      <c r="P136" s="250"/>
      <c r="Q136" s="250"/>
      <c r="R136" s="250"/>
      <c r="S136" s="250"/>
      <c r="T136" s="250"/>
      <c r="U136" s="250"/>
      <c r="V136" s="250"/>
      <c r="W136" s="250"/>
      <c r="Y136" s="248"/>
      <c r="Z136" s="248"/>
      <c r="AA136" s="248"/>
      <c r="AB136" s="248"/>
      <c r="AC136" s="248"/>
      <c r="AD136" s="248"/>
      <c r="AE136" s="248"/>
      <c r="AF136" s="248"/>
      <c r="AG136" s="248"/>
      <c r="AH136" s="248"/>
      <c r="AI136" s="248"/>
      <c r="AJ136" s="248"/>
      <c r="AK136" s="248"/>
      <c r="AL136" s="248"/>
      <c r="AM136" s="248"/>
      <c r="AN136" s="248"/>
      <c r="AO136" s="248"/>
      <c r="AP136" s="248"/>
    </row>
    <row r="137" spans="14:42" x14ac:dyDescent="0.3">
      <c r="N137" s="250"/>
      <c r="O137" s="250"/>
      <c r="P137" s="250"/>
      <c r="Q137" s="250"/>
      <c r="R137" s="250"/>
      <c r="S137" s="250"/>
      <c r="T137" s="250"/>
      <c r="U137" s="250"/>
      <c r="V137" s="250"/>
      <c r="W137" s="250"/>
      <c r="Y137" s="248"/>
      <c r="Z137" s="248"/>
      <c r="AA137" s="248"/>
      <c r="AB137" s="248"/>
      <c r="AC137" s="248"/>
      <c r="AD137" s="248"/>
      <c r="AE137" s="248"/>
      <c r="AF137" s="248"/>
      <c r="AG137" s="248"/>
      <c r="AH137" s="248"/>
      <c r="AI137" s="248"/>
      <c r="AJ137" s="248"/>
      <c r="AK137" s="248"/>
      <c r="AL137" s="248"/>
      <c r="AM137" s="248"/>
      <c r="AN137" s="248"/>
      <c r="AO137" s="248"/>
      <c r="AP137" s="248"/>
    </row>
    <row r="138" spans="14:42" x14ac:dyDescent="0.3">
      <c r="N138" s="250"/>
      <c r="O138" s="250"/>
      <c r="P138" s="250"/>
      <c r="Q138" s="250"/>
      <c r="R138" s="250"/>
      <c r="S138" s="250"/>
      <c r="T138" s="250"/>
      <c r="U138" s="250"/>
      <c r="V138" s="250"/>
      <c r="W138" s="250"/>
      <c r="Y138" s="248"/>
      <c r="Z138" s="248"/>
      <c r="AA138" s="248"/>
      <c r="AB138" s="248"/>
      <c r="AC138" s="248"/>
      <c r="AD138" s="248"/>
      <c r="AE138" s="248"/>
      <c r="AF138" s="248"/>
      <c r="AG138" s="248"/>
      <c r="AH138" s="248"/>
      <c r="AI138" s="248"/>
      <c r="AJ138" s="248"/>
      <c r="AK138" s="248"/>
      <c r="AL138" s="248"/>
      <c r="AM138" s="248"/>
      <c r="AN138" s="248"/>
      <c r="AO138" s="248"/>
      <c r="AP138" s="248"/>
    </row>
    <row r="139" spans="14:42" x14ac:dyDescent="0.3">
      <c r="N139" s="250"/>
      <c r="O139" s="250"/>
      <c r="P139" s="250"/>
      <c r="Q139" s="250"/>
      <c r="R139" s="250"/>
      <c r="S139" s="250"/>
      <c r="T139" s="250"/>
      <c r="U139" s="250"/>
      <c r="V139" s="250"/>
      <c r="W139" s="250"/>
      <c r="Y139" s="248"/>
      <c r="Z139" s="248"/>
      <c r="AA139" s="248"/>
      <c r="AB139" s="248"/>
      <c r="AC139" s="248"/>
      <c r="AD139" s="248"/>
      <c r="AE139" s="248"/>
      <c r="AF139" s="248"/>
      <c r="AG139" s="248"/>
      <c r="AH139" s="248"/>
      <c r="AI139" s="248"/>
      <c r="AJ139" s="248"/>
      <c r="AK139" s="248"/>
      <c r="AL139" s="248"/>
      <c r="AM139" s="248"/>
      <c r="AN139" s="248"/>
      <c r="AO139" s="248"/>
      <c r="AP139" s="248"/>
    </row>
    <row r="140" spans="14:42" x14ac:dyDescent="0.3">
      <c r="N140" s="250"/>
      <c r="O140" s="250"/>
      <c r="P140" s="250"/>
      <c r="Q140" s="250"/>
      <c r="R140" s="250"/>
      <c r="S140" s="250"/>
      <c r="T140" s="250"/>
      <c r="U140" s="250"/>
      <c r="V140" s="250"/>
      <c r="W140" s="250"/>
      <c r="Y140" s="248"/>
      <c r="Z140" s="248"/>
      <c r="AA140" s="248"/>
      <c r="AB140" s="248"/>
      <c r="AC140" s="248"/>
      <c r="AD140" s="248"/>
      <c r="AE140" s="248"/>
      <c r="AF140" s="248"/>
      <c r="AG140" s="248"/>
      <c r="AH140" s="248"/>
      <c r="AI140" s="248"/>
      <c r="AJ140" s="248"/>
      <c r="AK140" s="248"/>
      <c r="AL140" s="248"/>
      <c r="AM140" s="248"/>
      <c r="AN140" s="248"/>
      <c r="AO140" s="248"/>
      <c r="AP140" s="248"/>
    </row>
    <row r="141" spans="14:42" x14ac:dyDescent="0.3">
      <c r="N141" s="250"/>
      <c r="O141" s="250"/>
      <c r="P141" s="250"/>
      <c r="Q141" s="250"/>
      <c r="R141" s="250"/>
      <c r="S141" s="250"/>
      <c r="T141" s="250"/>
      <c r="U141" s="250"/>
      <c r="V141" s="250"/>
      <c r="W141" s="250"/>
      <c r="Y141" s="248"/>
      <c r="Z141" s="248"/>
      <c r="AA141" s="248"/>
      <c r="AB141" s="248"/>
      <c r="AC141" s="248"/>
      <c r="AD141" s="248"/>
      <c r="AE141" s="248"/>
      <c r="AF141" s="248"/>
      <c r="AG141" s="248"/>
      <c r="AH141" s="248"/>
      <c r="AI141" s="248"/>
      <c r="AJ141" s="248"/>
      <c r="AK141" s="248"/>
      <c r="AL141" s="248"/>
      <c r="AM141" s="248"/>
      <c r="AN141" s="248"/>
      <c r="AO141" s="248"/>
      <c r="AP141" s="248"/>
    </row>
    <row r="142" spans="14:42" x14ac:dyDescent="0.3">
      <c r="N142" s="250"/>
      <c r="O142" s="250"/>
      <c r="P142" s="250"/>
      <c r="Q142" s="250"/>
      <c r="R142" s="250"/>
      <c r="S142" s="250"/>
      <c r="T142" s="250"/>
      <c r="U142" s="250"/>
      <c r="V142" s="250"/>
      <c r="W142" s="250"/>
      <c r="Y142" s="248"/>
      <c r="Z142" s="248"/>
      <c r="AA142" s="248"/>
      <c r="AB142" s="248"/>
      <c r="AC142" s="248"/>
      <c r="AD142" s="248"/>
      <c r="AE142" s="248"/>
      <c r="AF142" s="248"/>
      <c r="AG142" s="248"/>
      <c r="AH142" s="248"/>
      <c r="AI142" s="248"/>
      <c r="AJ142" s="248"/>
      <c r="AK142" s="248"/>
      <c r="AL142" s="248"/>
      <c r="AM142" s="248"/>
      <c r="AN142" s="248"/>
      <c r="AO142" s="248"/>
      <c r="AP142" s="248"/>
    </row>
    <row r="143" spans="14:42" x14ac:dyDescent="0.3">
      <c r="N143" s="250"/>
      <c r="O143" s="250"/>
      <c r="P143" s="250"/>
      <c r="Q143" s="250"/>
      <c r="R143" s="250"/>
      <c r="S143" s="250"/>
      <c r="T143" s="250"/>
      <c r="U143" s="250"/>
      <c r="V143" s="250"/>
      <c r="W143" s="250"/>
      <c r="Y143" s="248"/>
      <c r="Z143" s="248"/>
      <c r="AA143" s="248"/>
      <c r="AB143" s="248"/>
      <c r="AC143" s="248"/>
      <c r="AD143" s="248"/>
      <c r="AE143" s="248"/>
      <c r="AF143" s="248"/>
      <c r="AG143" s="248"/>
      <c r="AH143" s="248"/>
      <c r="AI143" s="248"/>
      <c r="AJ143" s="248"/>
      <c r="AK143" s="248"/>
      <c r="AL143" s="248"/>
      <c r="AM143" s="248"/>
      <c r="AN143" s="248"/>
      <c r="AO143" s="248"/>
      <c r="AP143" s="248"/>
    </row>
    <row r="144" spans="14:42" x14ac:dyDescent="0.3">
      <c r="N144" s="250"/>
      <c r="O144" s="250"/>
      <c r="P144" s="250"/>
      <c r="Q144" s="250"/>
      <c r="R144" s="250"/>
      <c r="S144" s="250"/>
      <c r="T144" s="250"/>
      <c r="U144" s="250"/>
      <c r="V144" s="250"/>
      <c r="W144" s="250"/>
      <c r="Y144" s="248"/>
      <c r="Z144" s="248"/>
      <c r="AA144" s="248"/>
      <c r="AB144" s="248"/>
      <c r="AC144" s="248"/>
      <c r="AD144" s="248"/>
      <c r="AE144" s="248"/>
      <c r="AF144" s="248"/>
      <c r="AG144" s="248"/>
      <c r="AH144" s="248"/>
      <c r="AI144" s="248"/>
      <c r="AJ144" s="248"/>
      <c r="AK144" s="248"/>
      <c r="AL144" s="248"/>
      <c r="AM144" s="248"/>
      <c r="AN144" s="248"/>
      <c r="AO144" s="248"/>
      <c r="AP144" s="248"/>
    </row>
    <row r="145" spans="14:42" x14ac:dyDescent="0.3">
      <c r="N145" s="250"/>
      <c r="O145" s="250"/>
      <c r="P145" s="250"/>
      <c r="Q145" s="250"/>
      <c r="R145" s="250"/>
      <c r="S145" s="250"/>
      <c r="T145" s="250"/>
      <c r="U145" s="250"/>
      <c r="V145" s="250"/>
      <c r="W145" s="250"/>
      <c r="Y145" s="248"/>
      <c r="Z145" s="248"/>
      <c r="AA145" s="248"/>
      <c r="AB145" s="248"/>
      <c r="AC145" s="248"/>
      <c r="AD145" s="248"/>
      <c r="AE145" s="248"/>
      <c r="AF145" s="248"/>
      <c r="AG145" s="248"/>
      <c r="AH145" s="248"/>
      <c r="AI145" s="248"/>
      <c r="AJ145" s="248"/>
      <c r="AK145" s="248"/>
      <c r="AL145" s="248"/>
      <c r="AM145" s="248"/>
      <c r="AN145" s="248"/>
      <c r="AO145" s="248"/>
      <c r="AP145" s="248"/>
    </row>
    <row r="146" spans="14:42" x14ac:dyDescent="0.3">
      <c r="N146" s="250"/>
      <c r="O146" s="250"/>
      <c r="P146" s="250"/>
      <c r="Q146" s="250"/>
      <c r="R146" s="250"/>
      <c r="S146" s="250"/>
      <c r="T146" s="250"/>
      <c r="U146" s="250"/>
      <c r="V146" s="250"/>
      <c r="W146" s="250"/>
      <c r="Y146" s="248"/>
      <c r="Z146" s="248"/>
      <c r="AA146" s="248"/>
      <c r="AB146" s="248"/>
      <c r="AC146" s="248"/>
      <c r="AD146" s="248"/>
      <c r="AE146" s="248"/>
      <c r="AF146" s="248"/>
      <c r="AG146" s="248"/>
      <c r="AH146" s="248"/>
      <c r="AI146" s="248"/>
      <c r="AJ146" s="248"/>
      <c r="AK146" s="248"/>
      <c r="AL146" s="248"/>
      <c r="AM146" s="248"/>
      <c r="AN146" s="248"/>
      <c r="AO146" s="248"/>
      <c r="AP146" s="248"/>
    </row>
    <row r="147" spans="14:42" x14ac:dyDescent="0.3">
      <c r="N147" s="250"/>
      <c r="O147" s="250"/>
      <c r="P147" s="250"/>
      <c r="Q147" s="250"/>
      <c r="R147" s="250"/>
      <c r="S147" s="250"/>
      <c r="T147" s="250"/>
      <c r="U147" s="250"/>
      <c r="V147" s="250"/>
      <c r="W147" s="250"/>
      <c r="Y147" s="248"/>
      <c r="Z147" s="248"/>
      <c r="AA147" s="248"/>
      <c r="AB147" s="248"/>
      <c r="AC147" s="248"/>
      <c r="AD147" s="248"/>
      <c r="AE147" s="248"/>
      <c r="AF147" s="248"/>
      <c r="AG147" s="248"/>
      <c r="AH147" s="248"/>
      <c r="AI147" s="248"/>
      <c r="AJ147" s="248"/>
      <c r="AK147" s="248"/>
      <c r="AL147" s="248"/>
      <c r="AM147" s="248"/>
      <c r="AN147" s="248"/>
      <c r="AO147" s="248"/>
      <c r="AP147" s="248"/>
    </row>
    <row r="148" spans="14:42" x14ac:dyDescent="0.3">
      <c r="N148" s="250"/>
      <c r="O148" s="250"/>
      <c r="P148" s="250"/>
      <c r="Q148" s="250"/>
      <c r="R148" s="250"/>
      <c r="S148" s="250"/>
      <c r="T148" s="250"/>
      <c r="U148" s="250"/>
      <c r="V148" s="250"/>
      <c r="W148" s="250"/>
      <c r="Y148" s="248"/>
      <c r="Z148" s="248"/>
      <c r="AA148" s="248"/>
      <c r="AB148" s="248"/>
      <c r="AC148" s="248"/>
      <c r="AD148" s="248"/>
      <c r="AE148" s="248"/>
      <c r="AF148" s="248"/>
      <c r="AG148" s="248"/>
      <c r="AH148" s="248"/>
      <c r="AI148" s="248"/>
      <c r="AJ148" s="248"/>
      <c r="AK148" s="248"/>
      <c r="AL148" s="248"/>
      <c r="AM148" s="248"/>
      <c r="AN148" s="248"/>
      <c r="AO148" s="248"/>
      <c r="AP148" s="248"/>
    </row>
    <row r="149" spans="14:42" x14ac:dyDescent="0.3">
      <c r="N149" s="250"/>
      <c r="O149" s="250"/>
      <c r="P149" s="250"/>
      <c r="Q149" s="250"/>
      <c r="R149" s="250"/>
      <c r="S149" s="250"/>
      <c r="T149" s="250"/>
      <c r="U149" s="250"/>
      <c r="V149" s="250"/>
      <c r="W149" s="250"/>
      <c r="Y149" s="248"/>
      <c r="Z149" s="248"/>
      <c r="AA149" s="248"/>
      <c r="AB149" s="248"/>
      <c r="AC149" s="248"/>
      <c r="AD149" s="248"/>
      <c r="AE149" s="248"/>
      <c r="AF149" s="248"/>
      <c r="AG149" s="248"/>
      <c r="AH149" s="248"/>
      <c r="AI149" s="248"/>
      <c r="AJ149" s="248"/>
      <c r="AK149" s="248"/>
      <c r="AL149" s="248"/>
      <c r="AM149" s="248"/>
      <c r="AN149" s="248"/>
      <c r="AO149" s="248"/>
      <c r="AP149" s="248"/>
    </row>
    <row r="150" spans="14:42" x14ac:dyDescent="0.3">
      <c r="N150" s="250"/>
      <c r="O150" s="250"/>
      <c r="P150" s="250"/>
      <c r="Q150" s="250"/>
      <c r="R150" s="250"/>
      <c r="S150" s="250"/>
      <c r="T150" s="250"/>
      <c r="U150" s="250"/>
      <c r="V150" s="250"/>
      <c r="W150" s="250"/>
      <c r="Y150" s="248"/>
      <c r="Z150" s="248"/>
      <c r="AA150" s="248"/>
      <c r="AB150" s="248"/>
      <c r="AC150" s="248"/>
      <c r="AD150" s="248"/>
      <c r="AE150" s="248"/>
      <c r="AF150" s="248"/>
      <c r="AG150" s="248"/>
      <c r="AH150" s="248"/>
      <c r="AI150" s="248"/>
      <c r="AJ150" s="248"/>
      <c r="AK150" s="248"/>
      <c r="AL150" s="248"/>
      <c r="AM150" s="248"/>
      <c r="AN150" s="248"/>
      <c r="AO150" s="248"/>
      <c r="AP150" s="248"/>
    </row>
    <row r="151" spans="14:42" x14ac:dyDescent="0.3">
      <c r="N151" s="250"/>
      <c r="O151" s="250"/>
      <c r="P151" s="250"/>
      <c r="Q151" s="250"/>
      <c r="R151" s="250"/>
      <c r="S151" s="250"/>
      <c r="T151" s="250"/>
      <c r="U151" s="250"/>
      <c r="V151" s="250"/>
      <c r="W151" s="250"/>
      <c r="Y151" s="248"/>
      <c r="Z151" s="248"/>
      <c r="AA151" s="248"/>
      <c r="AB151" s="248"/>
      <c r="AC151" s="248"/>
      <c r="AD151" s="248"/>
      <c r="AE151" s="248"/>
      <c r="AF151" s="248"/>
      <c r="AG151" s="248"/>
      <c r="AH151" s="248"/>
      <c r="AI151" s="248"/>
      <c r="AJ151" s="248"/>
      <c r="AK151" s="248"/>
      <c r="AL151" s="248"/>
      <c r="AM151" s="248"/>
      <c r="AN151" s="248"/>
      <c r="AO151" s="248"/>
      <c r="AP151" s="248"/>
    </row>
    <row r="152" spans="14:42" x14ac:dyDescent="0.3">
      <c r="N152" s="250"/>
      <c r="O152" s="250"/>
      <c r="P152" s="250"/>
      <c r="Q152" s="250"/>
      <c r="R152" s="250"/>
      <c r="S152" s="250"/>
      <c r="T152" s="250"/>
      <c r="U152" s="250"/>
      <c r="V152" s="250"/>
      <c r="W152" s="250"/>
      <c r="Y152" s="248"/>
      <c r="Z152" s="248"/>
      <c r="AA152" s="248"/>
      <c r="AB152" s="248"/>
      <c r="AC152" s="248"/>
      <c r="AD152" s="248"/>
      <c r="AE152" s="248"/>
      <c r="AF152" s="248"/>
      <c r="AG152" s="248"/>
      <c r="AH152" s="248"/>
      <c r="AI152" s="248"/>
      <c r="AJ152" s="248"/>
      <c r="AK152" s="248"/>
      <c r="AL152" s="248"/>
      <c r="AM152" s="248"/>
      <c r="AN152" s="248"/>
      <c r="AO152" s="248"/>
      <c r="AP152" s="248"/>
    </row>
    <row r="153" spans="14:42" x14ac:dyDescent="0.3">
      <c r="N153" s="250"/>
      <c r="O153" s="250"/>
      <c r="P153" s="250"/>
      <c r="Q153" s="250"/>
      <c r="R153" s="250"/>
      <c r="S153" s="250"/>
      <c r="T153" s="250"/>
      <c r="U153" s="250"/>
      <c r="V153" s="250"/>
      <c r="W153" s="250"/>
      <c r="Y153" s="248"/>
      <c r="Z153" s="248"/>
      <c r="AA153" s="248"/>
      <c r="AB153" s="248"/>
      <c r="AC153" s="248"/>
      <c r="AD153" s="248"/>
      <c r="AE153" s="248"/>
      <c r="AF153" s="248"/>
      <c r="AG153" s="248"/>
      <c r="AH153" s="248"/>
      <c r="AI153" s="248"/>
      <c r="AJ153" s="248"/>
      <c r="AK153" s="248"/>
      <c r="AL153" s="248"/>
      <c r="AM153" s="248"/>
      <c r="AN153" s="248"/>
      <c r="AO153" s="248"/>
      <c r="AP153" s="248"/>
    </row>
    <row r="154" spans="14:42" x14ac:dyDescent="0.3">
      <c r="N154" s="250"/>
      <c r="O154" s="250"/>
      <c r="P154" s="250"/>
      <c r="Q154" s="250"/>
      <c r="R154" s="250"/>
      <c r="S154" s="250"/>
      <c r="T154" s="250"/>
      <c r="U154" s="250"/>
      <c r="V154" s="250"/>
      <c r="W154" s="250"/>
      <c r="Y154" s="248"/>
      <c r="Z154" s="248"/>
      <c r="AA154" s="248"/>
      <c r="AB154" s="248"/>
      <c r="AC154" s="248"/>
      <c r="AD154" s="248"/>
      <c r="AE154" s="248"/>
      <c r="AF154" s="248"/>
      <c r="AG154" s="248"/>
      <c r="AH154" s="248"/>
      <c r="AI154" s="248"/>
      <c r="AJ154" s="248"/>
      <c r="AK154" s="248"/>
      <c r="AL154" s="248"/>
      <c r="AM154" s="248"/>
      <c r="AN154" s="248"/>
      <c r="AO154" s="248"/>
      <c r="AP154" s="248"/>
    </row>
    <row r="155" spans="14:42" x14ac:dyDescent="0.3">
      <c r="N155" s="250"/>
      <c r="O155" s="250"/>
      <c r="P155" s="250"/>
      <c r="Q155" s="250"/>
      <c r="R155" s="250"/>
      <c r="S155" s="250"/>
      <c r="T155" s="250"/>
      <c r="U155" s="250"/>
      <c r="V155" s="250"/>
      <c r="W155" s="250"/>
      <c r="Y155" s="248"/>
      <c r="Z155" s="248"/>
      <c r="AA155" s="248"/>
      <c r="AB155" s="248"/>
      <c r="AC155" s="248"/>
      <c r="AD155" s="248"/>
      <c r="AE155" s="248"/>
      <c r="AF155" s="248"/>
      <c r="AG155" s="248"/>
      <c r="AH155" s="248"/>
      <c r="AI155" s="248"/>
      <c r="AJ155" s="248"/>
      <c r="AK155" s="248"/>
      <c r="AL155" s="248"/>
      <c r="AM155" s="248"/>
      <c r="AN155" s="248"/>
      <c r="AO155" s="248"/>
      <c r="AP155" s="248"/>
    </row>
    <row r="156" spans="14:42" x14ac:dyDescent="0.3">
      <c r="N156" s="250"/>
      <c r="O156" s="250"/>
      <c r="P156" s="250"/>
      <c r="Q156" s="250"/>
      <c r="R156" s="250"/>
      <c r="S156" s="250"/>
      <c r="T156" s="250"/>
      <c r="U156" s="250"/>
      <c r="V156" s="250"/>
      <c r="W156" s="250"/>
      <c r="Y156" s="248"/>
      <c r="Z156" s="248"/>
      <c r="AA156" s="248"/>
      <c r="AB156" s="248"/>
      <c r="AC156" s="248"/>
      <c r="AD156" s="248"/>
      <c r="AE156" s="248"/>
      <c r="AF156" s="248"/>
      <c r="AG156" s="248"/>
      <c r="AH156" s="248"/>
      <c r="AI156" s="248"/>
      <c r="AJ156" s="248"/>
      <c r="AK156" s="248"/>
      <c r="AL156" s="248"/>
      <c r="AM156" s="248"/>
      <c r="AN156" s="248"/>
      <c r="AO156" s="248"/>
      <c r="AP156" s="248"/>
    </row>
    <row r="157" spans="14:42" x14ac:dyDescent="0.3">
      <c r="N157" s="250"/>
      <c r="O157" s="250"/>
      <c r="P157" s="250"/>
      <c r="Q157" s="250"/>
      <c r="R157" s="250"/>
      <c r="S157" s="250"/>
      <c r="T157" s="250"/>
      <c r="U157" s="250"/>
      <c r="V157" s="250"/>
      <c r="W157" s="250"/>
      <c r="Y157" s="248"/>
      <c r="Z157" s="248"/>
      <c r="AA157" s="248"/>
      <c r="AB157" s="248"/>
      <c r="AC157" s="248"/>
      <c r="AD157" s="248"/>
      <c r="AE157" s="248"/>
      <c r="AF157" s="248"/>
      <c r="AG157" s="248"/>
      <c r="AH157" s="248"/>
      <c r="AI157" s="248"/>
      <c r="AJ157" s="248"/>
      <c r="AK157" s="248"/>
      <c r="AL157" s="248"/>
      <c r="AM157" s="248"/>
      <c r="AN157" s="248"/>
      <c r="AO157" s="248"/>
      <c r="AP157" s="248"/>
    </row>
    <row r="158" spans="14:42" x14ac:dyDescent="0.3">
      <c r="N158" s="250"/>
      <c r="O158" s="250"/>
      <c r="P158" s="250"/>
      <c r="Q158" s="250"/>
      <c r="R158" s="250"/>
      <c r="S158" s="250"/>
      <c r="T158" s="250"/>
      <c r="U158" s="250"/>
      <c r="V158" s="250"/>
      <c r="W158" s="250"/>
      <c r="Y158" s="248"/>
      <c r="Z158" s="248"/>
      <c r="AA158" s="248"/>
      <c r="AB158" s="248"/>
      <c r="AC158" s="248"/>
      <c r="AD158" s="248"/>
      <c r="AE158" s="248"/>
      <c r="AF158" s="248"/>
      <c r="AG158" s="248"/>
      <c r="AH158" s="248"/>
      <c r="AI158" s="248"/>
      <c r="AJ158" s="248"/>
      <c r="AK158" s="248"/>
      <c r="AL158" s="248"/>
      <c r="AM158" s="248"/>
      <c r="AN158" s="248"/>
      <c r="AO158" s="248"/>
      <c r="AP158" s="248"/>
    </row>
    <row r="159" spans="14:42" x14ac:dyDescent="0.3">
      <c r="N159" s="250"/>
      <c r="O159" s="250"/>
      <c r="P159" s="250"/>
      <c r="Q159" s="250"/>
      <c r="R159" s="250"/>
      <c r="S159" s="250"/>
      <c r="T159" s="250"/>
      <c r="U159" s="250"/>
      <c r="V159" s="250"/>
      <c r="W159" s="250"/>
      <c r="Y159" s="248"/>
      <c r="Z159" s="248"/>
      <c r="AA159" s="248"/>
      <c r="AB159" s="248"/>
      <c r="AC159" s="248"/>
      <c r="AD159" s="248"/>
      <c r="AE159" s="248"/>
      <c r="AF159" s="248"/>
      <c r="AG159" s="248"/>
      <c r="AH159" s="248"/>
      <c r="AI159" s="248"/>
      <c r="AJ159" s="248"/>
      <c r="AK159" s="248"/>
      <c r="AL159" s="248"/>
      <c r="AM159" s="248"/>
      <c r="AN159" s="248"/>
      <c r="AO159" s="248"/>
      <c r="AP159" s="248"/>
    </row>
    <row r="160" spans="14:42" x14ac:dyDescent="0.3">
      <c r="N160" s="250"/>
      <c r="O160" s="250"/>
      <c r="P160" s="250"/>
      <c r="Q160" s="250"/>
      <c r="R160" s="250"/>
      <c r="S160" s="250"/>
      <c r="T160" s="250"/>
      <c r="U160" s="250"/>
      <c r="V160" s="250"/>
      <c r="W160" s="250"/>
      <c r="Y160" s="248"/>
      <c r="Z160" s="248"/>
      <c r="AA160" s="248"/>
      <c r="AB160" s="248"/>
      <c r="AC160" s="248"/>
      <c r="AD160" s="248"/>
      <c r="AE160" s="248"/>
      <c r="AF160" s="248"/>
      <c r="AG160" s="248"/>
      <c r="AH160" s="248"/>
      <c r="AI160" s="248"/>
      <c r="AJ160" s="248"/>
      <c r="AK160" s="248"/>
      <c r="AL160" s="248"/>
      <c r="AM160" s="248"/>
      <c r="AN160" s="248"/>
      <c r="AO160" s="248"/>
      <c r="AP160" s="248"/>
    </row>
    <row r="161" spans="14:42" x14ac:dyDescent="0.3">
      <c r="N161" s="250"/>
      <c r="O161" s="250"/>
      <c r="P161" s="250"/>
      <c r="Q161" s="250"/>
      <c r="R161" s="250"/>
      <c r="S161" s="250"/>
      <c r="T161" s="250"/>
      <c r="U161" s="250"/>
      <c r="V161" s="250"/>
      <c r="W161" s="250"/>
      <c r="Y161" s="248"/>
      <c r="Z161" s="248"/>
      <c r="AA161" s="248"/>
      <c r="AB161" s="248"/>
      <c r="AC161" s="248"/>
      <c r="AD161" s="248"/>
      <c r="AE161" s="248"/>
      <c r="AF161" s="248"/>
      <c r="AG161" s="248"/>
      <c r="AH161" s="248"/>
      <c r="AI161" s="248"/>
      <c r="AJ161" s="248"/>
      <c r="AK161" s="248"/>
      <c r="AL161" s="248"/>
      <c r="AM161" s="248"/>
      <c r="AN161" s="248"/>
      <c r="AO161" s="248"/>
      <c r="AP161" s="248"/>
    </row>
    <row r="162" spans="14:42" x14ac:dyDescent="0.3">
      <c r="N162" s="250"/>
      <c r="O162" s="250"/>
      <c r="P162" s="250"/>
      <c r="Q162" s="250"/>
      <c r="R162" s="250"/>
      <c r="S162" s="250"/>
      <c r="T162" s="250"/>
      <c r="U162" s="250"/>
      <c r="V162" s="250"/>
      <c r="W162" s="250"/>
      <c r="Y162" s="248"/>
      <c r="Z162" s="248"/>
      <c r="AA162" s="248"/>
      <c r="AB162" s="248"/>
      <c r="AC162" s="248"/>
      <c r="AD162" s="248"/>
      <c r="AE162" s="248"/>
      <c r="AF162" s="248"/>
      <c r="AG162" s="248"/>
      <c r="AH162" s="248"/>
      <c r="AI162" s="248"/>
      <c r="AJ162" s="248"/>
      <c r="AK162" s="248"/>
      <c r="AL162" s="248"/>
      <c r="AM162" s="248"/>
      <c r="AN162" s="248"/>
      <c r="AO162" s="248"/>
      <c r="AP162" s="248"/>
    </row>
    <row r="163" spans="14:42" x14ac:dyDescent="0.3">
      <c r="N163" s="250"/>
      <c r="O163" s="250"/>
      <c r="P163" s="250"/>
      <c r="Q163" s="250"/>
      <c r="R163" s="250"/>
      <c r="S163" s="250"/>
      <c r="T163" s="250"/>
      <c r="U163" s="250"/>
      <c r="V163" s="250"/>
      <c r="W163" s="250"/>
      <c r="Y163" s="248"/>
      <c r="Z163" s="248"/>
      <c r="AA163" s="248"/>
      <c r="AB163" s="248"/>
      <c r="AC163" s="248"/>
      <c r="AD163" s="248"/>
      <c r="AE163" s="248"/>
      <c r="AF163" s="248"/>
      <c r="AG163" s="248"/>
      <c r="AH163" s="248"/>
      <c r="AI163" s="248"/>
      <c r="AJ163" s="248"/>
      <c r="AK163" s="248"/>
      <c r="AL163" s="248"/>
      <c r="AM163" s="248"/>
      <c r="AN163" s="248"/>
      <c r="AO163" s="248"/>
      <c r="AP163" s="248"/>
    </row>
    <row r="164" spans="14:42" x14ac:dyDescent="0.3">
      <c r="N164" s="250"/>
      <c r="O164" s="250"/>
      <c r="P164" s="250"/>
      <c r="Q164" s="250"/>
      <c r="R164" s="250"/>
      <c r="S164" s="250"/>
      <c r="T164" s="250"/>
      <c r="U164" s="250"/>
      <c r="V164" s="250"/>
      <c r="W164" s="250"/>
      <c r="Y164" s="248"/>
      <c r="Z164" s="248"/>
      <c r="AA164" s="248"/>
      <c r="AB164" s="248"/>
      <c r="AC164" s="248"/>
      <c r="AD164" s="248"/>
      <c r="AE164" s="248"/>
      <c r="AF164" s="248"/>
      <c r="AG164" s="248"/>
      <c r="AH164" s="248"/>
      <c r="AI164" s="248"/>
      <c r="AJ164" s="248"/>
      <c r="AK164" s="248"/>
      <c r="AL164" s="248"/>
      <c r="AM164" s="248"/>
      <c r="AN164" s="248"/>
      <c r="AO164" s="248"/>
      <c r="AP164" s="248"/>
    </row>
    <row r="165" spans="14:42" x14ac:dyDescent="0.3">
      <c r="N165" s="250"/>
      <c r="O165" s="250"/>
      <c r="P165" s="250"/>
      <c r="Q165" s="250"/>
      <c r="R165" s="250"/>
      <c r="S165" s="250"/>
      <c r="T165" s="250"/>
      <c r="U165" s="250"/>
      <c r="V165" s="250"/>
      <c r="W165" s="250"/>
      <c r="Y165" s="248"/>
      <c r="Z165" s="248"/>
      <c r="AA165" s="248"/>
      <c r="AB165" s="248"/>
      <c r="AC165" s="248"/>
      <c r="AD165" s="248"/>
      <c r="AE165" s="248"/>
      <c r="AF165" s="248"/>
      <c r="AG165" s="248"/>
      <c r="AH165" s="248"/>
      <c r="AI165" s="248"/>
      <c r="AJ165" s="248"/>
      <c r="AK165" s="248"/>
      <c r="AL165" s="248"/>
      <c r="AM165" s="248"/>
      <c r="AN165" s="248"/>
      <c r="AO165" s="248"/>
      <c r="AP165" s="248"/>
    </row>
    <row r="166" spans="14:42" x14ac:dyDescent="0.3">
      <c r="N166" s="250"/>
      <c r="O166" s="250"/>
      <c r="P166" s="250"/>
      <c r="Q166" s="250"/>
      <c r="R166" s="250"/>
      <c r="S166" s="250"/>
      <c r="T166" s="250"/>
      <c r="U166" s="250"/>
      <c r="V166" s="250"/>
      <c r="W166" s="250"/>
      <c r="Y166" s="248"/>
      <c r="Z166" s="248"/>
      <c r="AA166" s="248"/>
      <c r="AB166" s="248"/>
      <c r="AC166" s="248"/>
      <c r="AD166" s="248"/>
      <c r="AE166" s="248"/>
      <c r="AF166" s="248"/>
      <c r="AG166" s="248"/>
      <c r="AH166" s="248"/>
      <c r="AI166" s="248"/>
      <c r="AJ166" s="248"/>
      <c r="AK166" s="248"/>
      <c r="AL166" s="248"/>
      <c r="AM166" s="248"/>
      <c r="AN166" s="248"/>
      <c r="AO166" s="248"/>
      <c r="AP166" s="248"/>
    </row>
    <row r="167" spans="14:42" x14ac:dyDescent="0.3">
      <c r="N167" s="250"/>
      <c r="O167" s="250"/>
      <c r="P167" s="250"/>
      <c r="Q167" s="250"/>
      <c r="R167" s="250"/>
      <c r="S167" s="250"/>
      <c r="T167" s="250"/>
      <c r="U167" s="250"/>
      <c r="V167" s="250"/>
      <c r="W167" s="250"/>
      <c r="Y167" s="248"/>
      <c r="Z167" s="248"/>
      <c r="AA167" s="248"/>
      <c r="AB167" s="248"/>
      <c r="AC167" s="248"/>
      <c r="AD167" s="248"/>
      <c r="AE167" s="248"/>
      <c r="AF167" s="248"/>
      <c r="AG167" s="248"/>
      <c r="AH167" s="248"/>
      <c r="AI167" s="248"/>
      <c r="AJ167" s="248"/>
      <c r="AK167" s="248"/>
      <c r="AL167" s="248"/>
      <c r="AM167" s="248"/>
      <c r="AN167" s="248"/>
      <c r="AO167" s="248"/>
      <c r="AP167" s="248"/>
    </row>
    <row r="168" spans="14:42" x14ac:dyDescent="0.3">
      <c r="N168" s="250"/>
      <c r="O168" s="250"/>
      <c r="P168" s="250"/>
      <c r="Q168" s="250"/>
      <c r="R168" s="250"/>
      <c r="S168" s="250"/>
      <c r="T168" s="250"/>
      <c r="U168" s="250"/>
      <c r="V168" s="250"/>
      <c r="W168" s="250"/>
      <c r="Y168" s="248"/>
      <c r="Z168" s="248"/>
      <c r="AA168" s="248"/>
      <c r="AB168" s="248"/>
      <c r="AC168" s="248"/>
      <c r="AD168" s="248"/>
      <c r="AE168" s="248"/>
      <c r="AF168" s="248"/>
      <c r="AG168" s="248"/>
      <c r="AH168" s="248"/>
      <c r="AI168" s="248"/>
      <c r="AJ168" s="248"/>
      <c r="AK168" s="248"/>
      <c r="AL168" s="248"/>
      <c r="AM168" s="248"/>
      <c r="AN168" s="248"/>
      <c r="AO168" s="248"/>
      <c r="AP168" s="248"/>
    </row>
    <row r="169" spans="14:42" x14ac:dyDescent="0.3">
      <c r="N169" s="250"/>
      <c r="O169" s="250"/>
      <c r="P169" s="250"/>
      <c r="Q169" s="250"/>
      <c r="R169" s="250"/>
      <c r="S169" s="250"/>
      <c r="T169" s="250"/>
      <c r="U169" s="250"/>
      <c r="V169" s="250"/>
      <c r="W169" s="250"/>
      <c r="Y169" s="248"/>
      <c r="Z169" s="248"/>
      <c r="AA169" s="248"/>
      <c r="AB169" s="248"/>
      <c r="AC169" s="248"/>
      <c r="AD169" s="248"/>
      <c r="AE169" s="248"/>
      <c r="AF169" s="248"/>
      <c r="AG169" s="248"/>
      <c r="AH169" s="248"/>
      <c r="AI169" s="248"/>
      <c r="AJ169" s="248"/>
      <c r="AK169" s="248"/>
      <c r="AL169" s="248"/>
      <c r="AM169" s="248"/>
      <c r="AN169" s="248"/>
      <c r="AO169" s="248"/>
      <c r="AP169" s="248"/>
    </row>
    <row r="170" spans="14:42" x14ac:dyDescent="0.3">
      <c r="N170" s="250"/>
      <c r="O170" s="250"/>
      <c r="P170" s="250"/>
      <c r="Q170" s="250"/>
      <c r="R170" s="250"/>
      <c r="S170" s="250"/>
      <c r="T170" s="250"/>
      <c r="U170" s="250"/>
      <c r="V170" s="250"/>
      <c r="W170" s="250"/>
      <c r="Y170" s="248"/>
      <c r="Z170" s="248"/>
      <c r="AA170" s="248"/>
      <c r="AB170" s="248"/>
      <c r="AC170" s="248"/>
      <c r="AD170" s="248"/>
      <c r="AE170" s="248"/>
      <c r="AF170" s="248"/>
      <c r="AG170" s="248"/>
      <c r="AH170" s="248"/>
      <c r="AI170" s="248"/>
      <c r="AJ170" s="248"/>
      <c r="AK170" s="248"/>
      <c r="AL170" s="248"/>
      <c r="AM170" s="248"/>
      <c r="AN170" s="248"/>
      <c r="AO170" s="248"/>
      <c r="AP170" s="248"/>
    </row>
    <row r="171" spans="14:42" x14ac:dyDescent="0.3">
      <c r="N171" s="250"/>
      <c r="O171" s="250"/>
      <c r="P171" s="250"/>
      <c r="Q171" s="250"/>
      <c r="R171" s="250"/>
      <c r="S171" s="250"/>
      <c r="T171" s="250"/>
      <c r="U171" s="250"/>
      <c r="V171" s="250"/>
      <c r="W171" s="250"/>
      <c r="Y171" s="248"/>
      <c r="Z171" s="248"/>
      <c r="AA171" s="248"/>
      <c r="AB171" s="248"/>
      <c r="AC171" s="248"/>
      <c r="AD171" s="248"/>
      <c r="AE171" s="248"/>
      <c r="AF171" s="248"/>
      <c r="AG171" s="248"/>
      <c r="AH171" s="248"/>
      <c r="AI171" s="248"/>
      <c r="AJ171" s="248"/>
      <c r="AK171" s="248"/>
      <c r="AL171" s="248"/>
      <c r="AM171" s="248"/>
      <c r="AN171" s="248"/>
      <c r="AO171" s="248"/>
      <c r="AP171" s="248"/>
    </row>
    <row r="172" spans="14:42" x14ac:dyDescent="0.3">
      <c r="N172" s="250"/>
      <c r="O172" s="250"/>
      <c r="P172" s="250"/>
      <c r="Q172" s="250"/>
      <c r="R172" s="250"/>
      <c r="S172" s="250"/>
      <c r="T172" s="250"/>
      <c r="U172" s="250"/>
      <c r="V172" s="250"/>
      <c r="W172" s="250"/>
      <c r="Y172" s="248"/>
      <c r="Z172" s="248"/>
      <c r="AA172" s="248"/>
      <c r="AB172" s="248"/>
      <c r="AC172" s="248"/>
      <c r="AD172" s="248"/>
      <c r="AE172" s="248"/>
      <c r="AF172" s="248"/>
      <c r="AG172" s="248"/>
      <c r="AH172" s="248"/>
      <c r="AI172" s="248"/>
      <c r="AJ172" s="248"/>
      <c r="AK172" s="248"/>
      <c r="AL172" s="248"/>
      <c r="AM172" s="248"/>
      <c r="AN172" s="248"/>
      <c r="AO172" s="248"/>
      <c r="AP172" s="248"/>
    </row>
    <row r="173" spans="14:42" x14ac:dyDescent="0.3">
      <c r="N173" s="250"/>
      <c r="O173" s="250"/>
      <c r="P173" s="250"/>
      <c r="Q173" s="250"/>
      <c r="R173" s="250"/>
      <c r="S173" s="250"/>
      <c r="T173" s="250"/>
      <c r="U173" s="250"/>
      <c r="V173" s="250"/>
      <c r="W173" s="250"/>
      <c r="Y173" s="248"/>
      <c r="Z173" s="248"/>
      <c r="AA173" s="248"/>
      <c r="AB173" s="248"/>
      <c r="AC173" s="248"/>
      <c r="AD173" s="248"/>
      <c r="AE173" s="248"/>
      <c r="AF173" s="248"/>
      <c r="AG173" s="248"/>
      <c r="AH173" s="248"/>
      <c r="AI173" s="248"/>
      <c r="AJ173" s="248"/>
      <c r="AK173" s="248"/>
      <c r="AL173" s="248"/>
      <c r="AM173" s="248"/>
      <c r="AN173" s="248"/>
      <c r="AO173" s="248"/>
      <c r="AP173" s="248"/>
    </row>
    <row r="174" spans="14:42" x14ac:dyDescent="0.3">
      <c r="N174" s="250"/>
      <c r="O174" s="250"/>
      <c r="P174" s="250"/>
      <c r="Q174" s="250"/>
      <c r="R174" s="250"/>
      <c r="S174" s="250"/>
      <c r="T174" s="250"/>
      <c r="U174" s="250"/>
      <c r="V174" s="250"/>
      <c r="W174" s="250"/>
      <c r="Y174" s="248"/>
      <c r="Z174" s="248"/>
      <c r="AA174" s="248"/>
      <c r="AB174" s="248"/>
      <c r="AC174" s="248"/>
      <c r="AD174" s="248"/>
      <c r="AE174" s="248"/>
      <c r="AF174" s="248"/>
      <c r="AG174" s="248"/>
      <c r="AH174" s="248"/>
      <c r="AI174" s="248"/>
      <c r="AJ174" s="248"/>
      <c r="AK174" s="248"/>
      <c r="AL174" s="248"/>
      <c r="AM174" s="248"/>
      <c r="AN174" s="248"/>
      <c r="AO174" s="248"/>
      <c r="AP174" s="248"/>
    </row>
    <row r="175" spans="14:42" x14ac:dyDescent="0.3">
      <c r="N175" s="250"/>
      <c r="O175" s="250"/>
      <c r="P175" s="250"/>
      <c r="Q175" s="250"/>
      <c r="R175" s="250"/>
      <c r="S175" s="250"/>
      <c r="T175" s="250"/>
      <c r="U175" s="250"/>
      <c r="V175" s="250"/>
      <c r="W175" s="250"/>
      <c r="Y175" s="248"/>
      <c r="Z175" s="248"/>
      <c r="AA175" s="248"/>
      <c r="AB175" s="248"/>
      <c r="AC175" s="248"/>
      <c r="AD175" s="248"/>
      <c r="AE175" s="248"/>
      <c r="AF175" s="248"/>
      <c r="AG175" s="248"/>
      <c r="AH175" s="248"/>
      <c r="AI175" s="248"/>
      <c r="AJ175" s="248"/>
      <c r="AK175" s="248"/>
      <c r="AL175" s="248"/>
      <c r="AM175" s="248"/>
      <c r="AN175" s="248"/>
      <c r="AO175" s="248"/>
      <c r="AP175" s="248"/>
    </row>
    <row r="176" spans="14:42" x14ac:dyDescent="0.3">
      <c r="Y176" s="248"/>
      <c r="Z176" s="248"/>
      <c r="AA176" s="248"/>
      <c r="AB176" s="248"/>
      <c r="AC176" s="248"/>
      <c r="AD176" s="248"/>
      <c r="AE176" s="248"/>
      <c r="AF176" s="248"/>
      <c r="AG176" s="248"/>
      <c r="AH176" s="248"/>
      <c r="AI176" s="248"/>
      <c r="AJ176" s="248"/>
      <c r="AK176" s="248"/>
      <c r="AL176" s="248"/>
      <c r="AM176" s="248"/>
      <c r="AN176" s="248"/>
      <c r="AO176" s="248"/>
      <c r="AP176" s="248"/>
    </row>
    <row r="177" spans="25:42" x14ac:dyDescent="0.3">
      <c r="Y177" s="248"/>
      <c r="Z177" s="248"/>
      <c r="AA177" s="248"/>
      <c r="AB177" s="248"/>
      <c r="AC177" s="248"/>
      <c r="AD177" s="248"/>
      <c r="AE177" s="248"/>
      <c r="AF177" s="248"/>
      <c r="AG177" s="248"/>
      <c r="AH177" s="248"/>
      <c r="AI177" s="248"/>
      <c r="AJ177" s="248"/>
      <c r="AK177" s="248"/>
      <c r="AL177" s="248"/>
      <c r="AM177" s="248"/>
      <c r="AN177" s="248"/>
      <c r="AO177" s="248"/>
      <c r="AP177" s="248"/>
    </row>
    <row r="178" spans="25:42" x14ac:dyDescent="0.3">
      <c r="Y178" s="248"/>
      <c r="Z178" s="248"/>
      <c r="AA178" s="248"/>
      <c r="AB178" s="248"/>
      <c r="AC178" s="248"/>
      <c r="AD178" s="248"/>
      <c r="AE178" s="248"/>
      <c r="AF178" s="248"/>
      <c r="AG178" s="248"/>
      <c r="AH178" s="248"/>
      <c r="AI178" s="248"/>
      <c r="AJ178" s="248"/>
      <c r="AK178" s="248"/>
      <c r="AL178" s="248"/>
      <c r="AM178" s="248"/>
      <c r="AN178" s="248"/>
      <c r="AO178" s="248"/>
      <c r="AP178" s="248"/>
    </row>
    <row r="179" spans="25:42" x14ac:dyDescent="0.3">
      <c r="Y179" s="248"/>
      <c r="Z179" s="248"/>
      <c r="AA179" s="248"/>
      <c r="AB179" s="248"/>
      <c r="AC179" s="248"/>
      <c r="AD179" s="248"/>
      <c r="AE179" s="248"/>
      <c r="AF179" s="248"/>
      <c r="AG179" s="248"/>
      <c r="AH179" s="248"/>
      <c r="AI179" s="248"/>
      <c r="AJ179" s="248"/>
      <c r="AK179" s="248"/>
      <c r="AL179" s="248"/>
      <c r="AM179" s="248"/>
      <c r="AN179" s="248"/>
      <c r="AO179" s="248"/>
      <c r="AP179" s="248"/>
    </row>
    <row r="180" spans="25:42" x14ac:dyDescent="0.3">
      <c r="Y180" s="248"/>
      <c r="Z180" s="248"/>
      <c r="AA180" s="248"/>
      <c r="AB180" s="248"/>
      <c r="AC180" s="248"/>
      <c r="AD180" s="248"/>
      <c r="AE180" s="248"/>
      <c r="AF180" s="248"/>
      <c r="AG180" s="248"/>
      <c r="AH180" s="248"/>
      <c r="AI180" s="248"/>
      <c r="AJ180" s="248"/>
      <c r="AK180" s="248"/>
      <c r="AL180" s="248"/>
      <c r="AM180" s="248"/>
      <c r="AN180" s="248"/>
      <c r="AO180" s="248"/>
      <c r="AP180" s="248"/>
    </row>
    <row r="181" spans="25:42" x14ac:dyDescent="0.3">
      <c r="Y181" s="248"/>
      <c r="Z181" s="248"/>
      <c r="AA181" s="248"/>
      <c r="AB181" s="248"/>
      <c r="AC181" s="248"/>
      <c r="AD181" s="248"/>
      <c r="AE181" s="248"/>
      <c r="AF181" s="248"/>
      <c r="AG181" s="248"/>
      <c r="AH181" s="248"/>
      <c r="AI181" s="248"/>
      <c r="AJ181" s="248"/>
      <c r="AK181" s="248"/>
      <c r="AL181" s="248"/>
      <c r="AM181" s="248"/>
      <c r="AN181" s="248"/>
      <c r="AO181" s="248"/>
      <c r="AP181" s="248"/>
    </row>
    <row r="182" spans="25:42" x14ac:dyDescent="0.3">
      <c r="Y182" s="248"/>
      <c r="Z182" s="248"/>
      <c r="AA182" s="248"/>
      <c r="AB182" s="248"/>
      <c r="AC182" s="248"/>
      <c r="AD182" s="248"/>
      <c r="AE182" s="248"/>
      <c r="AF182" s="248"/>
      <c r="AG182" s="248"/>
      <c r="AH182" s="248"/>
      <c r="AI182" s="248"/>
      <c r="AJ182" s="248"/>
      <c r="AK182" s="248"/>
      <c r="AL182" s="248"/>
      <c r="AM182" s="248"/>
      <c r="AN182" s="248"/>
      <c r="AO182" s="248"/>
      <c r="AP182" s="248"/>
    </row>
    <row r="183" spans="25:42" x14ac:dyDescent="0.3">
      <c r="Y183" s="248"/>
      <c r="Z183" s="248"/>
      <c r="AA183" s="248"/>
      <c r="AB183" s="248"/>
      <c r="AC183" s="248"/>
      <c r="AD183" s="248"/>
      <c r="AE183" s="248"/>
      <c r="AF183" s="248"/>
      <c r="AG183" s="248"/>
      <c r="AH183" s="248"/>
      <c r="AI183" s="248"/>
      <c r="AJ183" s="248"/>
      <c r="AK183" s="248"/>
      <c r="AL183" s="248"/>
      <c r="AM183" s="248"/>
      <c r="AN183" s="248"/>
      <c r="AO183" s="248"/>
      <c r="AP183" s="248"/>
    </row>
    <row r="184" spans="25:42" x14ac:dyDescent="0.3">
      <c r="Y184" s="248"/>
      <c r="Z184" s="248"/>
      <c r="AA184" s="248"/>
      <c r="AB184" s="248"/>
      <c r="AC184" s="248"/>
      <c r="AD184" s="248"/>
      <c r="AE184" s="248"/>
      <c r="AF184" s="248"/>
      <c r="AG184" s="248"/>
      <c r="AH184" s="248"/>
      <c r="AI184" s="248"/>
      <c r="AJ184" s="248"/>
      <c r="AK184" s="248"/>
      <c r="AL184" s="248"/>
      <c r="AM184" s="248"/>
      <c r="AN184" s="248"/>
      <c r="AO184" s="248"/>
      <c r="AP184" s="248"/>
    </row>
    <row r="185" spans="25:42" x14ac:dyDescent="0.3">
      <c r="Y185" s="248"/>
      <c r="Z185" s="248"/>
      <c r="AA185" s="248"/>
      <c r="AB185" s="248"/>
      <c r="AC185" s="248"/>
      <c r="AD185" s="248"/>
      <c r="AE185" s="248"/>
      <c r="AF185" s="248"/>
      <c r="AG185" s="248"/>
      <c r="AH185" s="248"/>
      <c r="AI185" s="248"/>
      <c r="AJ185" s="248"/>
      <c r="AK185" s="248"/>
      <c r="AL185" s="248"/>
      <c r="AM185" s="248"/>
      <c r="AN185" s="248"/>
      <c r="AO185" s="248"/>
      <c r="AP185" s="248"/>
    </row>
    <row r="186" spans="25:42" x14ac:dyDescent="0.3">
      <c r="Y186" s="248"/>
      <c r="Z186" s="248"/>
      <c r="AA186" s="248"/>
      <c r="AB186" s="248"/>
      <c r="AC186" s="248"/>
      <c r="AD186" s="248"/>
      <c r="AE186" s="248"/>
      <c r="AF186" s="248"/>
      <c r="AG186" s="248"/>
      <c r="AH186" s="248"/>
      <c r="AI186" s="248"/>
      <c r="AJ186" s="248"/>
      <c r="AK186" s="248"/>
      <c r="AL186" s="248"/>
      <c r="AM186" s="248"/>
      <c r="AN186" s="248"/>
      <c r="AO186" s="248"/>
      <c r="AP186" s="248"/>
    </row>
    <row r="187" spans="25:42" x14ac:dyDescent="0.3">
      <c r="Y187" s="248"/>
      <c r="Z187" s="248"/>
      <c r="AA187" s="248"/>
      <c r="AB187" s="248"/>
      <c r="AC187" s="248"/>
      <c r="AD187" s="248"/>
      <c r="AE187" s="248"/>
      <c r="AF187" s="248"/>
      <c r="AG187" s="248"/>
      <c r="AH187" s="248"/>
      <c r="AI187" s="248"/>
      <c r="AJ187" s="248"/>
      <c r="AK187" s="248"/>
      <c r="AL187" s="248"/>
      <c r="AM187" s="248"/>
      <c r="AN187" s="248"/>
      <c r="AO187" s="248"/>
      <c r="AP187" s="248"/>
    </row>
  </sheetData>
  <mergeCells count="3">
    <mergeCell ref="C2:L2"/>
    <mergeCell ref="N2:W2"/>
    <mergeCell ref="Y2:AP2"/>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5C7A3981-671F-4A3D-AE27-CCD0B1F73DF6}">
  <ds:schemaRefs/>
</ds:datastoreItem>
</file>

<file path=customXml/itemProps2.xml><?xml version="1.0" encoding="utf-8"?>
<ds:datastoreItem xmlns:ds="http://schemas.openxmlformats.org/officeDocument/2006/customXml" ds:itemID="{A6C24AB4-FD58-4E37-B58F-FDA69C5FC741}">
  <ds:schemaRefs/>
</ds:datastoreItem>
</file>

<file path=customXml/itemProps3.xml><?xml version="1.0" encoding="utf-8"?>
<ds:datastoreItem xmlns:ds="http://schemas.openxmlformats.org/officeDocument/2006/customXml" ds:itemID="{B1DDE6C0-A048-46D7-BC8B-9A47C56C1D41}">
  <ds:schemaRefs/>
</ds:datastoreItem>
</file>

<file path=customXml/itemProps4.xml><?xml version="1.0" encoding="utf-8"?>
<ds:datastoreItem xmlns:ds="http://schemas.openxmlformats.org/officeDocument/2006/customXml" ds:itemID="{2A8DDABB-C7E4-4F71-AF47-A6093758E4AF}">
  <ds:schemaRefs/>
</ds:datastoreItem>
</file>

<file path=customXml/itemProps5.xml><?xml version="1.0" encoding="utf-8"?>
<ds:datastoreItem xmlns:ds="http://schemas.openxmlformats.org/officeDocument/2006/customXml" ds:itemID="{F54328A8-284B-492F-B8B9-E1A57D49D7BC}">
  <ds:schemaRefs/>
</ds:datastoreItem>
</file>

<file path=customXml/itemProps6.xml><?xml version="1.0" encoding="utf-8"?>
<ds:datastoreItem xmlns:ds="http://schemas.openxmlformats.org/officeDocument/2006/customXml" ds:itemID="{FEEF75D1-6BD0-405C-80D7-9E8815D7098F}">
  <ds:schemaRefs/>
</ds:datastoreItem>
</file>

<file path=customXml/itemProps7.xml><?xml version="1.0" encoding="utf-8"?>
<ds:datastoreItem xmlns:ds="http://schemas.openxmlformats.org/officeDocument/2006/customXml" ds:itemID="{FC50F968-6717-418E-AEA2-88D96C23E5B0}">
  <ds:schemaRefs/>
</ds:datastoreItem>
</file>

<file path=customXml/itemProps8.xml><?xml version="1.0" encoding="utf-8"?>
<ds:datastoreItem xmlns:ds="http://schemas.openxmlformats.org/officeDocument/2006/customXml" ds:itemID="{CDD4E78D-5D06-43F3-BA93-038358834389}">
  <ds:schemaRefs/>
</ds:datastoreItem>
</file>

<file path=customXml/itemProps9.xml><?xml version="1.0" encoding="utf-8"?>
<ds:datastoreItem xmlns:ds="http://schemas.openxmlformats.org/officeDocument/2006/customXml" ds:itemID="{48462A82-0543-407D-9015-CF3AA32586D9}">
  <ds:schemaRefs/>
</ds:datastoreItem>
</file>

<file path=customXml/itemProps10.xml><?xml version="1.0" encoding="utf-8"?>
<ds:datastoreItem xmlns:ds="http://schemas.openxmlformats.org/officeDocument/2006/customXml" ds:itemID="{F46156F1-F30C-43C0-AB22-8B15EFFA8859}">
  <ds:schemaRefs/>
</ds:datastoreItem>
</file>

<file path=customXml/itemProps11.xml><?xml version="1.0" encoding="utf-8"?>
<ds:datastoreItem xmlns:ds="http://schemas.openxmlformats.org/officeDocument/2006/customXml" ds:itemID="{5EA83DA1-3F32-4B8D-A02D-38615076C104}">
  <ds:schemaRefs/>
</ds:datastoreItem>
</file>

<file path=customXml/itemProps12.xml><?xml version="1.0" encoding="utf-8"?>
<ds:datastoreItem xmlns:ds="http://schemas.openxmlformats.org/officeDocument/2006/customXml" ds:itemID="{FE951042-C0CD-4067-8A8C-22F6B5C63757}">
  <ds:schemaRefs/>
</ds:datastoreItem>
</file>

<file path=customXml/itemProps13.xml><?xml version="1.0" encoding="utf-8"?>
<ds:datastoreItem xmlns:ds="http://schemas.openxmlformats.org/officeDocument/2006/customXml" ds:itemID="{7D1997F3-D92E-45CF-9A48-27FD344BF60A}">
  <ds:schemaRefs/>
</ds:datastoreItem>
</file>

<file path=customXml/itemProps14.xml><?xml version="1.0" encoding="utf-8"?>
<ds:datastoreItem xmlns:ds="http://schemas.openxmlformats.org/officeDocument/2006/customXml" ds:itemID="{D618FA89-D7FA-4E9E-A5B0-E3A4CAD834D2}">
  <ds:schemaRefs/>
</ds:datastoreItem>
</file>

<file path=customXml/itemProps15.xml><?xml version="1.0" encoding="utf-8"?>
<ds:datastoreItem xmlns:ds="http://schemas.openxmlformats.org/officeDocument/2006/customXml" ds:itemID="{1668930F-7EDF-4C94-A061-0A4013534291}">
  <ds:schemaRefs/>
</ds:datastoreItem>
</file>

<file path=customXml/itemProps16.xml><?xml version="1.0" encoding="utf-8"?>
<ds:datastoreItem xmlns:ds="http://schemas.openxmlformats.org/officeDocument/2006/customXml" ds:itemID="{C5BC3645-9A79-4AF4-9FAF-E3759EF4143C}">
  <ds:schemaRefs/>
</ds:datastoreItem>
</file>

<file path=customXml/itemProps17.xml><?xml version="1.0" encoding="utf-8"?>
<ds:datastoreItem xmlns:ds="http://schemas.openxmlformats.org/officeDocument/2006/customXml" ds:itemID="{1FCEAB77-2763-458E-AAE1-F2ECF085CC17}">
  <ds:schemaRefs/>
</ds:datastoreItem>
</file>

<file path=customXml/itemProps18.xml><?xml version="1.0" encoding="utf-8"?>
<ds:datastoreItem xmlns:ds="http://schemas.openxmlformats.org/officeDocument/2006/customXml" ds:itemID="{F51F5688-02E8-4A45-85A0-31ECCDC04B54}">
  <ds:schemaRefs/>
</ds:datastoreItem>
</file>

<file path=customXml/itemProps19.xml><?xml version="1.0" encoding="utf-8"?>
<ds:datastoreItem xmlns:ds="http://schemas.openxmlformats.org/officeDocument/2006/customXml" ds:itemID="{BD113154-7742-4052-ACF8-8C08A0C80AC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11</vt:i4>
      </vt:variant>
    </vt:vector>
  </HeadingPairs>
  <TitlesOfParts>
    <vt:vector size="17" baseType="lpstr">
      <vt:lpstr>Week-1</vt:lpstr>
      <vt:lpstr>Week-2</vt:lpstr>
      <vt:lpstr>Week-3</vt:lpstr>
      <vt:lpstr>Week-4</vt:lpstr>
      <vt:lpstr>Week-5</vt:lpstr>
      <vt:lpstr>Charts</vt:lpstr>
      <vt:lpstr>'Week-4'!Age</vt:lpstr>
      <vt:lpstr>'Week-5'!Age</vt:lpstr>
      <vt:lpstr>Demographic_Table</vt:lpstr>
      <vt:lpstr>'Week-4'!Gender</vt:lpstr>
      <vt:lpstr>'Week-5'!Gender</vt:lpstr>
      <vt:lpstr>'Week-4'!Post_Occupation</vt:lpstr>
      <vt:lpstr>'Week-5'!Post_Occupation</vt:lpstr>
      <vt:lpstr>'Week-4'!Pre_Occupation</vt:lpstr>
      <vt:lpstr>'Week-5'!Pre_Occupation</vt:lpstr>
      <vt:lpstr>'Week-4'!Residence</vt:lpstr>
      <vt:lpstr>'Week-5'!Residence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Aaron</cp:lastModifiedBy>
  <dcterms:created xsi:type="dcterms:W3CDTF">2022-01-25T16:00:04Z</dcterms:created>
  <dcterms:modified xsi:type="dcterms:W3CDTF">2022-07-30T18:28:38Z</dcterms:modified>
</cp:coreProperties>
</file>