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3ZO\GitRepos\struct_codes\test\"/>
    </mc:Choice>
  </mc:AlternateContent>
  <xr:revisionPtr revIDLastSave="0" documentId="13_ncr:1_{310A653C-8BA2-4D43-88F9-6719EDA5F32F}" xr6:coauthVersionLast="47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W profile slenderness" sheetId="1" r:id="rId1"/>
    <sheet name="Tension" sheetId="2" r:id="rId2"/>
    <sheet name="Compression" sheetId="3" r:id="rId3"/>
    <sheet name="Flexure Major Axis Yield" sheetId="4" r:id="rId4"/>
    <sheet name="Flex Maj Axis lat tor b" sheetId="5" r:id="rId5"/>
    <sheet name="Flex Maj Axis lat tor 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6" l="1"/>
  <c r="Y3" i="6"/>
  <c r="V3" i="6"/>
  <c r="S3" i="6"/>
  <c r="N3" i="6"/>
  <c r="O3" i="6" s="1"/>
  <c r="P3" i="6" s="1"/>
  <c r="M3" i="6"/>
  <c r="U3" i="6" s="1"/>
  <c r="L3" i="6"/>
  <c r="Q2" i="5"/>
  <c r="U2" i="5"/>
  <c r="T2" i="5"/>
  <c r="S2" i="5"/>
  <c r="L2" i="5"/>
  <c r="M2" i="5"/>
  <c r="N2" i="5"/>
  <c r="E2" i="4"/>
  <c r="D2" i="4"/>
  <c r="AP2" i="3"/>
  <c r="AH2" i="3"/>
  <c r="AK2" i="3" s="1"/>
  <c r="W3" i="6" l="1"/>
  <c r="Q3" i="6"/>
  <c r="O2" i="5"/>
  <c r="P2" i="5" s="1"/>
  <c r="AI2" i="3"/>
  <c r="AJ2" i="3" s="1"/>
  <c r="AL2" i="3"/>
  <c r="AM2" i="3" s="1"/>
  <c r="AN2" i="3" s="1"/>
  <c r="Z2" i="3"/>
  <c r="S2" i="3"/>
  <c r="V2" i="3" s="1"/>
  <c r="R2" i="3"/>
  <c r="Q2" i="3"/>
  <c r="M2" i="2"/>
  <c r="L2" i="2"/>
  <c r="K2" i="2"/>
  <c r="J2" i="2"/>
  <c r="H2" i="2"/>
  <c r="I2" i="2"/>
  <c r="G2" i="2"/>
  <c r="K2" i="1"/>
  <c r="J2" i="1"/>
  <c r="I2" i="1"/>
  <c r="H2" i="1"/>
  <c r="G2" i="1"/>
  <c r="F2" i="1"/>
  <c r="E2" i="1"/>
  <c r="AC2" i="3" l="1"/>
  <c r="AA2" i="3"/>
  <c r="T2" i="3"/>
  <c r="U2" i="3" l="1"/>
  <c r="W2" i="3" s="1"/>
  <c r="X2" i="3" s="1"/>
  <c r="Y2" i="3" s="1"/>
  <c r="AB2" i="3"/>
  <c r="AD2" i="3" s="1"/>
  <c r="AE2" i="3" l="1"/>
  <c r="AF2" i="3" s="1"/>
</calcChain>
</file>

<file path=xl/sharedStrings.xml><?xml version="1.0" encoding="utf-8"?>
<sst xmlns="http://schemas.openxmlformats.org/spreadsheetml/2006/main" count="111" uniqueCount="85">
  <si>
    <t>Secao</t>
  </si>
  <si>
    <t>Linear modulus (E) GPa</t>
  </si>
  <si>
    <t>Construction</t>
  </si>
  <si>
    <t>Rolled</t>
  </si>
  <si>
    <t>Flange axial slender limit</t>
  </si>
  <si>
    <t>Web axial slender limit</t>
  </si>
  <si>
    <t>Yield Strength (MPa)</t>
  </si>
  <si>
    <t>(E/Fy)^(1/2)</t>
  </si>
  <si>
    <t>Flange flexural slender limit</t>
  </si>
  <si>
    <t>Flange flexural compact limit</t>
  </si>
  <si>
    <t>Web flexural compact limit</t>
  </si>
  <si>
    <t>Web flexural slender limit</t>
  </si>
  <si>
    <t>Profile</t>
  </si>
  <si>
    <t>gross area</t>
  </si>
  <si>
    <t>net area</t>
  </si>
  <si>
    <t>yield strength Mpa</t>
  </si>
  <si>
    <t>ultimate strength Mpa</t>
  </si>
  <si>
    <t xml:space="preserve">lag factor </t>
  </si>
  <si>
    <t>effective are</t>
  </si>
  <si>
    <t>w6x15</t>
  </si>
  <si>
    <t>nominal ult str</t>
  </si>
  <si>
    <t>nominal yield strength</t>
  </si>
  <si>
    <t>ultimate strength lrfd</t>
  </si>
  <si>
    <t>yield strength lrfd</t>
  </si>
  <si>
    <t>ult str asd</t>
  </si>
  <si>
    <t>yield str asd</t>
  </si>
  <si>
    <t>Linear modulus E GPa</t>
  </si>
  <si>
    <t>Yield Strength Fy MPa</t>
  </si>
  <si>
    <t>radius gyration x (mm)</t>
  </si>
  <si>
    <t>radius gyration y (mm)</t>
  </si>
  <si>
    <t>Gross Area Ag (mm2)</t>
  </si>
  <si>
    <t>length x (m)</t>
  </si>
  <si>
    <t>length y (m)</t>
  </si>
  <si>
    <t>l/r x</t>
  </si>
  <si>
    <t>l/r y</t>
  </si>
  <si>
    <t>elastic buckling stress FE  x (MPa)</t>
  </si>
  <si>
    <t>Fy/Fe x</t>
  </si>
  <si>
    <t>elastic buckling stress FE  y (MPa)</t>
  </si>
  <si>
    <t>critical stress x 1</t>
  </si>
  <si>
    <t>Fy/Fe y</t>
  </si>
  <si>
    <t xml:space="preserve">critical stress x 2 </t>
  </si>
  <si>
    <t>k x</t>
  </si>
  <si>
    <t>ky</t>
  </si>
  <si>
    <t>nominal strength</t>
  </si>
  <si>
    <t>design strength</t>
  </si>
  <si>
    <t>criticak stress</t>
  </si>
  <si>
    <t>critical stress y 1</t>
  </si>
  <si>
    <t xml:space="preserve">critical stress y 2 </t>
  </si>
  <si>
    <t>elastic torsional stress</t>
  </si>
  <si>
    <t>inertia x</t>
  </si>
  <si>
    <t>inertia y</t>
  </si>
  <si>
    <t>torsional constant</t>
  </si>
  <si>
    <t>warping constant</t>
  </si>
  <si>
    <t>Shear Modulus Gpa</t>
  </si>
  <si>
    <t>length torsion</t>
  </si>
  <si>
    <t>k torsion</t>
  </si>
  <si>
    <t xml:space="preserve">plastic section modulus </t>
  </si>
  <si>
    <t>yield stress</t>
  </si>
  <si>
    <t>name</t>
  </si>
  <si>
    <t>design asd strength</t>
  </si>
  <si>
    <t>nominal yielding strength</t>
  </si>
  <si>
    <t>elastic modulus Mpa</t>
  </si>
  <si>
    <t>yield stress Mpa</t>
  </si>
  <si>
    <t>Plastic section modulus mm3</t>
  </si>
  <si>
    <t>Elastic seciton Modulus mm3</t>
  </si>
  <si>
    <t>dist bet flage centroids mm</t>
  </si>
  <si>
    <t>Torsional constant mm4</t>
  </si>
  <si>
    <t>warping constant mm6</t>
  </si>
  <si>
    <t>radius of gyration mm</t>
  </si>
  <si>
    <t>minor axis inertia</t>
  </si>
  <si>
    <t>ratio</t>
  </si>
  <si>
    <t>inner root</t>
  </si>
  <si>
    <t>outter root</t>
  </si>
  <si>
    <t>eff radius</t>
  </si>
  <si>
    <t>length lstral torsional buckling</t>
  </si>
  <si>
    <t>liminting length yield</t>
  </si>
  <si>
    <t>lemgth</t>
  </si>
  <si>
    <t>plastic moment N mm</t>
  </si>
  <si>
    <t>moment b N m</t>
  </si>
  <si>
    <t>design moment</t>
  </si>
  <si>
    <t>factor</t>
  </si>
  <si>
    <t>length</t>
  </si>
  <si>
    <t>root</t>
  </si>
  <si>
    <t>critical stress</t>
  </si>
  <si>
    <t>desgin miment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</si>
</sst>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vertic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opLeftCell="C1" workbookViewId="0">
      <selection activeCell="E4" sqref="E4"/>
    </sheetView>
  </sheetViews>
  <sheetFormatPr defaultRowHeight="14.5" x14ac:dyDescent="0.35"/>
  <cols>
    <col min="3" max="3" width="21.6328125" customWidth="1"/>
    <col min="4" max="4" width="21.90625" customWidth="1"/>
    <col min="5" max="5" width="19.6328125" customWidth="1"/>
    <col min="6" max="6" width="21.453125" bestFit="1" customWidth="1"/>
    <col min="7" max="7" width="19.90625" bestFit="1" customWidth="1"/>
    <col min="8" max="8" width="24.81640625" bestFit="1" customWidth="1"/>
    <col min="9" max="9" width="23.90625" bestFit="1" customWidth="1"/>
  </cols>
  <sheetData>
    <row r="1" spans="1:11" x14ac:dyDescent="0.35">
      <c r="A1" t="s">
        <v>0</v>
      </c>
      <c r="B1" t="s">
        <v>2</v>
      </c>
      <c r="C1" t="s">
        <v>1</v>
      </c>
      <c r="D1" s="1" t="s">
        <v>6</v>
      </c>
      <c r="E1" t="s">
        <v>7</v>
      </c>
      <c r="F1" t="s">
        <v>4</v>
      </c>
      <c r="G1" t="s">
        <v>5</v>
      </c>
      <c r="H1" t="s">
        <v>9</v>
      </c>
      <c r="I1" t="s">
        <v>8</v>
      </c>
      <c r="J1" t="s">
        <v>10</v>
      </c>
      <c r="K1" t="s">
        <v>11</v>
      </c>
    </row>
    <row r="2" spans="1:11" x14ac:dyDescent="0.35">
      <c r="B2" t="s">
        <v>3</v>
      </c>
      <c r="C2">
        <v>200</v>
      </c>
      <c r="D2">
        <v>355</v>
      </c>
      <c r="E2">
        <f>SQRT(C2*1000/D2)</f>
        <v>23.735633163877065</v>
      </c>
      <c r="F2">
        <f>0.56*E2</f>
        <v>13.291954571771157</v>
      </c>
      <c r="G2">
        <f>1.49*E2</f>
        <v>35.366093414176824</v>
      </c>
      <c r="H2">
        <f>0.38*E2</f>
        <v>9.0195406022732847</v>
      </c>
      <c r="I2">
        <f>E2</f>
        <v>23.735633163877065</v>
      </c>
      <c r="J2">
        <f>3.76*E2</f>
        <v>89.245980696177753</v>
      </c>
      <c r="K2">
        <f>5.7*E2</f>
        <v>135.29310903409927</v>
      </c>
    </row>
  </sheetData>
  <pageMargins left="0.7" right="0.7" top="0.75" bottom="0.75" header="0.3" footer="0.3"/>
  <headerFooter>
    <oddFooter>&amp;L_x000D_&amp;1#&amp;"Trebuchet MS"&amp;9&amp;K737373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AAC7-575D-4078-88D0-2A2187398AB4}">
  <dimension ref="A1:M2"/>
  <sheetViews>
    <sheetView workbookViewId="0">
      <selection activeCell="L2" sqref="L2"/>
    </sheetView>
  </sheetViews>
  <sheetFormatPr defaultRowHeight="14.5" x14ac:dyDescent="0.35"/>
  <sheetData>
    <row r="1" spans="1:13" x14ac:dyDescent="0.35">
      <c r="A1" t="s">
        <v>15</v>
      </c>
      <c r="B1" t="s">
        <v>16</v>
      </c>
      <c r="C1" t="s">
        <v>12</v>
      </c>
      <c r="D1" t="s">
        <v>13</v>
      </c>
      <c r="E1" t="s">
        <v>14</v>
      </c>
      <c r="F1" t="s">
        <v>17</v>
      </c>
      <c r="G1" t="s">
        <v>18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5">
      <c r="A2">
        <v>355</v>
      </c>
      <c r="B2">
        <v>500</v>
      </c>
      <c r="C2" t="s">
        <v>19</v>
      </c>
      <c r="D2">
        <v>2860</v>
      </c>
      <c r="E2">
        <v>2860</v>
      </c>
      <c r="F2">
        <v>1</v>
      </c>
      <c r="G2">
        <f>F2*E2</f>
        <v>2860</v>
      </c>
      <c r="H2">
        <f>G2*B2</f>
        <v>1430000</v>
      </c>
      <c r="I2">
        <f>D2*A2</f>
        <v>1015300</v>
      </c>
      <c r="J2">
        <f>H2*0.75</f>
        <v>1072500</v>
      </c>
      <c r="K2">
        <f>0.9*I2</f>
        <v>913770</v>
      </c>
      <c r="L2">
        <f>H2/2</f>
        <v>715000</v>
      </c>
      <c r="M2">
        <f>I2/1.67</f>
        <v>607964.07185628742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8232-ECD8-43F1-9F3B-FF1388B8657D}">
  <dimension ref="A1:AP3"/>
  <sheetViews>
    <sheetView topLeftCell="AG1" workbookViewId="0">
      <selection activeCell="AP2" sqref="AP2"/>
    </sheetView>
  </sheetViews>
  <sheetFormatPr defaultRowHeight="14.5" x14ac:dyDescent="0.35"/>
  <cols>
    <col min="1" max="1" width="19" bestFit="1" customWidth="1"/>
    <col min="2" max="2" width="19" customWidth="1"/>
    <col min="3" max="3" width="18.90625" bestFit="1" customWidth="1"/>
    <col min="4" max="7" width="18.90625" customWidth="1"/>
    <col min="8" max="9" width="19.81640625" bestFit="1" customWidth="1"/>
    <col min="10" max="10" width="18.6328125" bestFit="1" customWidth="1"/>
    <col min="11" max="18" width="18.6328125" customWidth="1"/>
    <col min="19" max="19" width="32" customWidth="1"/>
    <col min="20" max="25" width="18.7265625" customWidth="1"/>
    <col min="26" max="26" width="32.08984375" customWidth="1"/>
    <col min="27" max="27" width="20.453125" customWidth="1"/>
    <col min="28" max="28" width="15.54296875" customWidth="1"/>
    <col min="29" max="29" width="17.1796875" customWidth="1"/>
    <col min="30" max="30" width="16.08984375" customWidth="1"/>
    <col min="34" max="34" width="39.54296875" customWidth="1"/>
    <col min="35" max="35" width="13.7265625" customWidth="1"/>
    <col min="36" max="36" width="17.7265625" customWidth="1"/>
  </cols>
  <sheetData>
    <row r="1" spans="1:42" x14ac:dyDescent="0.35">
      <c r="A1" t="s">
        <v>26</v>
      </c>
      <c r="B1" t="s">
        <v>53</v>
      </c>
      <c r="C1" t="s">
        <v>27</v>
      </c>
      <c r="D1" t="s">
        <v>49</v>
      </c>
      <c r="E1" t="s">
        <v>50</v>
      </c>
      <c r="F1" t="s">
        <v>51</v>
      </c>
      <c r="G1" t="s">
        <v>52</v>
      </c>
      <c r="H1" t="s">
        <v>28</v>
      </c>
      <c r="I1" t="s">
        <v>29</v>
      </c>
      <c r="J1" t="s">
        <v>30</v>
      </c>
      <c r="K1" t="s">
        <v>41</v>
      </c>
      <c r="L1" t="s">
        <v>31</v>
      </c>
      <c r="M1" t="s">
        <v>42</v>
      </c>
      <c r="N1" t="s">
        <v>32</v>
      </c>
      <c r="O1" t="s">
        <v>54</v>
      </c>
      <c r="P1" t="s">
        <v>55</v>
      </c>
      <c r="Q1" t="s">
        <v>33</v>
      </c>
      <c r="R1" t="s">
        <v>34</v>
      </c>
      <c r="S1" t="s">
        <v>35</v>
      </c>
      <c r="T1" t="s">
        <v>36</v>
      </c>
      <c r="U1" t="s">
        <v>38</v>
      </c>
      <c r="V1" t="s">
        <v>40</v>
      </c>
      <c r="W1" t="s">
        <v>45</v>
      </c>
      <c r="X1" t="s">
        <v>43</v>
      </c>
      <c r="Y1" t="s">
        <v>44</v>
      </c>
      <c r="Z1" t="s">
        <v>37</v>
      </c>
      <c r="AA1" t="s">
        <v>39</v>
      </c>
      <c r="AB1" t="s">
        <v>46</v>
      </c>
      <c r="AC1" t="s">
        <v>47</v>
      </c>
      <c r="AD1" t="s">
        <v>45</v>
      </c>
      <c r="AE1" t="s">
        <v>43</v>
      </c>
      <c r="AF1" t="s">
        <v>44</v>
      </c>
      <c r="AH1" t="s">
        <v>48</v>
      </c>
      <c r="AI1" t="s">
        <v>39</v>
      </c>
      <c r="AJ1" t="s">
        <v>46</v>
      </c>
      <c r="AK1" t="s">
        <v>47</v>
      </c>
      <c r="AL1" t="s">
        <v>45</v>
      </c>
      <c r="AM1" t="s">
        <v>43</v>
      </c>
      <c r="AN1" t="s">
        <v>44</v>
      </c>
    </row>
    <row r="2" spans="1:42" x14ac:dyDescent="0.35">
      <c r="A2">
        <v>200</v>
      </c>
      <c r="B2">
        <v>77</v>
      </c>
      <c r="C2">
        <v>355</v>
      </c>
      <c r="D2">
        <v>12.1</v>
      </c>
      <c r="E2">
        <v>3.88</v>
      </c>
      <c r="F2">
        <v>42</v>
      </c>
      <c r="G2">
        <v>20.5</v>
      </c>
      <c r="H2">
        <v>65</v>
      </c>
      <c r="I2">
        <v>36.799999999999997</v>
      </c>
      <c r="J2">
        <v>2860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f>L2*1000/H2</f>
        <v>15.384615384615385</v>
      </c>
      <c r="R2">
        <f>N2*1000/I2</f>
        <v>27.173913043478262</v>
      </c>
      <c r="S2">
        <f>A2*PI()^2/(K2*L2*1000/H2)^2*1000</f>
        <v>8339.8157189205067</v>
      </c>
      <c r="T2">
        <f>C2/S2</f>
        <v>4.2566887802402267E-2</v>
      </c>
      <c r="U2">
        <f>0.658^T2*C2</f>
        <v>348.73119264684101</v>
      </c>
      <c r="V2">
        <f>0.877*S2</f>
        <v>7314.0183854932848</v>
      </c>
      <c r="W2">
        <f>IF(T2&lt;=2.25,U2,V2)</f>
        <v>348.73119264684101</v>
      </c>
      <c r="X2">
        <f>W2*J2</f>
        <v>997371.21096996532</v>
      </c>
      <c r="Y2">
        <f>X2/1.67</f>
        <v>597228.27004189545</v>
      </c>
      <c r="Z2">
        <f>A2*PI()^2/(M2*N2*1000/I2)^2*1000</f>
        <v>2673.1626128262501</v>
      </c>
      <c r="AA2">
        <f>$C2/Z2</f>
        <v>0.13280149823159085</v>
      </c>
      <c r="AB2">
        <f>0.658^AA2*C2</f>
        <v>335.80602147781121</v>
      </c>
      <c r="AC2">
        <f>0.877*Z2</f>
        <v>2344.3636114486212</v>
      </c>
      <c r="AD2">
        <f>IF(AA2&lt;=2.25,AB2,AC2)</f>
        <v>335.80602147781121</v>
      </c>
      <c r="AE2">
        <f>AD2*$J2</f>
        <v>960405.22142654005</v>
      </c>
      <c r="AF2">
        <f>AE2/1.67</f>
        <v>575092.9469620001</v>
      </c>
      <c r="AH2">
        <f>(PI()^2*A2*10^3*G2*10^9/(P2*O2*1000)^2+B2*10^3*F2*10^3)*1/(D2*10^6+E2*10^6)</f>
        <v>2734.6294145473321</v>
      </c>
      <c r="AI2">
        <f>$C2/AH2</f>
        <v>0.12981649290814923</v>
      </c>
      <c r="AJ2">
        <f>0.658^AI2*C2</f>
        <v>336.22583132658912</v>
      </c>
      <c r="AK2">
        <f>0.877*AH2</f>
        <v>2398.2699965580105</v>
      </c>
      <c r="AL2">
        <f>IF(AI2&lt;=2.25,AJ2,AK2)</f>
        <v>336.22583132658912</v>
      </c>
      <c r="AM2">
        <f>AL2*$J2</f>
        <v>961605.8775940449</v>
      </c>
      <c r="AN2">
        <f>AM2/1.67</f>
        <v>575811.90275092516</v>
      </c>
      <c r="AP2">
        <f>(PI()^2*A2*10^3*G2*10^9/(P2*O2*1000)^2+B2*10^3*F2*10^3)</f>
        <v>43699378044.46637</v>
      </c>
    </row>
    <row r="3" spans="1:42" x14ac:dyDescent="0.35">
      <c r="M3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C60B-44BC-4DE3-8D59-3A6B316D4B1A}">
  <dimension ref="A1:K2"/>
  <sheetViews>
    <sheetView workbookViewId="0">
      <selection activeCell="B1" sqref="B1"/>
    </sheetView>
  </sheetViews>
  <sheetFormatPr defaultRowHeight="14.5" x14ac:dyDescent="0.35"/>
  <cols>
    <col min="2" max="2" width="25.1796875" customWidth="1"/>
    <col min="3" max="3" width="21.26953125" customWidth="1"/>
    <col min="4" max="4" width="29.54296875" customWidth="1"/>
    <col min="5" max="5" width="17.08984375" customWidth="1"/>
    <col min="12" max="12" width="11.81640625" bestFit="1" customWidth="1"/>
  </cols>
  <sheetData>
    <row r="1" spans="1:11" x14ac:dyDescent="0.35">
      <c r="A1" t="s">
        <v>58</v>
      </c>
      <c r="B1" t="s">
        <v>56</v>
      </c>
      <c r="C1" t="s">
        <v>57</v>
      </c>
      <c r="D1" t="s">
        <v>60</v>
      </c>
      <c r="E1" t="s">
        <v>59</v>
      </c>
    </row>
    <row r="2" spans="1:11" x14ac:dyDescent="0.35">
      <c r="B2">
        <v>26500</v>
      </c>
      <c r="C2">
        <v>355</v>
      </c>
      <c r="D2">
        <f>B2*C2</f>
        <v>9407500</v>
      </c>
      <c r="E2">
        <f>D2/1.67</f>
        <v>5633233.532934132</v>
      </c>
      <c r="K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A553-783A-45CB-94FE-504C3CB5AAEF}">
  <dimension ref="A1:U2"/>
  <sheetViews>
    <sheetView workbookViewId="0">
      <selection activeCell="U2" sqref="A1:U2"/>
    </sheetView>
  </sheetViews>
  <sheetFormatPr defaultRowHeight="14.5" x14ac:dyDescent="0.35"/>
  <cols>
    <col min="2" max="2" width="19.36328125" customWidth="1"/>
    <col min="3" max="3" width="17.26953125" customWidth="1"/>
    <col min="4" max="4" width="28.1796875" customWidth="1"/>
    <col min="5" max="5" width="19" customWidth="1"/>
    <col min="6" max="6" width="25.7265625" customWidth="1"/>
    <col min="8" max="8" width="20.08984375" bestFit="1" customWidth="1"/>
    <col min="9" max="9" width="23.453125" bestFit="1" customWidth="1"/>
    <col min="10" max="10" width="17.90625" customWidth="1"/>
    <col min="12" max="12" width="18.1796875" bestFit="1" customWidth="1"/>
    <col min="15" max="15" width="11.81640625" bestFit="1" customWidth="1"/>
    <col min="17" max="17" width="29.1796875" customWidth="1"/>
    <col min="19" max="19" width="19.26953125" bestFit="1" customWidth="1"/>
    <col min="20" max="20" width="13.36328125" bestFit="1" customWidth="1"/>
    <col min="21" max="21" width="8.81640625" customWidth="1"/>
  </cols>
  <sheetData>
    <row r="1" spans="1:21" x14ac:dyDescent="0.35">
      <c r="A1" t="s">
        <v>76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L1" t="s">
        <v>75</v>
      </c>
      <c r="M1" t="s">
        <v>73</v>
      </c>
      <c r="N1" t="s">
        <v>70</v>
      </c>
      <c r="O1" t="s">
        <v>71</v>
      </c>
      <c r="P1" t="s">
        <v>72</v>
      </c>
      <c r="Q1" t="s">
        <v>74</v>
      </c>
      <c r="S1" t="s">
        <v>77</v>
      </c>
      <c r="T1" t="s">
        <v>78</v>
      </c>
      <c r="U1" t="s">
        <v>79</v>
      </c>
    </row>
    <row r="2" spans="1:21" x14ac:dyDescent="0.35">
      <c r="A2">
        <v>2100</v>
      </c>
      <c r="B2">
        <v>200000</v>
      </c>
      <c r="C2">
        <v>250</v>
      </c>
      <c r="D2">
        <v>177000</v>
      </c>
      <c r="E2">
        <v>159000</v>
      </c>
      <c r="F2">
        <v>146</v>
      </c>
      <c r="G2">
        <v>42000</v>
      </c>
      <c r="H2" s="4">
        <v>20500000000</v>
      </c>
      <c r="I2">
        <v>36.799999999999997</v>
      </c>
      <c r="J2">
        <v>3880000</v>
      </c>
      <c r="L2">
        <f>1.76 * I2 *(B2/C2)^0.5</f>
        <v>1831.9156801556126</v>
      </c>
      <c r="M2" s="4">
        <f>((J2*H2)^0.5/E2)^0.5</f>
        <v>42.11606957892652</v>
      </c>
      <c r="N2">
        <f>G2/(E2*F2)</f>
        <v>1.8092530369604549E-3</v>
      </c>
      <c r="O2">
        <f>(N2^2+6.76*(0.7*C2/B2)^2)^0.5</f>
        <v>2.9067200676622831E-3</v>
      </c>
      <c r="P2">
        <f>(N2+O2)^0.5</f>
        <v>6.8672943031609895E-2</v>
      </c>
      <c r="Q2" s="5">
        <f>1.95*M2*B2/(0.7*C2)*P2</f>
        <v>6445.5510531113505</v>
      </c>
      <c r="S2">
        <f>D2*C2</f>
        <v>44250000</v>
      </c>
      <c r="T2">
        <f>(S2-(S2-0.7*C2*E2)*(A2-L2)/(Q2-L2))/1000</f>
        <v>43295.593204167089</v>
      </c>
      <c r="U2">
        <f>T2/1.67</f>
        <v>25925.504912674904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1751-9BA2-4C4D-90C2-2BE11D0E00CC}">
  <dimension ref="A2:Y3"/>
  <sheetViews>
    <sheetView tabSelected="1" workbookViewId="0">
      <selection activeCell="Y3" sqref="Y3"/>
    </sheetView>
  </sheetViews>
  <sheetFormatPr defaultRowHeight="14.5" x14ac:dyDescent="0.35"/>
  <cols>
    <col min="10" max="10" width="15.36328125" bestFit="1" customWidth="1"/>
    <col min="17" max="17" width="26" bestFit="1" customWidth="1"/>
    <col min="18" max="18" width="3.08984375" customWidth="1"/>
    <col min="19" max="19" width="19.26953125" bestFit="1" customWidth="1"/>
    <col min="20" max="20" width="5.26953125" customWidth="1"/>
    <col min="21" max="24" width="19.26953125" customWidth="1"/>
  </cols>
  <sheetData>
    <row r="2" spans="1:25" x14ac:dyDescent="0.35">
      <c r="A2" t="s">
        <v>81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L2" t="s">
        <v>75</v>
      </c>
      <c r="M2" t="s">
        <v>73</v>
      </c>
      <c r="N2" t="s">
        <v>70</v>
      </c>
      <c r="O2" t="s">
        <v>71</v>
      </c>
      <c r="P2" t="s">
        <v>72</v>
      </c>
      <c r="Q2" t="s">
        <v>74</v>
      </c>
      <c r="S2" t="s">
        <v>77</v>
      </c>
      <c r="U2" t="s">
        <v>80</v>
      </c>
      <c r="V2" t="s">
        <v>82</v>
      </c>
      <c r="W2" t="s">
        <v>83</v>
      </c>
      <c r="X2" t="s">
        <v>84</v>
      </c>
      <c r="Y2" t="s">
        <v>79</v>
      </c>
    </row>
    <row r="3" spans="1:25" x14ac:dyDescent="0.35">
      <c r="A3">
        <v>7000</v>
      </c>
      <c r="B3">
        <v>200000</v>
      </c>
      <c r="C3">
        <v>250</v>
      </c>
      <c r="D3">
        <v>177000</v>
      </c>
      <c r="E3">
        <v>159000</v>
      </c>
      <c r="F3">
        <v>146</v>
      </c>
      <c r="G3">
        <v>42000</v>
      </c>
      <c r="H3" s="4">
        <v>20500000000</v>
      </c>
      <c r="I3">
        <v>36.799999999999997</v>
      </c>
      <c r="J3">
        <v>3880000</v>
      </c>
      <c r="L3">
        <f>1.76 * I3 *(B3/C3)^0.5</f>
        <v>1831.9156801556126</v>
      </c>
      <c r="M3" s="4">
        <f>((J3*H3)^0.5/E3)^0.5</f>
        <v>42.11606957892652</v>
      </c>
      <c r="N3">
        <f>G3/(E3*F3)</f>
        <v>1.8092530369604549E-3</v>
      </c>
      <c r="O3">
        <f>(N3^2+6.76*(0.7*C3/B3)^2)^0.5</f>
        <v>2.9067200676622831E-3</v>
      </c>
      <c r="P3">
        <f>(N3+O3)^0.5</f>
        <v>6.8672943031609895E-2</v>
      </c>
      <c r="Q3" s="5">
        <f>1.95*M3*B3/(0.7*C3)*P3</f>
        <v>6445.5510531113505</v>
      </c>
      <c r="S3">
        <f>D3*C3</f>
        <v>44250000</v>
      </c>
      <c r="U3" s="4">
        <f>PI()^2*B3/(A3/M3)^2</f>
        <v>71.454458113277298</v>
      </c>
      <c r="V3" s="4">
        <f>(1+0.078*G3/(E3*F3)*(A3/M3)^2)^0.5</f>
        <v>2.2132490018735647</v>
      </c>
      <c r="W3" s="4">
        <f>V3*U3</f>
        <v>158.14650809862741</v>
      </c>
      <c r="X3" s="5">
        <f>W3*E3/1000</f>
        <v>25145.29478768176</v>
      </c>
      <c r="Y3">
        <f>X3/1.67</f>
        <v>15057.062747114827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 profile slenderness</vt:lpstr>
      <vt:lpstr>Tension</vt:lpstr>
      <vt:lpstr>Compression</vt:lpstr>
      <vt:lpstr>Flexure Major Axis Yield</vt:lpstr>
      <vt:lpstr>Flex Maj Axis lat tor b</vt:lpstr>
      <vt:lpstr>Flex Maj Axis lat tor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 Sevalho Goncalves</dc:creator>
  <cp:lastModifiedBy>Ruy Sevalho Goncalves</cp:lastModifiedBy>
  <dcterms:created xsi:type="dcterms:W3CDTF">2015-06-05T18:17:20Z</dcterms:created>
  <dcterms:modified xsi:type="dcterms:W3CDTF">2025-03-31T20:21:12Z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2025-01-15T19:15:47Z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fa26da3b-46e3-4947-acfc-1b193dc5dbb9</vt:lpwstr>
  </property>
  <property fmtid="{D5CDD505-2E9C-101B-9397-08002B2CF9AE}" pid="8" name="MSIP_Label_140b9f7d-8e3a-482f-9702-4b7ffc40985a_ContentBits">
    <vt:lpwstr>2</vt:lpwstr>
  </property>
</Properties>
</file>