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gacitua/"/>
    </mc:Choice>
  </mc:AlternateContent>
  <xr:revisionPtr revIDLastSave="0" documentId="8_{8A51AA8D-8638-1F48-8A6E-E050DB9EC5A6}" xr6:coauthVersionLast="47" xr6:coauthVersionMax="47" xr10:uidLastSave="{00000000-0000-0000-0000-000000000000}"/>
  <bookViews>
    <workbookView xWindow="0" yWindow="500" windowWidth="20740" windowHeight="11160" xr2:uid="{76887592-86C6-4212-B227-AD029E8EC8D5}"/>
  </bookViews>
  <sheets>
    <sheet name="FLUJO" sheetId="1" r:id="rId1"/>
    <sheet name="MAQUINARIA" sheetId="2" r:id="rId2"/>
    <sheet name="Indicador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3" l="1"/>
  <c r="B3" i="3"/>
  <c r="B4" i="3"/>
  <c r="B2" i="3"/>
  <c r="H18" i="1"/>
  <c r="C15" i="1"/>
  <c r="E7" i="1"/>
  <c r="F7" i="1" s="1"/>
  <c r="G7" i="1" s="1"/>
  <c r="D6" i="1"/>
  <c r="C6" i="1"/>
  <c r="C10" i="1" s="1"/>
  <c r="C12" i="1" s="1"/>
  <c r="C11" i="2"/>
  <c r="D8" i="2" s="1"/>
  <c r="C4" i="2"/>
  <c r="D8" i="1" s="1"/>
  <c r="D13" i="1" s="1"/>
  <c r="E5" i="1"/>
  <c r="F5" i="1" s="1"/>
  <c r="G5" i="1" s="1"/>
  <c r="H5" i="1" s="1"/>
  <c r="E4" i="1"/>
  <c r="C9" i="3" s="1"/>
  <c r="C19" i="1" l="1"/>
  <c r="C7" i="3"/>
  <c r="E6" i="1"/>
  <c r="F4" i="1"/>
  <c r="D9" i="3" s="1"/>
  <c r="C16" i="1"/>
  <c r="C6" i="3" s="1"/>
  <c r="E8" i="2"/>
  <c r="E8" i="1"/>
  <c r="D9" i="2"/>
  <c r="D9" i="1" s="1"/>
  <c r="H7" i="1"/>
  <c r="C21" i="1" l="1"/>
  <c r="G4" i="1"/>
  <c r="E9" i="3" s="1"/>
  <c r="F6" i="1"/>
  <c r="F8" i="1"/>
  <c r="E13" i="1"/>
  <c r="D10" i="2"/>
  <c r="D14" i="1" s="1"/>
  <c r="F8" i="2"/>
  <c r="G8" i="2" s="1"/>
  <c r="H8" i="2" s="1"/>
  <c r="H4" i="1" l="1"/>
  <c r="G6" i="1"/>
  <c r="G8" i="1"/>
  <c r="F13" i="1"/>
  <c r="D11" i="2"/>
  <c r="E9" i="2" s="1"/>
  <c r="H6" i="1" l="1"/>
  <c r="F9" i="3"/>
  <c r="D10" i="1"/>
  <c r="H8" i="1"/>
  <c r="H13" i="1" s="1"/>
  <c r="G13" i="1"/>
  <c r="E9" i="1"/>
  <c r="E10" i="2"/>
  <c r="E14" i="1" s="1"/>
  <c r="D11" i="1" l="1"/>
  <c r="D12" i="1" s="1"/>
  <c r="D19" i="1" s="1"/>
  <c r="E11" i="2"/>
  <c r="D21" i="1" l="1"/>
  <c r="E10" i="1"/>
  <c r="F9" i="2"/>
  <c r="E11" i="1" l="1"/>
  <c r="E12" i="1" s="1"/>
  <c r="E19" i="1" s="1"/>
  <c r="F10" i="2"/>
  <c r="F14" i="1" s="1"/>
  <c r="F9" i="1"/>
  <c r="E21" i="1" l="1"/>
  <c r="F11" i="2"/>
  <c r="F10" i="1" l="1"/>
  <c r="G9" i="2"/>
  <c r="F11" i="1" l="1"/>
  <c r="F12" i="1" s="1"/>
  <c r="F19" i="1" s="1"/>
  <c r="G10" i="2"/>
  <c r="G14" i="1" s="1"/>
  <c r="G9" i="1"/>
  <c r="F21" i="1" l="1"/>
  <c r="F22" i="1"/>
  <c r="G11" i="2"/>
  <c r="H9" i="2" s="1"/>
  <c r="G10" i="1" l="1"/>
  <c r="H10" i="2"/>
  <c r="H14" i="1" s="1"/>
  <c r="H9" i="1"/>
  <c r="G11" i="1" l="1"/>
  <c r="G12" i="1" s="1"/>
  <c r="G19" i="1" s="1"/>
  <c r="H11" i="2"/>
  <c r="H10" i="1" l="1"/>
  <c r="H11" i="1" l="1"/>
  <c r="H12" i="1" s="1"/>
  <c r="H19" i="1" s="1"/>
  <c r="C24" i="1" l="1"/>
  <c r="C2" i="3" s="1"/>
  <c r="C5" i="3" s="1"/>
  <c r="C25" i="1"/>
  <c r="C3" i="3" s="1"/>
</calcChain>
</file>

<file path=xl/sharedStrings.xml><?xml version="1.0" encoding="utf-8"?>
<sst xmlns="http://schemas.openxmlformats.org/spreadsheetml/2006/main" count="35" uniqueCount="31">
  <si>
    <t xml:space="preserve">Ingresos </t>
  </si>
  <si>
    <t>Costo Variable</t>
  </si>
  <si>
    <t>Utilidad Marginal</t>
  </si>
  <si>
    <t>Costos Fijos</t>
  </si>
  <si>
    <t>Depreciación</t>
  </si>
  <si>
    <t>Amortización</t>
  </si>
  <si>
    <t>Utilidad después de impuestos</t>
  </si>
  <si>
    <t xml:space="preserve">Depreciación </t>
  </si>
  <si>
    <t>Inversión inicial</t>
  </si>
  <si>
    <t>Prestamo</t>
  </si>
  <si>
    <t>Flujo de Caja</t>
  </si>
  <si>
    <t>Inversión</t>
  </si>
  <si>
    <t>n</t>
  </si>
  <si>
    <t>Cuota</t>
  </si>
  <si>
    <t>Interes</t>
  </si>
  <si>
    <t>Saldo</t>
  </si>
  <si>
    <t xml:space="preserve">Utilidad antes de impuestos </t>
  </si>
  <si>
    <t>Interés</t>
  </si>
  <si>
    <t>Impuestos (27%)</t>
  </si>
  <si>
    <t>Capital de Trabajo</t>
  </si>
  <si>
    <t>Recuperación Cap. Trabajo</t>
  </si>
  <si>
    <t>Tasa de descuento</t>
  </si>
  <si>
    <t>VAN</t>
  </si>
  <si>
    <t>TIR</t>
  </si>
  <si>
    <t>PAYBACK</t>
  </si>
  <si>
    <t>años</t>
  </si>
  <si>
    <t>Nivel de deuda</t>
  </si>
  <si>
    <t>Crecimiento anual de ventas</t>
  </si>
  <si>
    <t>IVAN</t>
  </si>
  <si>
    <t>año</t>
  </si>
  <si>
    <t>tasa de deuda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</si>
</sst>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;[Red]&quot;$&quot;\-#,##0"/>
    <numFmt numFmtId="165" formatCode="_ &quot;$&quot;* #,##0_ ;_ &quot;$&quot;* \-#,##0_ ;_ &quot;$&quot;* &quot;-&quot;_ ;_ @_ "/>
    <numFmt numFmtId="166" formatCode="_ &quot;$&quot;* #,##0.00_ ;_ &quot;$&quot;* \-#,##0.00_ ;_ &quot;$&quot;* &quot;-&quot;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164" fontId="0" fillId="0" borderId="1" xfId="0" applyNumberFormat="1" applyBorder="1"/>
    <xf numFmtId="165" fontId="0" fillId="0" borderId="0" xfId="1" applyFont="1"/>
    <xf numFmtId="165" fontId="0" fillId="0" borderId="0" xfId="0" applyNumberFormat="1"/>
    <xf numFmtId="9" fontId="0" fillId="0" borderId="0" xfId="0" applyNumberFormat="1"/>
    <xf numFmtId="164" fontId="0" fillId="0" borderId="0" xfId="0" applyNumberFormat="1"/>
    <xf numFmtId="0" fontId="0" fillId="0" borderId="1" xfId="0" applyBorder="1" applyAlignment="1"/>
    <xf numFmtId="164" fontId="0" fillId="0" borderId="1" xfId="0" applyNumberFormat="1" applyBorder="1" applyAlignment="1"/>
    <xf numFmtId="164" fontId="0" fillId="0" borderId="1" xfId="1" applyNumberFormat="1" applyFont="1" applyBorder="1"/>
    <xf numFmtId="164" fontId="0" fillId="0" borderId="1" xfId="0" applyNumberFormat="1" applyBorder="1" applyAlignment="1">
      <alignment wrapText="1"/>
    </xf>
    <xf numFmtId="164" fontId="2" fillId="0" borderId="1" xfId="0" applyNumberFormat="1" applyFont="1" applyBorder="1"/>
    <xf numFmtId="0" fontId="0" fillId="0" borderId="1" xfId="0" applyNumberFormat="1" applyBorder="1"/>
    <xf numFmtId="164" fontId="0" fillId="0" borderId="1" xfId="0" applyNumberFormat="1" applyFill="1" applyBorder="1" applyAlignment="1">
      <alignment wrapText="1"/>
    </xf>
    <xf numFmtId="10" fontId="0" fillId="0" borderId="1" xfId="0" applyNumberFormat="1" applyBorder="1"/>
    <xf numFmtId="9" fontId="0" fillId="0" borderId="1" xfId="0" applyNumberFormat="1" applyBorder="1"/>
    <xf numFmtId="0" fontId="0" fillId="0" borderId="1" xfId="0" applyBorder="1"/>
    <xf numFmtId="9" fontId="0" fillId="0" borderId="0" xfId="2" applyFont="1"/>
    <xf numFmtId="0" fontId="0" fillId="0" borderId="0" xfId="0" applyNumberFormat="1"/>
    <xf numFmtId="164" fontId="0" fillId="0" borderId="0" xfId="0" applyNumberFormat="1" applyAlignment="1">
      <alignment wrapText="1"/>
    </xf>
    <xf numFmtId="0" fontId="0" fillId="0" borderId="0" xfId="0" applyAlignment="1">
      <alignment wrapText="1"/>
    </xf>
    <xf numFmtId="166" fontId="0" fillId="0" borderId="0" xfId="1" applyNumberFormat="1" applyFont="1"/>
  </cellXfs>
  <cellStyles count="3">
    <cellStyle name="Moneda [0]" xfId="1" builtinId="7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F0692-64F7-4911-A744-54B15FF001BD}">
  <dimension ref="B3:H26"/>
  <sheetViews>
    <sheetView tabSelected="1" topLeftCell="A4" zoomScale="109" zoomScaleNormal="115" workbookViewId="0">
      <selection activeCell="C4" sqref="C4"/>
    </sheetView>
  </sheetViews>
  <sheetFormatPr baseColWidth="10" defaultRowHeight="15" x14ac:dyDescent="0.2"/>
  <cols>
    <col min="2" max="2" width="21.33203125" customWidth="1"/>
    <col min="3" max="3" width="13.1640625" bestFit="1" customWidth="1"/>
    <col min="4" max="4" width="13" bestFit="1" customWidth="1"/>
    <col min="5" max="8" width="12.33203125" bestFit="1" customWidth="1"/>
  </cols>
  <sheetData>
    <row r="3" spans="2:8" x14ac:dyDescent="0.2">
      <c r="B3" s="1"/>
      <c r="C3" s="11">
        <v>2021</v>
      </c>
      <c r="D3" s="11">
        <v>2022</v>
      </c>
      <c r="E3" s="11">
        <v>2023</v>
      </c>
      <c r="F3" s="11">
        <v>2024</v>
      </c>
      <c r="G3" s="11">
        <v>2025</v>
      </c>
      <c r="H3" s="11">
        <v>2026</v>
      </c>
    </row>
    <row r="4" spans="2:8" ht="16" x14ac:dyDescent="0.2">
      <c r="B4" s="9" t="s">
        <v>0</v>
      </c>
      <c r="C4" s="1"/>
      <c r="D4" s="1">
        <v>25000000</v>
      </c>
      <c r="E4" s="1">
        <f>D4*1.05</f>
        <v>26250000</v>
      </c>
      <c r="F4" s="1">
        <f t="shared" ref="F4:H4" si="0">E4*1.05</f>
        <v>27562500</v>
      </c>
      <c r="G4" s="1">
        <f t="shared" si="0"/>
        <v>28940625</v>
      </c>
      <c r="H4" s="1">
        <f t="shared" si="0"/>
        <v>30387656.25</v>
      </c>
    </row>
    <row r="5" spans="2:8" ht="16" x14ac:dyDescent="0.2">
      <c r="B5" s="9" t="s">
        <v>1</v>
      </c>
      <c r="C5" s="1"/>
      <c r="D5" s="1">
        <v>-14500000</v>
      </c>
      <c r="E5" s="1">
        <f>D5*1.05</f>
        <v>-15225000</v>
      </c>
      <c r="F5" s="1">
        <f t="shared" ref="F5:H5" si="1">E5*1.05</f>
        <v>-15986250</v>
      </c>
      <c r="G5" s="1">
        <f t="shared" si="1"/>
        <v>-16785562.5</v>
      </c>
      <c r="H5" s="1">
        <f t="shared" si="1"/>
        <v>-17624840.625</v>
      </c>
    </row>
    <row r="6" spans="2:8" ht="16" x14ac:dyDescent="0.2">
      <c r="B6" s="9" t="s">
        <v>2</v>
      </c>
      <c r="C6" s="1">
        <f>C4+C5</f>
        <v>0</v>
      </c>
      <c r="D6" s="1">
        <f t="shared" ref="D6:H6" si="2">D4+D5</f>
        <v>10500000</v>
      </c>
      <c r="E6" s="1">
        <f t="shared" si="2"/>
        <v>11025000</v>
      </c>
      <c r="F6" s="1">
        <f t="shared" si="2"/>
        <v>11576250</v>
      </c>
      <c r="G6" s="1">
        <f t="shared" si="2"/>
        <v>12155062.5</v>
      </c>
      <c r="H6" s="1">
        <f t="shared" si="2"/>
        <v>12762815.625</v>
      </c>
    </row>
    <row r="7" spans="2:8" ht="16" x14ac:dyDescent="0.2">
      <c r="B7" s="9" t="s">
        <v>3</v>
      </c>
      <c r="C7" s="1"/>
      <c r="D7" s="1">
        <v>-6000000</v>
      </c>
      <c r="E7" s="1">
        <f>D7</f>
        <v>-6000000</v>
      </c>
      <c r="F7" s="1">
        <f t="shared" ref="F7:H7" si="3">E7</f>
        <v>-6000000</v>
      </c>
      <c r="G7" s="1">
        <f t="shared" si="3"/>
        <v>-6000000</v>
      </c>
      <c r="H7" s="1">
        <f t="shared" si="3"/>
        <v>-6000000</v>
      </c>
    </row>
    <row r="8" spans="2:8" ht="16" x14ac:dyDescent="0.2">
      <c r="B8" s="9" t="s">
        <v>4</v>
      </c>
      <c r="C8" s="1"/>
      <c r="D8" s="8">
        <f>-MAQUINARIA!C4</f>
        <v>-1200000</v>
      </c>
      <c r="E8" s="8">
        <f>D8</f>
        <v>-1200000</v>
      </c>
      <c r="F8" s="8">
        <f t="shared" ref="F8:H8" si="4">E8</f>
        <v>-1200000</v>
      </c>
      <c r="G8" s="8">
        <f t="shared" si="4"/>
        <v>-1200000</v>
      </c>
      <c r="H8" s="8">
        <f t="shared" si="4"/>
        <v>-1200000</v>
      </c>
    </row>
    <row r="9" spans="2:8" ht="16" x14ac:dyDescent="0.2">
      <c r="B9" s="9" t="s">
        <v>17</v>
      </c>
      <c r="C9" s="1"/>
      <c r="D9" s="1">
        <f>-MAQUINARIA!D9</f>
        <v>-300000</v>
      </c>
      <c r="E9" s="1">
        <f>-MAQUINARIA!E9</f>
        <v>-245707.56056151958</v>
      </c>
      <c r="F9" s="1">
        <f>-MAQUINARIA!F9</f>
        <v>-188700.49915111513</v>
      </c>
      <c r="G9" s="1">
        <f>-MAQUINARIA!G9</f>
        <v>-128843.08467019045</v>
      </c>
      <c r="H9" s="1">
        <f>-MAQUINARIA!H9</f>
        <v>-65992.799465219534</v>
      </c>
    </row>
    <row r="10" spans="2:8" ht="32" x14ac:dyDescent="0.2">
      <c r="B10" s="9" t="s">
        <v>16</v>
      </c>
      <c r="C10" s="10">
        <f t="shared" ref="C10:H10" si="5">SUM(C6:C9)</f>
        <v>0</v>
      </c>
      <c r="D10" s="10">
        <f t="shared" si="5"/>
        <v>3000000</v>
      </c>
      <c r="E10" s="10">
        <f t="shared" si="5"/>
        <v>3579292.4394384804</v>
      </c>
      <c r="F10" s="10">
        <f t="shared" si="5"/>
        <v>4187549.5008488847</v>
      </c>
      <c r="G10" s="10">
        <f t="shared" si="5"/>
        <v>4826219.4153298093</v>
      </c>
      <c r="H10" s="10">
        <f t="shared" si="5"/>
        <v>5496822.8255347805</v>
      </c>
    </row>
    <row r="11" spans="2:8" ht="16" x14ac:dyDescent="0.2">
      <c r="B11" s="9" t="s">
        <v>18</v>
      </c>
      <c r="C11" s="1"/>
      <c r="D11" s="1">
        <f>-D10*0.27</f>
        <v>-810000</v>
      </c>
      <c r="E11" s="1">
        <f t="shared" ref="E11:H11" si="6">-E10*0.27</f>
        <v>-966408.95864838979</v>
      </c>
      <c r="F11" s="1">
        <f t="shared" si="6"/>
        <v>-1130638.3652291989</v>
      </c>
      <c r="G11" s="1">
        <f t="shared" si="6"/>
        <v>-1303079.2421390486</v>
      </c>
      <c r="H11" s="1">
        <f t="shared" si="6"/>
        <v>-1484142.1628943908</v>
      </c>
    </row>
    <row r="12" spans="2:8" ht="32" x14ac:dyDescent="0.2">
      <c r="B12" s="9" t="s">
        <v>6</v>
      </c>
      <c r="C12" s="10">
        <f>C10+C11</f>
        <v>0</v>
      </c>
      <c r="D12" s="10">
        <f t="shared" ref="D12:H12" si="7">D10+D11</f>
        <v>2190000</v>
      </c>
      <c r="E12" s="10">
        <f t="shared" si="7"/>
        <v>2612883.4807900907</v>
      </c>
      <c r="F12" s="10">
        <f t="shared" si="7"/>
        <v>3056911.135619686</v>
      </c>
      <c r="G12" s="10">
        <f t="shared" si="7"/>
        <v>3523140.1731907604</v>
      </c>
      <c r="H12" s="10">
        <f t="shared" si="7"/>
        <v>4012680.66264039</v>
      </c>
    </row>
    <row r="13" spans="2:8" ht="16" x14ac:dyDescent="0.2">
      <c r="B13" s="9" t="s">
        <v>7</v>
      </c>
      <c r="C13" s="1"/>
      <c r="D13" s="1">
        <f>-D8</f>
        <v>1200000</v>
      </c>
      <c r="E13" s="1">
        <f>-E8</f>
        <v>1200000</v>
      </c>
      <c r="F13" s="1">
        <f>-F8</f>
        <v>1200000</v>
      </c>
      <c r="G13" s="1">
        <f>-G8</f>
        <v>1200000</v>
      </c>
      <c r="H13" s="1">
        <f>-H8</f>
        <v>1200000</v>
      </c>
    </row>
    <row r="14" spans="2:8" ht="16" x14ac:dyDescent="0.2">
      <c r="B14" s="9" t="s">
        <v>5</v>
      </c>
      <c r="C14" s="1"/>
      <c r="D14" s="1">
        <f>MAQUINARIA!D10*-1</f>
        <v>-1085848.7887696086</v>
      </c>
      <c r="E14" s="1">
        <f>MAQUINARIA!E10*-1</f>
        <v>-1140141.228208089</v>
      </c>
      <c r="F14" s="1">
        <f>MAQUINARIA!F10*-1</f>
        <v>-1197148.2896184935</v>
      </c>
      <c r="G14" s="1">
        <f>MAQUINARIA!G10*-1</f>
        <v>-1257005.7040994181</v>
      </c>
      <c r="H14" s="1">
        <f>MAQUINARIA!H10*-1</f>
        <v>-1319855.9893043891</v>
      </c>
    </row>
    <row r="15" spans="2:8" ht="16" x14ac:dyDescent="0.2">
      <c r="B15" s="9" t="s">
        <v>8</v>
      </c>
      <c r="C15" s="1">
        <f>-MAQUINARIA!C3</f>
        <v>-6000000</v>
      </c>
      <c r="D15" s="1"/>
      <c r="E15" s="1"/>
      <c r="F15" s="1"/>
      <c r="G15" s="1"/>
      <c r="H15" s="1"/>
    </row>
    <row r="16" spans="2:8" ht="16" x14ac:dyDescent="0.2">
      <c r="B16" s="9" t="s">
        <v>9</v>
      </c>
      <c r="C16" s="1">
        <f>-C15</f>
        <v>6000000</v>
      </c>
      <c r="D16" s="1"/>
      <c r="E16" s="1"/>
      <c r="F16" s="1"/>
      <c r="G16" s="1"/>
      <c r="H16" s="1"/>
    </row>
    <row r="17" spans="2:8" ht="16" x14ac:dyDescent="0.2">
      <c r="B17" s="9" t="s">
        <v>19</v>
      </c>
      <c r="C17" s="1">
        <v>-8000000</v>
      </c>
      <c r="D17" s="1"/>
      <c r="E17" s="1"/>
      <c r="F17" s="1"/>
      <c r="G17" s="1"/>
      <c r="H17" s="1"/>
    </row>
    <row r="18" spans="2:8" ht="16" x14ac:dyDescent="0.2">
      <c r="B18" s="9" t="s">
        <v>20</v>
      </c>
      <c r="C18" s="1"/>
      <c r="D18" s="1"/>
      <c r="E18" s="1"/>
      <c r="F18" s="1"/>
      <c r="G18" s="1"/>
      <c r="H18" s="1">
        <f>-C17</f>
        <v>8000000</v>
      </c>
    </row>
    <row r="19" spans="2:8" ht="16" x14ac:dyDescent="0.2">
      <c r="B19" s="9" t="s">
        <v>10</v>
      </c>
      <c r="C19" s="10">
        <f>SUM(C12:C18)</f>
        <v>-8000000</v>
      </c>
      <c r="D19" s="10">
        <f t="shared" ref="D19:H19" si="8">SUM(D12:D18)</f>
        <v>2304151.2112303916</v>
      </c>
      <c r="E19" s="10">
        <f t="shared" si="8"/>
        <v>2672742.2525820015</v>
      </c>
      <c r="F19" s="10">
        <f t="shared" si="8"/>
        <v>3059762.8460011925</v>
      </c>
      <c r="G19" s="10">
        <f t="shared" si="8"/>
        <v>3466134.4690913423</v>
      </c>
      <c r="H19" s="10">
        <f t="shared" si="8"/>
        <v>11892824.673336001</v>
      </c>
    </row>
    <row r="21" spans="2:8" x14ac:dyDescent="0.2">
      <c r="C21" s="5">
        <f>C19</f>
        <v>-8000000</v>
      </c>
      <c r="D21" s="5">
        <f>D19+C21</f>
        <v>-5695848.7887696084</v>
      </c>
      <c r="E21" s="5">
        <f t="shared" ref="E21:F21" si="9">E19+D21</f>
        <v>-3023106.5361876069</v>
      </c>
      <c r="F21" s="5">
        <f t="shared" si="9"/>
        <v>36656.309813585598</v>
      </c>
    </row>
    <row r="22" spans="2:8" x14ac:dyDescent="0.2">
      <c r="F22">
        <f>E21/F19</f>
        <v>-0.98801988531186602</v>
      </c>
    </row>
    <row r="23" spans="2:8" ht="16" x14ac:dyDescent="0.2">
      <c r="B23" s="12" t="s">
        <v>21</v>
      </c>
      <c r="C23" s="13">
        <v>3.3000000000000002E-2</v>
      </c>
    </row>
    <row r="24" spans="2:8" ht="16" x14ac:dyDescent="0.2">
      <c r="B24" s="12" t="s">
        <v>22</v>
      </c>
      <c r="C24" s="1">
        <f>C19+NPV(C23,D19:H19)</f>
        <v>12665785.849844851</v>
      </c>
    </row>
    <row r="25" spans="2:8" ht="16" x14ac:dyDescent="0.2">
      <c r="B25" s="12" t="s">
        <v>23</v>
      </c>
      <c r="C25" s="14">
        <f>IRR(C19:H19)</f>
        <v>0.35596140469452919</v>
      </c>
    </row>
    <row r="26" spans="2:8" ht="16" x14ac:dyDescent="0.2">
      <c r="B26" s="12" t="s">
        <v>24</v>
      </c>
      <c r="C26" s="15">
        <v>2.98</v>
      </c>
      <c r="D26" s="15" t="s">
        <v>25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57EF0-3C90-4634-9AA1-B36E1F15DB38}">
  <dimension ref="B3:H11"/>
  <sheetViews>
    <sheetView workbookViewId="0">
      <selection activeCell="B6" sqref="B6"/>
    </sheetView>
  </sheetViews>
  <sheetFormatPr baseColWidth="10" defaultRowHeight="15" x14ac:dyDescent="0.2"/>
  <cols>
    <col min="2" max="2" width="14" customWidth="1"/>
    <col min="3" max="3" width="12" bestFit="1" customWidth="1"/>
    <col min="4" max="8" width="13.83203125" customWidth="1"/>
  </cols>
  <sheetData>
    <row r="3" spans="2:8" x14ac:dyDescent="0.2">
      <c r="B3" t="s">
        <v>11</v>
      </c>
      <c r="C3" s="2">
        <v>6000000</v>
      </c>
    </row>
    <row r="4" spans="2:8" x14ac:dyDescent="0.2">
      <c r="B4" t="s">
        <v>4</v>
      </c>
      <c r="C4" s="3">
        <f>C3/5</f>
        <v>1200000</v>
      </c>
    </row>
    <row r="5" spans="2:8" x14ac:dyDescent="0.2">
      <c r="B5" t="s">
        <v>30</v>
      </c>
      <c r="C5" s="4">
        <v>0.05</v>
      </c>
    </row>
    <row r="7" spans="2:8" x14ac:dyDescent="0.2">
      <c r="B7" s="6" t="s">
        <v>12</v>
      </c>
      <c r="C7" s="6">
        <v>0</v>
      </c>
      <c r="D7" s="6">
        <v>1</v>
      </c>
      <c r="E7" s="6">
        <v>2</v>
      </c>
      <c r="F7" s="6">
        <v>3</v>
      </c>
      <c r="G7" s="6">
        <v>4</v>
      </c>
      <c r="H7" s="6">
        <v>5</v>
      </c>
    </row>
    <row r="8" spans="2:8" x14ac:dyDescent="0.2">
      <c r="B8" s="6" t="s">
        <v>13</v>
      </c>
      <c r="C8" s="7"/>
      <c r="D8" s="7">
        <f>PMT(C5,5,-C11)</f>
        <v>1385848.7887696086</v>
      </c>
      <c r="E8" s="7">
        <f>D8</f>
        <v>1385848.7887696086</v>
      </c>
      <c r="F8" s="7">
        <f t="shared" ref="F8:H8" si="0">E8</f>
        <v>1385848.7887696086</v>
      </c>
      <c r="G8" s="7">
        <f t="shared" si="0"/>
        <v>1385848.7887696086</v>
      </c>
      <c r="H8" s="7">
        <f t="shared" si="0"/>
        <v>1385848.7887696086</v>
      </c>
    </row>
    <row r="9" spans="2:8" x14ac:dyDescent="0.2">
      <c r="B9" s="6" t="s">
        <v>14</v>
      </c>
      <c r="C9" s="7"/>
      <c r="D9" s="7">
        <f>C11*$C$5</f>
        <v>300000</v>
      </c>
      <c r="E9" s="7">
        <f t="shared" ref="E9:H9" si="1">D11*$C$5</f>
        <v>245707.56056151958</v>
      </c>
      <c r="F9" s="7">
        <f t="shared" si="1"/>
        <v>188700.49915111513</v>
      </c>
      <c r="G9" s="7">
        <f t="shared" si="1"/>
        <v>128843.08467019045</v>
      </c>
      <c r="H9" s="7">
        <f t="shared" si="1"/>
        <v>65992.799465219534</v>
      </c>
    </row>
    <row r="10" spans="2:8" x14ac:dyDescent="0.2">
      <c r="B10" s="6" t="s">
        <v>5</v>
      </c>
      <c r="C10" s="7"/>
      <c r="D10" s="7">
        <f>D8-D9</f>
        <v>1085848.7887696086</v>
      </c>
      <c r="E10" s="7">
        <f t="shared" ref="E10:H10" si="2">E8-E9</f>
        <v>1140141.228208089</v>
      </c>
      <c r="F10" s="7">
        <f t="shared" si="2"/>
        <v>1197148.2896184935</v>
      </c>
      <c r="G10" s="7">
        <f t="shared" si="2"/>
        <v>1257005.7040994181</v>
      </c>
      <c r="H10" s="7">
        <f t="shared" si="2"/>
        <v>1319855.9893043891</v>
      </c>
    </row>
    <row r="11" spans="2:8" x14ac:dyDescent="0.2">
      <c r="B11" s="6" t="s">
        <v>15</v>
      </c>
      <c r="C11" s="7">
        <f>C3</f>
        <v>6000000</v>
      </c>
      <c r="D11" s="7">
        <f>C11-D10</f>
        <v>4914151.2112303916</v>
      </c>
      <c r="E11" s="7">
        <f t="shared" ref="E11:H11" si="3">D11-E10</f>
        <v>3774009.9830223024</v>
      </c>
      <c r="F11" s="7">
        <f t="shared" si="3"/>
        <v>2576861.6934038089</v>
      </c>
      <c r="G11" s="7">
        <f t="shared" si="3"/>
        <v>1319855.9893043907</v>
      </c>
      <c r="H11" s="7">
        <f t="shared" si="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58D26-289E-466C-A7D6-3EA97207B85E}">
  <dimension ref="B2:F9"/>
  <sheetViews>
    <sheetView workbookViewId="0">
      <selection activeCell="B8" sqref="B8"/>
    </sheetView>
  </sheetViews>
  <sheetFormatPr baseColWidth="10" defaultRowHeight="15" x14ac:dyDescent="0.2"/>
  <cols>
    <col min="2" max="2" width="19" customWidth="1"/>
  </cols>
  <sheetData>
    <row r="2" spans="2:6" ht="16" x14ac:dyDescent="0.2">
      <c r="B2" s="18" t="str">
        <f>FLUJO!B24</f>
        <v>VAN</v>
      </c>
      <c r="C2" s="5">
        <f>FLUJO!C24</f>
        <v>12665785.849844851</v>
      </c>
    </row>
    <row r="3" spans="2:6" ht="16" x14ac:dyDescent="0.2">
      <c r="B3" s="18" t="str">
        <f>FLUJO!B25</f>
        <v>TIR</v>
      </c>
      <c r="C3" s="16">
        <f>FLUJO!C25</f>
        <v>0.35596140469452919</v>
      </c>
    </row>
    <row r="4" spans="2:6" ht="16" x14ac:dyDescent="0.2">
      <c r="B4" s="18" t="str">
        <f>FLUJO!B26</f>
        <v>PAYBACK</v>
      </c>
      <c r="C4" s="17">
        <f>FLUJO!C26</f>
        <v>2.98</v>
      </c>
      <c r="D4" t="s">
        <v>25</v>
      </c>
    </row>
    <row r="5" spans="2:6" x14ac:dyDescent="0.2">
      <c r="B5" t="s">
        <v>28</v>
      </c>
      <c r="C5" s="20">
        <f>C2/-FLUJO!C15</f>
        <v>2.1109643083074752</v>
      </c>
    </row>
    <row r="6" spans="2:6" ht="16" x14ac:dyDescent="0.2">
      <c r="B6" s="19" t="s">
        <v>26</v>
      </c>
      <c r="C6" s="16">
        <f>FLUJO!C15/-FLUJO!C16</f>
        <v>1</v>
      </c>
    </row>
    <row r="7" spans="2:6" x14ac:dyDescent="0.2">
      <c r="B7" t="s">
        <v>4</v>
      </c>
      <c r="C7" s="3">
        <f>MAQUINARIA!C4</f>
        <v>1200000</v>
      </c>
    </row>
    <row r="8" spans="2:6" x14ac:dyDescent="0.2">
      <c r="B8" t="s">
        <v>29</v>
      </c>
      <c r="C8">
        <v>2</v>
      </c>
      <c r="D8">
        <v>3</v>
      </c>
      <c r="E8">
        <v>4</v>
      </c>
      <c r="F8">
        <v>5</v>
      </c>
    </row>
    <row r="9" spans="2:6" ht="32" x14ac:dyDescent="0.2">
      <c r="B9" s="19" t="s">
        <v>27</v>
      </c>
      <c r="C9" s="16">
        <f>FLUJO!E4/FLUJO!D4-1</f>
        <v>5.0000000000000044E-2</v>
      </c>
      <c r="D9" s="16">
        <f>FLUJO!F4/FLUJO!E4-1</f>
        <v>5.0000000000000044E-2</v>
      </c>
      <c r="E9" s="16">
        <f>FLUJO!G4/FLUJO!F4-1</f>
        <v>5.0000000000000044E-2</v>
      </c>
      <c r="F9" s="16">
        <f>FLUJO!H4/FLUJO!G4-1</f>
        <v>5.0000000000000044E-2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FLUJO</vt:lpstr>
      <vt:lpstr>MAQUINARIA</vt:lpstr>
      <vt:lpstr>Indicadores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56988</dc:creator>
  <cp:lastModifiedBy>Microsoft Office User</cp:lastModifiedBy>
  <dcterms:created xsi:type="dcterms:W3CDTF">2021-09-06T18:37:06Z</dcterms:created>
  <dcterms:modified xsi:type="dcterms:W3CDTF">2021-09-07T02:10:13Z</dcterms:modified>
</cp:coreProperties>
</file>