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\Real Documents\Engineering Projects\Senior-Design-VFD\Power-Factor-Correction\Design Files\"/>
    </mc:Choice>
  </mc:AlternateContent>
  <bookViews>
    <workbookView xWindow="0" yWindow="0" windowWidth="17925" windowHeight="97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9" i="1" s="1"/>
  <c r="H38" i="1" s="1"/>
  <c r="H8" i="1"/>
  <c r="H28" i="1"/>
  <c r="H22" i="1"/>
  <c r="H34" i="1" l="1"/>
  <c r="H35" i="1"/>
  <c r="H31" i="1"/>
  <c r="H30" i="1"/>
  <c r="H32" i="1" s="1"/>
  <c r="H39" i="1" s="1"/>
  <c r="H20" i="1"/>
  <c r="H18" i="1"/>
  <c r="H19" i="1" s="1"/>
  <c r="H21" i="1" s="1"/>
  <c r="H9" i="1"/>
  <c r="H36" i="1" l="1"/>
  <c r="H37" i="1" s="1"/>
</calcChain>
</file>

<file path=xl/sharedStrings.xml><?xml version="1.0" encoding="utf-8"?>
<sst xmlns="http://schemas.openxmlformats.org/spreadsheetml/2006/main" count="92" uniqueCount="76">
  <si>
    <t>Oscillator</t>
  </si>
  <si>
    <t xml:space="preserve">Frequency </t>
  </si>
  <si>
    <t xml:space="preserve">Capacitor CT </t>
  </si>
  <si>
    <t>Power Stage Design</t>
  </si>
  <si>
    <t>4.2.1</t>
  </si>
  <si>
    <t>Inductor Design</t>
  </si>
  <si>
    <t>Vin(min)</t>
  </si>
  <si>
    <t>Volts</t>
  </si>
  <si>
    <t>Vin(Max)</t>
  </si>
  <si>
    <t>Po(max)</t>
  </si>
  <si>
    <t>Watts</t>
  </si>
  <si>
    <t>(this is 1/2 Horsepower(372 watts) at 85% efficiency)</t>
  </si>
  <si>
    <t>Vo</t>
  </si>
  <si>
    <t>Ipk</t>
  </si>
  <si>
    <t>Amps</t>
  </si>
  <si>
    <t>(assuming 95% efficiency)</t>
  </si>
  <si>
    <t>I(Ripple)</t>
  </si>
  <si>
    <t>Assuming 20% Ripple Ratio</t>
  </si>
  <si>
    <t>Peak Current</t>
  </si>
  <si>
    <t>Inductor Current Ripple</t>
  </si>
  <si>
    <t>Conversion Ratio</t>
  </si>
  <si>
    <t>D</t>
  </si>
  <si>
    <t>Ratio</t>
  </si>
  <si>
    <t>L1</t>
  </si>
  <si>
    <t>Henries</t>
  </si>
  <si>
    <t>4.2.2</t>
  </si>
  <si>
    <t>Output Capacitor Selection</t>
  </si>
  <si>
    <t>Capacitor</t>
  </si>
  <si>
    <t>Co</t>
  </si>
  <si>
    <t>C3D06065I</t>
  </si>
  <si>
    <t>Power MOSFET &amp; Diode Selection</t>
  </si>
  <si>
    <t>MOSFET</t>
  </si>
  <si>
    <t>C3M0065090D</t>
  </si>
  <si>
    <t xml:space="preserve">Data Sheet  </t>
  </si>
  <si>
    <t>Diode</t>
  </si>
  <si>
    <t>Cree  MOSFET N-CH 900V 36A TO247-3 Silicon Carbide</t>
  </si>
  <si>
    <t>Cree  Diode Silicon Carbide Schottky 13A (DC) Through Hole TO-220-2 Isolated Tab</t>
  </si>
  <si>
    <t>4.2.3</t>
  </si>
  <si>
    <t>trr</t>
  </si>
  <si>
    <t>Diode Reverse Recovery</t>
  </si>
  <si>
    <t>Seconds</t>
  </si>
  <si>
    <t>4.3.1</t>
  </si>
  <si>
    <t>Resonant Inductor</t>
  </si>
  <si>
    <t>ZVT Circuit Design</t>
  </si>
  <si>
    <t>A/μs</t>
  </si>
  <si>
    <t>Lr</t>
  </si>
  <si>
    <t>IINp</t>
  </si>
  <si>
    <t>di/dt</t>
  </si>
  <si>
    <t>Diode recovery slew rate</t>
  </si>
  <si>
    <t>Peak resonant inductor current</t>
  </si>
  <si>
    <t>4.3.2</t>
  </si>
  <si>
    <t>Resonant Capacitor</t>
  </si>
  <si>
    <t>Cr</t>
  </si>
  <si>
    <t>pF</t>
  </si>
  <si>
    <t>Resonant Characteristic Impedance</t>
  </si>
  <si>
    <t>Resonant Frequency</t>
  </si>
  <si>
    <t>t12</t>
  </si>
  <si>
    <t>t01</t>
  </si>
  <si>
    <t>Period</t>
  </si>
  <si>
    <t>Dmin</t>
  </si>
  <si>
    <t>A practical Value of 1 Nano Seconds was used for diode recovery time. (SiC Diodes have no recovery time)</t>
  </si>
  <si>
    <t>Vo(min)</t>
  </si>
  <si>
    <t>The equivalent resonant capacitance is equal to the Coss (output capacitance) plus an additional capcitor in parallelle  with the main power MOSFET</t>
  </si>
  <si>
    <t xml:space="preserve">tZVT </t>
  </si>
  <si>
    <t>IRMS</t>
  </si>
  <si>
    <t>RMS Current of ZVT Switch</t>
  </si>
  <si>
    <t>Resonant Capacitance Related Equations</t>
  </si>
  <si>
    <t>ZVT Control Circuit</t>
  </si>
  <si>
    <t>R12</t>
  </si>
  <si>
    <t>1k</t>
  </si>
  <si>
    <t>Ohms</t>
  </si>
  <si>
    <t>C6</t>
  </si>
  <si>
    <t xml:space="preserve">This is part of the low pass filter that drives the ZVS pin. D6 needs to be selected and D13 needs to be a zener with a Max voltages of 7.5V </t>
  </si>
  <si>
    <t>Gate Drives</t>
  </si>
  <si>
    <t>3.1.1</t>
  </si>
  <si>
    <t>VRMS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</si>
</sst>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/>
    <xf numFmtId="0" fontId="3" fillId="0" borderId="13" xfId="0" applyFont="1" applyBorder="1"/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6</xdr:row>
      <xdr:rowOff>23812</xdr:rowOff>
    </xdr:from>
    <xdr:ext cx="1143870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866900" y="1166812"/>
              <a:ext cx="1143870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11200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66900" y="1166812"/>
              <a:ext cx="1143870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𝐶𝑇=1/(11200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×𝑓_𝑠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161925</xdr:colOff>
      <xdr:row>17</xdr:row>
      <xdr:rowOff>80962</xdr:rowOff>
    </xdr:from>
    <xdr:ext cx="1227131" cy="5264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43150" y="1804987"/>
              <a:ext cx="1227131" cy="5264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𝑃𝐾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𝑃𝑜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𝜂</m:t>
                            </m:r>
                          </m:den>
                        </m:f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𝐼𝑁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𝑚𝑖𝑛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43150" y="1804987"/>
              <a:ext cx="1227131" cy="5264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𝐼_𝑃𝐾=(2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×𝑃𝑜/𝜂)/(√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×𝑉_(𝐼𝑁(𝑚𝑖𝑛))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266700</xdr:colOff>
      <xdr:row>18</xdr:row>
      <xdr:rowOff>166687</xdr:rowOff>
    </xdr:from>
    <xdr:ext cx="10584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447925" y="2566987"/>
              <a:ext cx="1058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=0.2×(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447925" y="2566987"/>
              <a:ext cx="1058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𝐿=0.2×(𝐼_𝑃𝑘)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428625</xdr:colOff>
      <xdr:row>19</xdr:row>
      <xdr:rowOff>52387</xdr:rowOff>
    </xdr:from>
    <xdr:ext cx="862095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609850" y="2957512"/>
              <a:ext cx="86209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609850" y="2957512"/>
              <a:ext cx="86209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𝐷=  (𝑉_𝑂−𝑉_𝐼𝑁)/𝑉_𝑂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276225</xdr:colOff>
      <xdr:row>20</xdr:row>
      <xdr:rowOff>80962</xdr:rowOff>
    </xdr:from>
    <xdr:ext cx="1087414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419475" y="3424237"/>
              <a:ext cx="108741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419475" y="3424237"/>
              <a:ext cx="108741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𝐿=(𝑉_𝐼𝑁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×𝐷×𝑇_𝑆)/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304800</xdr:colOff>
      <xdr:row>21</xdr:row>
      <xdr:rowOff>128587</xdr:rowOff>
    </xdr:from>
    <xdr:ext cx="1069011" cy="3602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448050" y="3900487"/>
              <a:ext cx="1069011" cy="360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𝑀𝐼𝑁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448050" y="3900487"/>
              <a:ext cx="1069011" cy="360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𝐶_𝑂=(2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×𝑃_𝑂×𝑡_𝐻)/(</a:t>
              </a:r>
              <a:r>
                <a:rPr lang="en-US" sz="1100" b="0" i="0">
                  <a:latin typeface="Cambria Math" panose="02040503050406030204" pitchFamily="18" charset="0"/>
                </a:rPr>
                <a:t>𝑉_𝑂^2−𝑉_𝑀𝐼𝑁^2 )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466725</xdr:colOff>
      <xdr:row>26</xdr:row>
      <xdr:rowOff>61912</xdr:rowOff>
    </xdr:from>
    <xdr:ext cx="800860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609975" y="5548312"/>
              <a:ext cx="800860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𝑑𝑖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𝐼𝑁𝑝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𝑟𝑟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609975" y="5548312"/>
              <a:ext cx="800860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𝑑𝑖/𝑑𝑡=  𝐼_𝐼𝑁𝑝/(3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×𝑡_𝑟𝑟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381000</xdr:colOff>
      <xdr:row>27</xdr:row>
      <xdr:rowOff>142875</xdr:rowOff>
    </xdr:from>
    <xdr:ext cx="1152526" cy="295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524250" y="6067425"/>
              <a:ext cx="1152526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𝐼𝑁𝑝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𝑝𝑘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1100"/>
                <a:t>I</a:t>
              </a: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524250" y="6067425"/>
              <a:ext cx="1152526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𝐼_𝐼𝑁𝑝=𝐼_𝑝𝑘+1/2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</a:t>
              </a:r>
              <a:r>
                <a:rPr lang="en-US" sz="1100"/>
                <a:t>I</a:t>
              </a:r>
            </a:p>
          </xdr:txBody>
        </xdr:sp>
      </mc:Fallback>
    </mc:AlternateContent>
    <xdr:clientData/>
  </xdr:oneCellAnchor>
  <xdr:oneCellAnchor>
    <xdr:from>
      <xdr:col>4</xdr:col>
      <xdr:colOff>76200</xdr:colOff>
      <xdr:row>28</xdr:row>
      <xdr:rowOff>38101</xdr:rowOff>
    </xdr:from>
    <xdr:ext cx="1527151" cy="457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219450" y="6381751"/>
              <a:ext cx="1527151" cy="457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219450" y="6381751"/>
              <a:ext cx="1527151" cy="457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𝐿_𝑟=  𝑉_𝑂/((𝑑𝑖/𝑑𝑡))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542925</xdr:colOff>
      <xdr:row>29</xdr:row>
      <xdr:rowOff>42862</xdr:rowOff>
    </xdr:from>
    <xdr:ext cx="64793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686175" y="7091362"/>
              <a:ext cx="6479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686175" y="7091362"/>
              <a:ext cx="6479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𝑍_𝑛= √(𝐿_𝑟/𝐶_𝑟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419100</xdr:colOff>
      <xdr:row>30</xdr:row>
      <xdr:rowOff>52387</xdr:rowOff>
    </xdr:from>
    <xdr:ext cx="9636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3562350" y="7729537"/>
              <a:ext cx="9636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×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3562350" y="7729537"/>
              <a:ext cx="9636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√(1/(𝐿_𝑟  × 𝐶_𝑟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31</xdr:row>
      <xdr:rowOff>138112</xdr:rowOff>
    </xdr:from>
    <xdr:ext cx="1354666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3371850" y="8405812"/>
              <a:ext cx="1354666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: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3371850" y="8405812"/>
              <a:ext cx="1354666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𝐼_(:_𝑟= 𝐼_𝐼𝑁 )+𝑉_𝑂/𝑍_𝑛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×sin⁡(𝜔𝑡)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olfspeed.com/media/downloads/176/C3M0065090D.pdf" TargetMode="External"/><Relationship Id="rId2" Type="http://schemas.openxmlformats.org/officeDocument/2006/relationships/hyperlink" Target="https://www.digikey.com/product-detail/en/cree-wolfspeed/C3M0065090D/C3M0065090D-ND/5253283" TargetMode="External"/><Relationship Id="rId1" Type="http://schemas.openxmlformats.org/officeDocument/2006/relationships/hyperlink" Target="https://www.digikey.com/product-detail/en/cree-wolfspeed/C3D06065I/C3D06065I-ND/5067191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wolfspeed.com/media/downloads/44/C3D06065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2"/>
  <sheetViews>
    <sheetView tabSelected="1" zoomScale="85" zoomScaleNormal="85" workbookViewId="0">
      <selection activeCell="P15" sqref="P15"/>
    </sheetView>
  </sheetViews>
  <sheetFormatPr defaultRowHeight="15" x14ac:dyDescent="0.25"/>
  <cols>
    <col min="3" max="4" width="14.42578125" customWidth="1"/>
    <col min="6" max="6" width="16.5703125" customWidth="1"/>
    <col min="7" max="7" width="12.28515625" bestFit="1" customWidth="1"/>
    <col min="8" max="8" width="18.5703125" bestFit="1" customWidth="1"/>
    <col min="9" max="9" width="9.140625" customWidth="1"/>
    <col min="12" max="12" width="11.140625" customWidth="1"/>
  </cols>
  <sheetData>
    <row r="1" spans="2:15" x14ac:dyDescent="0.25">
      <c r="G1" t="s">
        <v>6</v>
      </c>
      <c r="H1">
        <v>85</v>
      </c>
      <c r="I1" t="s">
        <v>7</v>
      </c>
    </row>
    <row r="2" spans="2:15" x14ac:dyDescent="0.25">
      <c r="G2" t="s">
        <v>8</v>
      </c>
      <c r="H2">
        <v>270</v>
      </c>
      <c r="I2" t="s">
        <v>7</v>
      </c>
    </row>
    <row r="3" spans="2:15" x14ac:dyDescent="0.25">
      <c r="G3" t="s">
        <v>9</v>
      </c>
      <c r="H3">
        <v>440</v>
      </c>
      <c r="I3" t="s">
        <v>10</v>
      </c>
      <c r="J3" s="67" t="s">
        <v>11</v>
      </c>
      <c r="K3" s="67"/>
      <c r="L3" s="67"/>
      <c r="M3" s="67"/>
      <c r="N3" s="67"/>
      <c r="O3" s="67"/>
    </row>
    <row r="4" spans="2:15" x14ac:dyDescent="0.25">
      <c r="G4" t="s">
        <v>12</v>
      </c>
      <c r="H4">
        <v>350</v>
      </c>
      <c r="I4" t="s">
        <v>7</v>
      </c>
    </row>
    <row r="6" spans="2:15" x14ac:dyDescent="0.25">
      <c r="B6" s="1"/>
      <c r="C6" s="1"/>
      <c r="D6" s="1"/>
      <c r="E6" s="1"/>
      <c r="F6" s="1"/>
      <c r="G6" s="1"/>
      <c r="H6" s="1"/>
      <c r="I6" s="1"/>
    </row>
    <row r="7" spans="2:15" x14ac:dyDescent="0.25">
      <c r="B7" s="46">
        <v>2.2000000000000002</v>
      </c>
      <c r="C7" s="46" t="s">
        <v>0</v>
      </c>
      <c r="D7" s="6"/>
      <c r="E7" s="49"/>
      <c r="F7" s="49"/>
      <c r="G7" t="s">
        <v>1</v>
      </c>
      <c r="H7">
        <v>500000</v>
      </c>
    </row>
    <row r="8" spans="2:15" x14ac:dyDescent="0.25">
      <c r="B8" s="46"/>
      <c r="C8" s="46"/>
      <c r="D8" s="14"/>
      <c r="E8" s="49"/>
      <c r="F8" s="49"/>
      <c r="G8" t="s">
        <v>58</v>
      </c>
      <c r="H8">
        <f>1/H7</f>
        <v>1.9999999999999999E-6</v>
      </c>
    </row>
    <row r="9" spans="2:15" ht="15.75" thickBot="1" x14ac:dyDescent="0.3">
      <c r="B9" s="58"/>
      <c r="C9" s="58"/>
      <c r="D9" s="16"/>
      <c r="E9" s="59"/>
      <c r="F9" s="59"/>
      <c r="G9" s="17" t="s">
        <v>2</v>
      </c>
      <c r="H9" s="17">
        <f>1/(11200*H7)</f>
        <v>1.7857142857142858E-10</v>
      </c>
      <c r="I9" s="17"/>
    </row>
    <row r="10" spans="2:15" ht="33.75" customHeight="1" thickTop="1" x14ac:dyDescent="0.25">
      <c r="B10" s="74">
        <v>2.2999999999999998</v>
      </c>
      <c r="C10" s="74" t="s">
        <v>67</v>
      </c>
      <c r="D10" s="14" t="s">
        <v>68</v>
      </c>
      <c r="E10" s="13"/>
      <c r="F10" s="13"/>
      <c r="G10" s="21"/>
      <c r="H10" s="21" t="s">
        <v>69</v>
      </c>
      <c r="I10" s="21" t="s">
        <v>70</v>
      </c>
      <c r="J10" s="42" t="s">
        <v>72</v>
      </c>
      <c r="K10" s="42"/>
      <c r="L10" s="42"/>
      <c r="M10" s="42"/>
      <c r="N10" s="42"/>
      <c r="O10" s="42"/>
    </row>
    <row r="11" spans="2:15" ht="15.75" thickBot="1" x14ac:dyDescent="0.3">
      <c r="B11" s="51"/>
      <c r="C11" s="51"/>
      <c r="D11" s="24" t="s">
        <v>71</v>
      </c>
      <c r="E11" s="39"/>
      <c r="F11" s="39"/>
      <c r="G11" s="25"/>
      <c r="H11" s="40">
        <v>1000</v>
      </c>
      <c r="I11" s="25" t="s">
        <v>53</v>
      </c>
      <c r="J11" s="42"/>
      <c r="K11" s="42"/>
      <c r="L11" s="42"/>
      <c r="M11" s="42"/>
      <c r="N11" s="42"/>
      <c r="O11" s="42"/>
    </row>
    <row r="12" spans="2:15" ht="15.75" thickBot="1" x14ac:dyDescent="0.3">
      <c r="B12" s="41">
        <v>3</v>
      </c>
      <c r="C12" s="70" t="s">
        <v>73</v>
      </c>
      <c r="D12" s="70"/>
      <c r="E12" s="70"/>
      <c r="F12" s="70"/>
      <c r="G12" s="70"/>
      <c r="H12" s="70"/>
      <c r="I12" s="70"/>
      <c r="J12" s="19"/>
      <c r="K12" s="19"/>
      <c r="L12" s="19"/>
      <c r="M12" s="19"/>
      <c r="N12" s="19"/>
      <c r="O12" s="19"/>
    </row>
    <row r="13" spans="2:15" ht="15.75" thickTop="1" x14ac:dyDescent="0.25">
      <c r="B13" s="22" t="s">
        <v>74</v>
      </c>
      <c r="C13" s="22" t="s">
        <v>75</v>
      </c>
      <c r="D13" s="14"/>
      <c r="E13" s="13"/>
      <c r="F13" s="13"/>
      <c r="G13" s="21"/>
      <c r="H13" s="38"/>
      <c r="I13" s="21"/>
      <c r="J13" s="19"/>
      <c r="K13" s="19"/>
      <c r="L13" s="19"/>
      <c r="M13" s="19"/>
      <c r="N13" s="19"/>
      <c r="O13" s="19"/>
    </row>
    <row r="14" spans="2:15" x14ac:dyDescent="0.25">
      <c r="B14" s="22"/>
      <c r="C14" s="22"/>
      <c r="D14" s="14"/>
      <c r="E14" s="13"/>
      <c r="F14" s="13"/>
      <c r="G14" s="21"/>
      <c r="H14" s="38"/>
      <c r="I14" s="21"/>
      <c r="J14" s="19"/>
      <c r="K14" s="19"/>
      <c r="L14" s="19"/>
      <c r="M14" s="19"/>
      <c r="N14" s="19"/>
      <c r="O14" s="19"/>
    </row>
    <row r="15" spans="2:15" x14ac:dyDescent="0.25">
      <c r="B15" s="22"/>
      <c r="C15" s="22"/>
      <c r="D15" s="14"/>
      <c r="E15" s="13"/>
      <c r="F15" s="13"/>
      <c r="G15" s="21"/>
      <c r="H15" s="38"/>
      <c r="I15" s="21"/>
      <c r="J15" s="19"/>
      <c r="K15" s="19"/>
      <c r="L15" s="19"/>
      <c r="M15" s="19"/>
      <c r="N15" s="19"/>
      <c r="O15" s="19"/>
    </row>
    <row r="16" spans="2:15" x14ac:dyDescent="0.25">
      <c r="B16" s="14"/>
      <c r="C16" s="14"/>
      <c r="D16" s="14"/>
      <c r="E16" s="13"/>
      <c r="F16" s="13"/>
      <c r="G16" s="21"/>
      <c r="H16" s="21"/>
      <c r="I16" s="21"/>
    </row>
    <row r="17" spans="2:15" ht="15.75" thickBot="1" x14ac:dyDescent="0.3">
      <c r="B17" s="3">
        <v>4.2</v>
      </c>
      <c r="C17" s="71" t="s">
        <v>3</v>
      </c>
      <c r="D17" s="71"/>
      <c r="E17" s="71"/>
      <c r="F17" s="71"/>
      <c r="G17" s="71"/>
      <c r="H17" s="71"/>
      <c r="I17" s="2"/>
    </row>
    <row r="18" spans="2:15" ht="53.25" customHeight="1" thickTop="1" x14ac:dyDescent="0.25">
      <c r="B18" s="72" t="s">
        <v>4</v>
      </c>
      <c r="C18" s="74" t="s">
        <v>5</v>
      </c>
      <c r="D18" s="8" t="s">
        <v>18</v>
      </c>
      <c r="E18" s="68"/>
      <c r="F18" s="68"/>
      <c r="G18" s="4" t="s">
        <v>13</v>
      </c>
      <c r="H18" s="4">
        <f>(SQRT(2)*(H3/0.95))/H1</f>
        <v>7.7059314853766185</v>
      </c>
      <c r="I18" s="12" t="s">
        <v>14</v>
      </c>
      <c r="J18" s="66" t="s">
        <v>15</v>
      </c>
      <c r="K18" s="66"/>
      <c r="L18" s="66"/>
      <c r="M18" s="66"/>
      <c r="N18" s="66"/>
      <c r="O18" s="66"/>
    </row>
    <row r="19" spans="2:15" ht="39.75" customHeight="1" x14ac:dyDescent="0.25">
      <c r="B19" s="73"/>
      <c r="C19" s="75"/>
      <c r="D19" s="9" t="s">
        <v>19</v>
      </c>
      <c r="E19" s="48"/>
      <c r="F19" s="48"/>
      <c r="G19" s="5" t="s">
        <v>16</v>
      </c>
      <c r="H19" s="5">
        <f>0.2*H18</f>
        <v>1.5411862970753238</v>
      </c>
      <c r="I19" s="7" t="s">
        <v>14</v>
      </c>
      <c r="J19" s="69" t="s">
        <v>17</v>
      </c>
      <c r="K19" s="69"/>
      <c r="L19" s="69"/>
      <c r="M19" s="69"/>
      <c r="N19" s="69"/>
      <c r="O19" s="69"/>
    </row>
    <row r="20" spans="2:15" ht="34.5" customHeight="1" x14ac:dyDescent="0.25">
      <c r="D20" s="9" t="s">
        <v>20</v>
      </c>
      <c r="E20" s="48"/>
      <c r="F20" s="48"/>
      <c r="G20" s="10" t="s">
        <v>21</v>
      </c>
      <c r="H20" s="10">
        <f>(H4-SQRT(2)*H1)/H4</f>
        <v>0.65654813485224828</v>
      </c>
      <c r="I20" s="10" t="s">
        <v>22</v>
      </c>
      <c r="J20" s="11"/>
      <c r="K20" s="11"/>
      <c r="L20" s="11"/>
      <c r="M20" s="11"/>
      <c r="N20" s="11"/>
      <c r="O20" s="11"/>
    </row>
    <row r="21" spans="2:15" ht="33.75" customHeight="1" thickBot="1" x14ac:dyDescent="0.3">
      <c r="B21" s="25"/>
      <c r="C21" s="25"/>
      <c r="D21" s="25"/>
      <c r="E21" s="64"/>
      <c r="F21" s="64"/>
      <c r="G21" s="24" t="s">
        <v>23</v>
      </c>
      <c r="H21" s="24">
        <f>(SQRT(2)*H1*(0.71*(1/H7)))/H19</f>
        <v>1.1075596590909088E-4</v>
      </c>
      <c r="I21" s="24" t="s">
        <v>24</v>
      </c>
      <c r="J21" s="65"/>
      <c r="K21" s="65"/>
      <c r="L21" s="65"/>
      <c r="M21" s="65"/>
      <c r="N21" s="65"/>
      <c r="O21" s="65"/>
    </row>
    <row r="22" spans="2:15" ht="45.75" customHeight="1" thickBot="1" x14ac:dyDescent="0.3">
      <c r="B22" s="26" t="s">
        <v>25</v>
      </c>
      <c r="C22" s="29" t="s">
        <v>26</v>
      </c>
      <c r="D22" s="26" t="s">
        <v>27</v>
      </c>
      <c r="E22" s="60"/>
      <c r="F22" s="60"/>
      <c r="G22" s="26" t="s">
        <v>28</v>
      </c>
      <c r="H22" s="27">
        <f>(2*H3*(1/60))/(H4^2-(H4*0.875)^2)</f>
        <v>5.1083900226757363E-4</v>
      </c>
      <c r="I22" s="28"/>
    </row>
    <row r="23" spans="2:15" ht="24" customHeight="1" x14ac:dyDescent="0.25">
      <c r="B23" s="46" t="s">
        <v>37</v>
      </c>
      <c r="C23" s="44" t="s">
        <v>30</v>
      </c>
      <c r="D23" s="20" t="s">
        <v>31</v>
      </c>
      <c r="E23" s="61" t="s">
        <v>35</v>
      </c>
      <c r="F23" s="61"/>
      <c r="G23" s="61"/>
      <c r="H23" s="61"/>
      <c r="I23" s="1"/>
      <c r="J23" s="62" t="s">
        <v>32</v>
      </c>
      <c r="K23" s="62"/>
      <c r="L23" t="s">
        <v>33</v>
      </c>
      <c r="M23" s="62" t="s">
        <v>32</v>
      </c>
      <c r="N23" s="62"/>
    </row>
    <row r="24" spans="2:15" ht="33" customHeight="1" x14ac:dyDescent="0.25">
      <c r="B24" s="46"/>
      <c r="C24" s="44"/>
      <c r="D24" s="55" t="s">
        <v>34</v>
      </c>
      <c r="E24" s="63" t="s">
        <v>36</v>
      </c>
      <c r="F24" s="63"/>
      <c r="G24" s="63"/>
      <c r="H24" s="63"/>
      <c r="J24" s="62" t="s">
        <v>29</v>
      </c>
      <c r="K24" s="62"/>
      <c r="L24" t="s">
        <v>33</v>
      </c>
      <c r="M24" s="62" t="s">
        <v>29</v>
      </c>
      <c r="N24" s="62"/>
    </row>
    <row r="25" spans="2:15" ht="15.75" thickBot="1" x14ac:dyDescent="0.3">
      <c r="B25" s="58"/>
      <c r="C25" s="57"/>
      <c r="D25" s="56"/>
      <c r="E25" s="59" t="s">
        <v>39</v>
      </c>
      <c r="F25" s="59"/>
      <c r="G25" s="23" t="s">
        <v>38</v>
      </c>
      <c r="H25" s="17">
        <v>0</v>
      </c>
      <c r="I25" s="17" t="s">
        <v>40</v>
      </c>
    </row>
    <row r="26" spans="2:15" ht="16.5" thickTop="1" thickBot="1" x14ac:dyDescent="0.3">
      <c r="B26" s="30">
        <v>4.3</v>
      </c>
      <c r="C26" s="53" t="s">
        <v>43</v>
      </c>
      <c r="D26" s="53"/>
      <c r="E26" s="53"/>
      <c r="F26" s="53"/>
      <c r="G26" s="53"/>
      <c r="H26" s="53"/>
      <c r="I26" s="53"/>
    </row>
    <row r="27" spans="2:15" ht="34.5" customHeight="1" x14ac:dyDescent="0.25">
      <c r="B27" s="45" t="s">
        <v>41</v>
      </c>
      <c r="C27" s="43" t="s">
        <v>42</v>
      </c>
      <c r="D27" s="33" t="s">
        <v>48</v>
      </c>
      <c r="E27" s="54"/>
      <c r="F27" s="54"/>
      <c r="G27" s="31" t="s">
        <v>47</v>
      </c>
      <c r="H27" s="31">
        <f>(H28/(3*1*10^-9))</f>
        <v>2825508211.30476</v>
      </c>
      <c r="I27" s="32" t="s">
        <v>44</v>
      </c>
      <c r="J27" s="47" t="s">
        <v>60</v>
      </c>
      <c r="K27" s="47"/>
      <c r="L27" s="47"/>
      <c r="M27" s="47"/>
      <c r="N27" s="47"/>
      <c r="O27" s="47"/>
    </row>
    <row r="28" spans="2:15" ht="44.25" customHeight="1" x14ac:dyDescent="0.25">
      <c r="B28" s="46"/>
      <c r="C28" s="44"/>
      <c r="D28" s="9" t="s">
        <v>49</v>
      </c>
      <c r="E28" s="48"/>
      <c r="F28" s="48"/>
      <c r="G28" s="11" t="s">
        <v>46</v>
      </c>
      <c r="H28" s="11">
        <f>H18+0.5*H19</f>
        <v>8.4765246339142806</v>
      </c>
      <c r="I28" s="11" t="s">
        <v>14</v>
      </c>
    </row>
    <row r="29" spans="2:15" ht="44.25" customHeight="1" x14ac:dyDescent="0.25">
      <c r="B29" s="46"/>
      <c r="C29" s="44"/>
      <c r="D29" s="9" t="s">
        <v>42</v>
      </c>
      <c r="E29" s="48"/>
      <c r="F29" s="48"/>
      <c r="G29" s="11" t="s">
        <v>45</v>
      </c>
      <c r="H29" s="11">
        <f>H4/H27</f>
        <v>1.2387152109474047E-7</v>
      </c>
      <c r="I29" s="11" t="s">
        <v>24</v>
      </c>
    </row>
    <row r="30" spans="2:15" ht="49.5" customHeight="1" x14ac:dyDescent="0.25">
      <c r="B30" s="46"/>
      <c r="C30" s="44"/>
      <c r="D30" s="9" t="s">
        <v>54</v>
      </c>
      <c r="E30" s="48"/>
      <c r="F30" s="48"/>
      <c r="G30" s="11"/>
      <c r="H30" s="11">
        <f>SQRT(H29/(H33*10^-12))</f>
        <v>32.128844918382981</v>
      </c>
      <c r="I30" s="11"/>
    </row>
    <row r="31" spans="2:15" ht="46.5" customHeight="1" x14ac:dyDescent="0.25">
      <c r="B31" s="46"/>
      <c r="C31" s="44"/>
      <c r="D31" s="9" t="s">
        <v>55</v>
      </c>
      <c r="E31" s="48"/>
      <c r="F31" s="48"/>
      <c r="G31" s="11"/>
      <c r="H31" s="11">
        <f>SQRT(1/(H29*(H33*10^-12)))</f>
        <v>259372328.96179521</v>
      </c>
      <c r="I31" s="11"/>
    </row>
    <row r="32" spans="2:15" ht="42.75" customHeight="1" thickBot="1" x14ac:dyDescent="0.3">
      <c r="B32" s="52"/>
      <c r="C32" s="51"/>
      <c r="D32" s="34" t="s">
        <v>49</v>
      </c>
      <c r="E32" s="49"/>
      <c r="F32" s="50"/>
      <c r="G32" s="25"/>
      <c r="H32" s="25">
        <f>H18+(H4/H30)</f>
        <v>18.599569301772018</v>
      </c>
      <c r="I32" s="25"/>
    </row>
    <row r="33" spans="2:15" ht="49.5" customHeight="1" x14ac:dyDescent="0.25">
      <c r="B33" s="45" t="s">
        <v>50</v>
      </c>
      <c r="C33" s="43" t="s">
        <v>66</v>
      </c>
      <c r="D33" s="36" t="s">
        <v>51</v>
      </c>
      <c r="E33" s="37"/>
      <c r="G33" t="s">
        <v>52</v>
      </c>
      <c r="H33">
        <v>120</v>
      </c>
      <c r="I33" t="s">
        <v>53</v>
      </c>
      <c r="J33" s="42" t="s">
        <v>62</v>
      </c>
      <c r="K33" s="42"/>
      <c r="L33" s="42"/>
      <c r="M33" s="42"/>
      <c r="N33" s="42"/>
      <c r="O33" s="42"/>
    </row>
    <row r="34" spans="2:15" x14ac:dyDescent="0.25">
      <c r="B34" s="46"/>
      <c r="C34" s="44"/>
      <c r="G34" t="s">
        <v>57</v>
      </c>
      <c r="H34">
        <f>H18/(H4/H29)</f>
        <v>2.7272727272727274E-9</v>
      </c>
      <c r="I34" t="s">
        <v>40</v>
      </c>
    </row>
    <row r="35" spans="2:15" x14ac:dyDescent="0.25">
      <c r="B35" s="46"/>
      <c r="C35" s="44"/>
      <c r="G35" t="s">
        <v>56</v>
      </c>
      <c r="H35">
        <f>(PI()/2)*SQRT(H29*(H33*10^-12))</f>
        <v>6.056144589835064E-9</v>
      </c>
      <c r="I35" t="s">
        <v>40</v>
      </c>
    </row>
    <row r="36" spans="2:15" x14ac:dyDescent="0.25">
      <c r="B36" s="46"/>
      <c r="C36" s="44"/>
      <c r="G36" t="s">
        <v>59</v>
      </c>
      <c r="H36">
        <f>(H34+H35+1*10^-9)/H8</f>
        <v>4.8917086585538961E-3</v>
      </c>
    </row>
    <row r="37" spans="2:15" x14ac:dyDescent="0.25">
      <c r="B37" s="46"/>
      <c r="C37" s="44"/>
      <c r="G37" t="s">
        <v>61</v>
      </c>
      <c r="H37">
        <f>H2/(1-H36)</f>
        <v>271.32725387709223</v>
      </c>
      <c r="I37" t="s">
        <v>7</v>
      </c>
    </row>
    <row r="38" spans="2:15" x14ac:dyDescent="0.25">
      <c r="B38" s="46"/>
      <c r="C38" s="44"/>
      <c r="G38" t="s">
        <v>63</v>
      </c>
      <c r="H38">
        <f>( (H28*H29)/H4)+(PI()/2)*SQRT(H29*(H33*10^-12))</f>
        <v>9.0561445898350636E-9</v>
      </c>
      <c r="I38" t="s">
        <v>40</v>
      </c>
    </row>
    <row r="39" spans="2:15" ht="68.25" customHeight="1" x14ac:dyDescent="0.25">
      <c r="B39" s="46"/>
      <c r="C39" s="44"/>
      <c r="D39" s="15" t="s">
        <v>65</v>
      </c>
      <c r="G39" t="s">
        <v>64</v>
      </c>
      <c r="H39">
        <f>H32*SQRT(H38/H8)</f>
        <v>1.2515827353126463</v>
      </c>
      <c r="I39" t="s">
        <v>14</v>
      </c>
    </row>
    <row r="40" spans="2:15" x14ac:dyDescent="0.25">
      <c r="B40" s="35"/>
      <c r="C40" s="18"/>
    </row>
    <row r="41" spans="2:15" ht="15.75" thickBot="1" x14ac:dyDescent="0.3">
      <c r="B41" s="17"/>
      <c r="C41" s="17"/>
      <c r="D41" s="17"/>
      <c r="E41" s="17"/>
      <c r="F41" s="17"/>
      <c r="G41" s="17"/>
      <c r="H41" s="17"/>
      <c r="I41" s="17"/>
    </row>
    <row r="42" spans="2:15" ht="15.75" thickTop="1" x14ac:dyDescent="0.25"/>
  </sheetData>
  <mergeCells count="42">
    <mergeCell ref="B7:B9"/>
    <mergeCell ref="C17:H17"/>
    <mergeCell ref="B18:B19"/>
    <mergeCell ref="C18:C19"/>
    <mergeCell ref="B10:B11"/>
    <mergeCell ref="C10:C11"/>
    <mergeCell ref="E21:F21"/>
    <mergeCell ref="J21:O21"/>
    <mergeCell ref="J18:O18"/>
    <mergeCell ref="J3:O3"/>
    <mergeCell ref="E18:F18"/>
    <mergeCell ref="E19:F19"/>
    <mergeCell ref="J19:O19"/>
    <mergeCell ref="E20:F20"/>
    <mergeCell ref="E7:F9"/>
    <mergeCell ref="J10:O11"/>
    <mergeCell ref="C12:I12"/>
    <mergeCell ref="C7:C9"/>
    <mergeCell ref="B23:B25"/>
    <mergeCell ref="E25:F25"/>
    <mergeCell ref="E22:F22"/>
    <mergeCell ref="E23:H23"/>
    <mergeCell ref="M23:N23"/>
    <mergeCell ref="M24:N24"/>
    <mergeCell ref="J24:K24"/>
    <mergeCell ref="J23:K23"/>
    <mergeCell ref="E24:H24"/>
    <mergeCell ref="C26:I26"/>
    <mergeCell ref="E27:F27"/>
    <mergeCell ref="E28:F28"/>
    <mergeCell ref="E29:F29"/>
    <mergeCell ref="D24:D25"/>
    <mergeCell ref="C23:C25"/>
    <mergeCell ref="J33:O33"/>
    <mergeCell ref="C33:C39"/>
    <mergeCell ref="B33:B39"/>
    <mergeCell ref="J27:O27"/>
    <mergeCell ref="E30:F30"/>
    <mergeCell ref="E32:F32"/>
    <mergeCell ref="E31:F31"/>
    <mergeCell ref="C27:C32"/>
    <mergeCell ref="B27:B32"/>
  </mergeCells>
  <hyperlinks>
    <hyperlink ref="J24" r:id="rId1" display="https://www.digikey.com/product-detail/en/cree-wolfspeed/C3D06065I/C3D06065I-ND/5067191"/>
    <hyperlink ref="J23" r:id="rId2" display="https://www.digikey.com/product-detail/en/cree-wolfspeed/C3M0065090D/C3M0065090D-ND/5253283"/>
    <hyperlink ref="M23" r:id="rId3" display="http://www.wolfspeed.com/media/downloads/176/C3M0065090D.pdf"/>
    <hyperlink ref="M24" r:id="rId4" display="http://www.wolfspeed.com/media/downloads/44/C3D06065I.pdf"/>
  </hyperlinks>
  <pageMargins left="0.7" right="0.7" top="0.75" bottom="0.75" header="0.3" footer="0.3"/>
  <pageSetup scale="76" orientation="landscape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</dc:creator>
  <cp:lastModifiedBy>Tv</cp:lastModifiedBy>
  <cp:lastPrinted>2017-04-17T16:39:47Z</cp:lastPrinted>
  <dcterms:created xsi:type="dcterms:W3CDTF">2017-04-16T23:18:26Z</dcterms:created>
  <dcterms:modified xsi:type="dcterms:W3CDTF">2017-08-11T19:49:14Z</dcterms:modified>
</cp:coreProperties>
</file>