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\Real Documents\Engineering Projects\Senior-Design-VFD\Power-Factor-Correction\Design Files\"/>
    </mc:Choice>
  </mc:AlternateContent>
  <bookViews>
    <workbookView xWindow="0" yWindow="0" windowWidth="179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50" i="1"/>
  <c r="H49" i="1"/>
  <c r="H44" i="1"/>
  <c r="H48" i="1" s="1"/>
  <c r="H20" i="1"/>
  <c r="H18" i="1"/>
  <c r="H17" i="1"/>
  <c r="H16" i="1"/>
  <c r="H15" i="1"/>
  <c r="H8" i="1" l="1"/>
  <c r="H26" i="1"/>
  <c r="H24" i="1" l="1"/>
  <c r="H22" i="1"/>
  <c r="H9" i="1"/>
  <c r="H23" i="1" l="1"/>
  <c r="H25" i="1" s="1"/>
  <c r="H32" i="1" l="1"/>
  <c r="H31" i="1" s="1"/>
  <c r="H33" i="1" s="1"/>
  <c r="H42" i="1" l="1"/>
  <c r="H35" i="1"/>
  <c r="H39" i="1"/>
  <c r="H34" i="1"/>
  <c r="H36" i="1" s="1"/>
  <c r="H38" i="1"/>
  <c r="H43" i="1" l="1"/>
  <c r="H40" i="1"/>
  <c r="H41" i="1" s="1"/>
</calcChain>
</file>

<file path=xl/sharedStrings.xml><?xml version="1.0" encoding="utf-8"?>
<sst xmlns="http://schemas.openxmlformats.org/spreadsheetml/2006/main" count="138" uniqueCount="108">
  <si>
    <t>Oscillator</t>
  </si>
  <si>
    <t xml:space="preserve">Frequency </t>
  </si>
  <si>
    <t xml:space="preserve">Capacitor CT </t>
  </si>
  <si>
    <t>Power Stage Design</t>
  </si>
  <si>
    <t>4.2.1</t>
  </si>
  <si>
    <t>Inductor Design</t>
  </si>
  <si>
    <t>Vin(min)</t>
  </si>
  <si>
    <t>Volts</t>
  </si>
  <si>
    <t>Vin(Max)</t>
  </si>
  <si>
    <t>Po(max)</t>
  </si>
  <si>
    <t>Watts</t>
  </si>
  <si>
    <t>(this is 1/2 Horsepower(372 watts) at 85% efficiency)</t>
  </si>
  <si>
    <t>Vo</t>
  </si>
  <si>
    <t>Ipk</t>
  </si>
  <si>
    <t>Amps</t>
  </si>
  <si>
    <t>(assuming 95% efficiency)</t>
  </si>
  <si>
    <t>I(Ripple)</t>
  </si>
  <si>
    <t>Assuming 20% Ripple Ratio</t>
  </si>
  <si>
    <t>Peak Current</t>
  </si>
  <si>
    <t>Inductor Current Ripple</t>
  </si>
  <si>
    <t>Conversion Ratio</t>
  </si>
  <si>
    <t>D</t>
  </si>
  <si>
    <t>Ratio</t>
  </si>
  <si>
    <t>L1</t>
  </si>
  <si>
    <t>Henries</t>
  </si>
  <si>
    <t>4.2.2</t>
  </si>
  <si>
    <t>Output Capacitor Selection</t>
  </si>
  <si>
    <t>Capacitor</t>
  </si>
  <si>
    <t>Co</t>
  </si>
  <si>
    <t>C3D06065I</t>
  </si>
  <si>
    <t>Power MOSFET &amp; Diode Selection</t>
  </si>
  <si>
    <t>MOSFET</t>
  </si>
  <si>
    <t>C3M0065090D</t>
  </si>
  <si>
    <t xml:space="preserve">Data Sheet  </t>
  </si>
  <si>
    <t>Diode</t>
  </si>
  <si>
    <t>Cree  MOSFET N-CH 900V 36A TO247-3 Silicon Carbide</t>
  </si>
  <si>
    <t>Cree  Diode Silicon Carbide Schottky 13A (DC) Through Hole TO-220-2 Isolated Tab</t>
  </si>
  <si>
    <t>4.2.3</t>
  </si>
  <si>
    <t>trr</t>
  </si>
  <si>
    <t>Diode Reverse Recovery</t>
  </si>
  <si>
    <t>Seconds</t>
  </si>
  <si>
    <t>4.3.1</t>
  </si>
  <si>
    <t>Resonant Inductor</t>
  </si>
  <si>
    <t>ZVT Circuit Design</t>
  </si>
  <si>
    <t>A/μs</t>
  </si>
  <si>
    <t>Lr</t>
  </si>
  <si>
    <t>IINp</t>
  </si>
  <si>
    <t>di/dt</t>
  </si>
  <si>
    <t>Diode recovery slew rate</t>
  </si>
  <si>
    <t>Peak resonant inductor current</t>
  </si>
  <si>
    <t>4.3.2</t>
  </si>
  <si>
    <t>Resonant Capacitor</t>
  </si>
  <si>
    <t>Cr</t>
  </si>
  <si>
    <t>pF</t>
  </si>
  <si>
    <t>Resonant Characteristic Impedance</t>
  </si>
  <si>
    <t>Resonant Frequency</t>
  </si>
  <si>
    <t>t12</t>
  </si>
  <si>
    <t>t01</t>
  </si>
  <si>
    <t>Period</t>
  </si>
  <si>
    <t>Dmin</t>
  </si>
  <si>
    <t>A practical Value of 1 Nano Seconds was used for diode recovery time. (SiC Diodes have no recovery time)</t>
  </si>
  <si>
    <t>Vo(min)</t>
  </si>
  <si>
    <t>The equivalent resonant capacitance is equal to the Coss (output capacitance) plus an additional capcitor in parallelle  with the main power MOSFET</t>
  </si>
  <si>
    <t xml:space="preserve">tZVT </t>
  </si>
  <si>
    <t>IRMS</t>
  </si>
  <si>
    <t>RMS Current of ZVT Switch</t>
  </si>
  <si>
    <t>Resonant Capacitance Related Equations</t>
  </si>
  <si>
    <t>ZVT Control Circuit</t>
  </si>
  <si>
    <t>R12</t>
  </si>
  <si>
    <t>1k</t>
  </si>
  <si>
    <t>Ohms</t>
  </si>
  <si>
    <t>C6</t>
  </si>
  <si>
    <t xml:space="preserve">This is part of the low pass filter that drives the ZVS pin. D6 needs to be selected and D13 needs to be a zener with a Max voltages of 7.5V </t>
  </si>
  <si>
    <t>Gate Drives</t>
  </si>
  <si>
    <t>3.1.1</t>
  </si>
  <si>
    <t>VRMS</t>
  </si>
  <si>
    <t>Current Synthesizer</t>
  </si>
  <si>
    <t>3.1.2</t>
  </si>
  <si>
    <t>3.1.3</t>
  </si>
  <si>
    <t>IAC</t>
  </si>
  <si>
    <r>
      <rPr>
        <sz val="11"/>
        <color theme="1"/>
        <rFont val="Calibri"/>
        <family val="2"/>
      </rPr>
      <t>µ</t>
    </r>
    <r>
      <rPr>
        <sz val="9.35"/>
        <color theme="1"/>
        <rFont val="Calibri"/>
        <family val="2"/>
      </rPr>
      <t>A</t>
    </r>
  </si>
  <si>
    <t>RIMO</t>
  </si>
  <si>
    <t>RIAC</t>
  </si>
  <si>
    <t>RS</t>
  </si>
  <si>
    <t>Using a 100:1 ratio current transformer (Coil Craft Model # CST1-100L_) This resistor value makes the output of the current transformer 1V at peak current. 1.4V is the trip current limit trip current</t>
  </si>
  <si>
    <t>Power Rating of RS</t>
  </si>
  <si>
    <t>CI</t>
  </si>
  <si>
    <t>RRVS</t>
  </si>
  <si>
    <t>Farads</t>
  </si>
  <si>
    <t>4.7.2</t>
  </si>
  <si>
    <t>G</t>
  </si>
  <si>
    <t>Gain</t>
  </si>
  <si>
    <t>RI</t>
  </si>
  <si>
    <t>Use Same values and sample schematic for R1,R2,R3</t>
  </si>
  <si>
    <t>RF</t>
  </si>
  <si>
    <t>Fz</t>
  </si>
  <si>
    <t>Cz</t>
  </si>
  <si>
    <t>Cp</t>
  </si>
  <si>
    <t>F</t>
  </si>
  <si>
    <t>Fp</t>
  </si>
  <si>
    <t>4.7.3</t>
  </si>
  <si>
    <t>Current Loop Design</t>
  </si>
  <si>
    <t>Low cutoff</t>
  </si>
  <si>
    <t>High Cutoff</t>
  </si>
  <si>
    <t>Hertz</t>
  </si>
  <si>
    <t>Voltage Loop Design</t>
  </si>
  <si>
    <t>Vopk</t>
  </si>
  <si>
    <t>Output Voltage Ripple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</si>
</sst>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/>
    <xf numFmtId="0" fontId="3" fillId="0" borderId="13" xfId="0" applyFont="1" applyBorder="1"/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1" xfId="0" applyBorder="1" applyAlignment="1">
      <alignment horizontal="center" vertical="center" wrapText="1"/>
    </xf>
    <xf numFmtId="165" fontId="0" fillId="0" borderId="0" xfId="0" applyNumberFormat="1" applyBorder="1"/>
    <xf numFmtId="0" fontId="0" fillId="0" borderId="10" xfId="0" applyBorder="1" applyAlignment="1">
      <alignment horizontal="center"/>
    </xf>
    <xf numFmtId="0" fontId="3" fillId="0" borderId="8" xfId="0" applyFont="1" applyFill="1" applyBorder="1"/>
    <xf numFmtId="0" fontId="0" fillId="0" borderId="10" xfId="0" applyBorder="1" applyAlignment="1">
      <alignment horizontal="left"/>
    </xf>
    <xf numFmtId="0" fontId="3" fillId="0" borderId="10" xfId="0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6</xdr:row>
      <xdr:rowOff>23812</xdr:rowOff>
    </xdr:from>
    <xdr:ext cx="1143870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𝐶𝑇=1/(11200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×𝑓_𝑠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21</xdr:row>
      <xdr:rowOff>80962</xdr:rowOff>
    </xdr:from>
    <xdr:ext cx="1227131" cy="5264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𝑃𝐾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den>
                        </m:f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𝑚𝑖𝑛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𝐼_𝑃𝐾=(2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×𝑃𝑜/𝜂)/(√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×𝑉_(𝐼𝑁(𝑚𝑖𝑛))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266700</xdr:colOff>
      <xdr:row>22</xdr:row>
      <xdr:rowOff>166687</xdr:rowOff>
    </xdr:from>
    <xdr:ext cx="1058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=0.2×(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𝐿=0.2×(𝐼_𝑃𝑘)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428625</xdr:colOff>
      <xdr:row>23</xdr:row>
      <xdr:rowOff>52387</xdr:rowOff>
    </xdr:from>
    <xdr:ext cx="86209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  (𝑉_𝑂−𝑉_𝐼𝑁)/𝑉_𝑂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276225</xdr:colOff>
      <xdr:row>24</xdr:row>
      <xdr:rowOff>80962</xdr:rowOff>
    </xdr:from>
    <xdr:ext cx="1087414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𝐿=(𝑉_𝐼𝑁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×𝐷×𝑇_𝑆)/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304800</xdr:colOff>
      <xdr:row>25</xdr:row>
      <xdr:rowOff>128587</xdr:rowOff>
    </xdr:from>
    <xdr:ext cx="1069011" cy="360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𝑀𝐼𝑁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𝐶_𝑂=(2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×𝑃_𝑂×𝑡_𝐻)/(</a:t>
              </a:r>
              <a:r>
                <a:rPr lang="en-US" sz="1100" b="0" i="0">
                  <a:latin typeface="Cambria Math" panose="02040503050406030204" pitchFamily="18" charset="0"/>
                </a:rPr>
                <a:t>𝑉_𝑂^2−𝑉_𝑀𝐼𝑁^2 )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466725</xdr:colOff>
      <xdr:row>30</xdr:row>
      <xdr:rowOff>61912</xdr:rowOff>
    </xdr:from>
    <xdr:ext cx="800860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𝐼𝑁𝑝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𝑑𝑖/𝑑𝑡=  𝐼_𝐼𝑁𝑝/(3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×𝑡_𝑟𝑟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381000</xdr:colOff>
      <xdr:row>31</xdr:row>
      <xdr:rowOff>142875</xdr:rowOff>
    </xdr:from>
    <xdr:ext cx="1152526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𝐼𝑁𝑝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/>
                <a:t>I</a:t>
              </a: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𝐼_𝐼𝑁𝑝=𝐼_𝑝𝑘+1/2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</a:t>
              </a:r>
              <a:r>
                <a:rPr lang="en-US" sz="1100"/>
                <a:t>I</a:t>
              </a:r>
            </a:p>
          </xdr:txBody>
        </xdr:sp>
      </mc:Fallback>
    </mc:AlternateContent>
    <xdr:clientData/>
  </xdr:oneCellAnchor>
  <xdr:oneCellAnchor>
    <xdr:from>
      <xdr:col>4</xdr:col>
      <xdr:colOff>76200</xdr:colOff>
      <xdr:row>32</xdr:row>
      <xdr:rowOff>38101</xdr:rowOff>
    </xdr:from>
    <xdr:ext cx="1527151" cy="457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𝐿_𝑟=  𝑉_𝑂/((𝑑𝑖/𝑑𝑡))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542925</xdr:colOff>
      <xdr:row>33</xdr:row>
      <xdr:rowOff>42862</xdr:rowOff>
    </xdr:from>
    <xdr:ext cx="6479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𝑍_𝑛= √(𝐿_𝑟/𝐶_𝑟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419100</xdr:colOff>
      <xdr:row>34</xdr:row>
      <xdr:rowOff>52387</xdr:rowOff>
    </xdr:from>
    <xdr:ext cx="9636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×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√(1/(𝐿_𝑟  × 𝐶_𝑟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35</xdr:row>
      <xdr:rowOff>138112</xdr:rowOff>
    </xdr:from>
    <xdr:ext cx="1354666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: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𝐼_(:_𝑟= 𝐼_𝐼𝑁 )+𝑉_𝑂/𝑍_𝑛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×sin⁡(𝜔𝑡)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olfspeed.com/media/downloads/176/C3M0065090D.pdf" TargetMode="External"/><Relationship Id="rId2" Type="http://schemas.openxmlformats.org/officeDocument/2006/relationships/hyperlink" Target="https://www.digikey.com/product-detail/en/cree-wolfspeed/C3M0065090D/C3M0065090D-ND/5253283" TargetMode="External"/><Relationship Id="rId1" Type="http://schemas.openxmlformats.org/officeDocument/2006/relationships/hyperlink" Target="https://www.digikey.com/product-detail/en/cree-wolfspeed/C3D06065I/C3D06065I-ND/506719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wolfspeed.com/media/downloads/44/C3D06065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abSelected="1" topLeftCell="A37" zoomScale="85" zoomScaleNormal="85" workbookViewId="0">
      <selection activeCell="K66" sqref="K66"/>
    </sheetView>
  </sheetViews>
  <sheetFormatPr defaultRowHeight="15" x14ac:dyDescent="0.25"/>
  <cols>
    <col min="3" max="4" width="14.42578125" customWidth="1"/>
    <col min="6" max="6" width="16.5703125" customWidth="1"/>
    <col min="7" max="7" width="12.28515625" bestFit="1" customWidth="1"/>
    <col min="8" max="8" width="18.5703125" bestFit="1" customWidth="1"/>
    <col min="9" max="9" width="9.140625" customWidth="1"/>
    <col min="12" max="12" width="11.140625" customWidth="1"/>
  </cols>
  <sheetData>
    <row r="1" spans="2:15" x14ac:dyDescent="0.25">
      <c r="G1" t="s">
        <v>6</v>
      </c>
      <c r="H1">
        <v>85</v>
      </c>
      <c r="I1" t="s">
        <v>7</v>
      </c>
    </row>
    <row r="2" spans="2:15" x14ac:dyDescent="0.25">
      <c r="G2" t="s">
        <v>8</v>
      </c>
      <c r="H2">
        <v>270</v>
      </c>
      <c r="I2" t="s">
        <v>7</v>
      </c>
    </row>
    <row r="3" spans="2:15" x14ac:dyDescent="0.25">
      <c r="G3" t="s">
        <v>9</v>
      </c>
      <c r="H3">
        <v>440</v>
      </c>
      <c r="I3" t="s">
        <v>10</v>
      </c>
      <c r="J3" s="58" t="s">
        <v>11</v>
      </c>
      <c r="K3" s="58"/>
      <c r="L3" s="58"/>
      <c r="M3" s="58"/>
      <c r="N3" s="58"/>
      <c r="O3" s="58"/>
    </row>
    <row r="4" spans="2:15" x14ac:dyDescent="0.25">
      <c r="G4" t="s">
        <v>12</v>
      </c>
      <c r="H4">
        <v>350</v>
      </c>
      <c r="I4" t="s">
        <v>7</v>
      </c>
    </row>
    <row r="6" spans="2:15" x14ac:dyDescent="0.25">
      <c r="B6" s="1"/>
      <c r="C6" s="1"/>
      <c r="D6" s="1"/>
      <c r="E6" s="1"/>
      <c r="F6" s="1"/>
      <c r="G6" s="1"/>
      <c r="H6" s="1"/>
      <c r="I6" s="1"/>
    </row>
    <row r="7" spans="2:15" x14ac:dyDescent="0.25">
      <c r="B7" s="47">
        <v>2.2000000000000002</v>
      </c>
      <c r="C7" s="47" t="s">
        <v>0</v>
      </c>
      <c r="D7" s="6"/>
      <c r="E7" s="62"/>
      <c r="F7" s="62"/>
      <c r="G7" t="s">
        <v>1</v>
      </c>
      <c r="H7">
        <v>500000</v>
      </c>
    </row>
    <row r="8" spans="2:15" x14ac:dyDescent="0.25">
      <c r="B8" s="47"/>
      <c r="C8" s="47"/>
      <c r="D8" s="14"/>
      <c r="E8" s="62"/>
      <c r="F8" s="62"/>
      <c r="G8" t="s">
        <v>58</v>
      </c>
      <c r="H8">
        <f>1/H7</f>
        <v>1.9999999999999999E-6</v>
      </c>
    </row>
    <row r="9" spans="2:15" ht="15.75" thickBot="1" x14ac:dyDescent="0.3">
      <c r="B9" s="48"/>
      <c r="C9" s="48"/>
      <c r="D9" s="15"/>
      <c r="E9" s="63"/>
      <c r="F9" s="63"/>
      <c r="G9" s="16" t="s">
        <v>2</v>
      </c>
      <c r="H9" s="16">
        <f>1/(11200*H7)</f>
        <v>1.7857142857142858E-10</v>
      </c>
      <c r="I9" s="16"/>
    </row>
    <row r="10" spans="2:15" ht="33.75" customHeight="1" thickTop="1" x14ac:dyDescent="0.25">
      <c r="B10" s="52">
        <v>2.2999999999999998</v>
      </c>
      <c r="C10" s="52" t="s">
        <v>67</v>
      </c>
      <c r="D10" s="14" t="s">
        <v>68</v>
      </c>
      <c r="E10" s="13"/>
      <c r="F10" s="13"/>
      <c r="G10" s="19"/>
      <c r="H10" s="19" t="s">
        <v>69</v>
      </c>
      <c r="I10" s="19" t="s">
        <v>70</v>
      </c>
      <c r="J10" s="64" t="s">
        <v>72</v>
      </c>
      <c r="K10" s="64"/>
      <c r="L10" s="64"/>
      <c r="M10" s="64"/>
      <c r="N10" s="64"/>
      <c r="O10" s="64"/>
    </row>
    <row r="11" spans="2:15" ht="15.75" thickBot="1" x14ac:dyDescent="0.3">
      <c r="B11" s="54"/>
      <c r="C11" s="54"/>
      <c r="D11" s="21" t="s">
        <v>71</v>
      </c>
      <c r="E11" s="35"/>
      <c r="F11" s="35"/>
      <c r="G11" s="22"/>
      <c r="H11" s="36">
        <v>1000</v>
      </c>
      <c r="I11" s="22" t="s">
        <v>53</v>
      </c>
      <c r="J11" s="64"/>
      <c r="K11" s="64"/>
      <c r="L11" s="64"/>
      <c r="M11" s="64"/>
      <c r="N11" s="64"/>
      <c r="O11" s="64"/>
    </row>
    <row r="12" spans="2:15" ht="15.75" thickBot="1" x14ac:dyDescent="0.3">
      <c r="B12" s="37">
        <v>3</v>
      </c>
      <c r="C12" s="65" t="s">
        <v>73</v>
      </c>
      <c r="D12" s="65"/>
      <c r="E12" s="65"/>
      <c r="F12" s="65"/>
      <c r="G12" s="65"/>
      <c r="H12" s="65"/>
      <c r="I12" s="65"/>
      <c r="J12" s="17"/>
      <c r="K12" s="17"/>
      <c r="L12" s="17"/>
      <c r="M12" s="17"/>
      <c r="N12" s="17"/>
      <c r="O12" s="17"/>
    </row>
    <row r="13" spans="2:15" ht="16.5" thickTop="1" thickBot="1" x14ac:dyDescent="0.3">
      <c r="B13" s="44" t="s">
        <v>74</v>
      </c>
      <c r="C13" s="44" t="s">
        <v>75</v>
      </c>
      <c r="D13" s="27"/>
      <c r="E13" s="81"/>
      <c r="F13" s="81"/>
      <c r="G13" s="82"/>
      <c r="H13" s="83"/>
      <c r="I13" s="82"/>
      <c r="J13" s="17"/>
      <c r="K13" s="17"/>
      <c r="L13" s="17"/>
      <c r="M13" s="17"/>
      <c r="N13" s="17"/>
      <c r="O13" s="17"/>
    </row>
    <row r="14" spans="2:15" x14ac:dyDescent="0.25">
      <c r="B14" s="76" t="s">
        <v>77</v>
      </c>
      <c r="C14" s="76" t="s">
        <v>79</v>
      </c>
      <c r="D14" s="39"/>
      <c r="E14" s="40"/>
      <c r="F14" s="40"/>
      <c r="G14" s="19"/>
      <c r="H14" s="34">
        <v>500</v>
      </c>
      <c r="I14" s="84" t="s">
        <v>80</v>
      </c>
      <c r="J14" s="38"/>
      <c r="K14" s="38"/>
      <c r="L14" s="38"/>
      <c r="M14" s="38"/>
      <c r="N14" s="38"/>
      <c r="O14" s="38"/>
    </row>
    <row r="15" spans="2:15" ht="15.75" thickBot="1" x14ac:dyDescent="0.3">
      <c r="B15" s="54"/>
      <c r="C15" s="54"/>
      <c r="D15" s="43" t="s">
        <v>82</v>
      </c>
      <c r="E15" s="41"/>
      <c r="F15" s="41"/>
      <c r="G15" s="22"/>
      <c r="H15" s="36">
        <f>(SQRT(2)*H2)/(H14*10^-6)</f>
        <v>763675.32368147129</v>
      </c>
      <c r="I15" s="89" t="s">
        <v>70</v>
      </c>
      <c r="J15" s="38"/>
      <c r="K15" s="38"/>
      <c r="L15" s="38"/>
      <c r="M15" s="38"/>
      <c r="N15" s="38"/>
      <c r="O15" s="38"/>
    </row>
    <row r="16" spans="2:15" ht="15.75" thickBot="1" x14ac:dyDescent="0.3">
      <c r="B16" s="26" t="s">
        <v>78</v>
      </c>
      <c r="C16" s="26" t="s">
        <v>81</v>
      </c>
      <c r="D16" s="45"/>
      <c r="E16" s="88"/>
      <c r="F16" s="88"/>
      <c r="G16" s="25"/>
      <c r="H16" s="90">
        <f>(1.5^2)/((156*10^-6)*(6-1.5))</f>
        <v>3205.1282051282055</v>
      </c>
      <c r="I16" s="91" t="s">
        <v>70</v>
      </c>
      <c r="J16" s="38"/>
      <c r="K16" s="38"/>
      <c r="L16" s="38"/>
      <c r="M16" s="38"/>
      <c r="N16" s="38"/>
      <c r="O16" s="38"/>
    </row>
    <row r="17" spans="2:15" ht="62.25" customHeight="1" x14ac:dyDescent="0.25">
      <c r="B17" s="74">
        <v>3.2</v>
      </c>
      <c r="C17" s="74" t="s">
        <v>76</v>
      </c>
      <c r="D17" s="47" t="s">
        <v>83</v>
      </c>
      <c r="E17" s="13"/>
      <c r="F17" s="13"/>
      <c r="G17" s="19" t="s">
        <v>83</v>
      </c>
      <c r="H17" s="34">
        <f>1/(H22/100)</f>
        <v>12.977016495639477</v>
      </c>
      <c r="I17" s="85" t="s">
        <v>70</v>
      </c>
      <c r="J17" s="64" t="s">
        <v>84</v>
      </c>
      <c r="K17" s="64"/>
      <c r="L17" s="64"/>
      <c r="M17" s="64"/>
      <c r="N17" s="64"/>
      <c r="O17" s="64"/>
    </row>
    <row r="18" spans="2:15" x14ac:dyDescent="0.25">
      <c r="B18" s="74"/>
      <c r="C18" s="74"/>
      <c r="D18" s="47"/>
      <c r="E18" s="13"/>
      <c r="F18" s="13"/>
      <c r="G18" s="19"/>
      <c r="H18" s="34">
        <f>H22/100</f>
        <v>7.7059314853766187E-2</v>
      </c>
      <c r="I18" s="85" t="s">
        <v>10</v>
      </c>
      <c r="J18" s="64" t="s">
        <v>85</v>
      </c>
      <c r="K18" s="64"/>
      <c r="L18" s="64"/>
      <c r="M18" s="64"/>
      <c r="N18" s="64"/>
      <c r="O18" s="64"/>
    </row>
    <row r="19" spans="2:15" x14ac:dyDescent="0.25">
      <c r="B19" s="74"/>
      <c r="C19" s="74"/>
      <c r="D19" s="39" t="s">
        <v>87</v>
      </c>
      <c r="E19" s="40"/>
      <c r="F19" s="40"/>
      <c r="G19" s="19" t="s">
        <v>87</v>
      </c>
      <c r="H19" s="34">
        <v>220000</v>
      </c>
      <c r="I19" s="85" t="s">
        <v>70</v>
      </c>
      <c r="J19" s="38"/>
      <c r="K19" s="38"/>
      <c r="L19" s="38"/>
      <c r="M19" s="38"/>
      <c r="N19" s="38"/>
      <c r="O19" s="38"/>
    </row>
    <row r="20" spans="2:15" x14ac:dyDescent="0.25">
      <c r="B20" s="86"/>
      <c r="C20" s="86"/>
      <c r="D20" s="14" t="s">
        <v>86</v>
      </c>
      <c r="E20" s="13"/>
      <c r="F20" s="13"/>
      <c r="G20" s="19" t="s">
        <v>86</v>
      </c>
      <c r="H20" s="87">
        <f>(3*H25*100)/(H19*H4*H17)</f>
        <v>3.325238512566868E-11</v>
      </c>
      <c r="I20" s="85" t="s">
        <v>88</v>
      </c>
    </row>
    <row r="21" spans="2:15" ht="15.75" thickBot="1" x14ac:dyDescent="0.3">
      <c r="B21" s="3">
        <v>4.2</v>
      </c>
      <c r="C21" s="49" t="s">
        <v>3</v>
      </c>
      <c r="D21" s="49"/>
      <c r="E21" s="49"/>
      <c r="F21" s="49"/>
      <c r="G21" s="49"/>
      <c r="H21" s="49"/>
      <c r="I21" s="2"/>
    </row>
    <row r="22" spans="2:15" ht="53.25" customHeight="1" thickTop="1" x14ac:dyDescent="0.25">
      <c r="B22" s="50" t="s">
        <v>4</v>
      </c>
      <c r="C22" s="52" t="s">
        <v>5</v>
      </c>
      <c r="D22" s="8" t="s">
        <v>18</v>
      </c>
      <c r="E22" s="59"/>
      <c r="F22" s="59"/>
      <c r="G22" s="4" t="s">
        <v>13</v>
      </c>
      <c r="H22" s="4">
        <f>(SQRT(2)*(H3/0.95))/H1</f>
        <v>7.7059314853766185</v>
      </c>
      <c r="I22" s="12" t="s">
        <v>14</v>
      </c>
      <c r="J22" s="57" t="s">
        <v>15</v>
      </c>
      <c r="K22" s="57"/>
      <c r="L22" s="57"/>
      <c r="M22" s="57"/>
      <c r="N22" s="57"/>
      <c r="O22" s="57"/>
    </row>
    <row r="23" spans="2:15" ht="39.75" customHeight="1" x14ac:dyDescent="0.25">
      <c r="B23" s="51"/>
      <c r="C23" s="53"/>
      <c r="D23" s="9" t="s">
        <v>19</v>
      </c>
      <c r="E23" s="60"/>
      <c r="F23" s="60"/>
      <c r="G23" s="5" t="s">
        <v>16</v>
      </c>
      <c r="H23" s="5">
        <f>0.2*H22</f>
        <v>1.5411862970753238</v>
      </c>
      <c r="I23" s="7" t="s">
        <v>14</v>
      </c>
      <c r="J23" s="61" t="s">
        <v>17</v>
      </c>
      <c r="K23" s="61"/>
      <c r="L23" s="61"/>
      <c r="M23" s="61"/>
      <c r="N23" s="61"/>
      <c r="O23" s="61"/>
    </row>
    <row r="24" spans="2:15" ht="34.5" customHeight="1" x14ac:dyDescent="0.25">
      <c r="D24" s="9" t="s">
        <v>20</v>
      </c>
      <c r="E24" s="60"/>
      <c r="F24" s="60"/>
      <c r="G24" s="10" t="s">
        <v>21</v>
      </c>
      <c r="H24" s="10">
        <f>(H4-SQRT(2)*H1)/H4</f>
        <v>0.65654813485224828</v>
      </c>
      <c r="I24" s="10" t="s">
        <v>22</v>
      </c>
      <c r="J24" s="11"/>
      <c r="K24" s="11"/>
      <c r="L24" s="11"/>
      <c r="M24" s="11"/>
      <c r="N24" s="11"/>
      <c r="O24" s="11"/>
    </row>
    <row r="25" spans="2:15" ht="33.75" customHeight="1" thickBot="1" x14ac:dyDescent="0.3">
      <c r="B25" s="22"/>
      <c r="C25" s="22"/>
      <c r="D25" s="22"/>
      <c r="E25" s="55"/>
      <c r="F25" s="55"/>
      <c r="G25" s="21" t="s">
        <v>23</v>
      </c>
      <c r="H25" s="21">
        <f>(SQRT(2)*H1*(0.71*(1/H7)))/H23</f>
        <v>1.1075596590909088E-4</v>
      </c>
      <c r="I25" s="21" t="s">
        <v>24</v>
      </c>
      <c r="J25" s="56"/>
      <c r="K25" s="56"/>
      <c r="L25" s="56"/>
      <c r="M25" s="56"/>
      <c r="N25" s="56"/>
      <c r="O25" s="56"/>
    </row>
    <row r="26" spans="2:15" ht="45.75" customHeight="1" thickBot="1" x14ac:dyDescent="0.3">
      <c r="B26" s="23" t="s">
        <v>25</v>
      </c>
      <c r="C26" s="26" t="s">
        <v>26</v>
      </c>
      <c r="D26" s="23" t="s">
        <v>27</v>
      </c>
      <c r="E26" s="66"/>
      <c r="F26" s="66"/>
      <c r="G26" s="23" t="s">
        <v>28</v>
      </c>
      <c r="H26" s="24">
        <f>(2*H3*(1/60))/(H4^2-(H4*0.875)^2)</f>
        <v>5.1083900226757363E-4</v>
      </c>
      <c r="I26" s="25"/>
    </row>
    <row r="27" spans="2:15" ht="24" customHeight="1" x14ac:dyDescent="0.25">
      <c r="B27" s="47" t="s">
        <v>37</v>
      </c>
      <c r="C27" s="74" t="s">
        <v>30</v>
      </c>
      <c r="D27" s="18" t="s">
        <v>31</v>
      </c>
      <c r="E27" s="67" t="s">
        <v>35</v>
      </c>
      <c r="F27" s="67"/>
      <c r="G27" s="67"/>
      <c r="H27" s="67"/>
      <c r="I27" s="1"/>
      <c r="J27" s="68" t="s">
        <v>32</v>
      </c>
      <c r="K27" s="68"/>
      <c r="L27" t="s">
        <v>33</v>
      </c>
      <c r="M27" s="68" t="s">
        <v>32</v>
      </c>
      <c r="N27" s="68"/>
    </row>
    <row r="28" spans="2:15" ht="33" customHeight="1" x14ac:dyDescent="0.25">
      <c r="B28" s="47"/>
      <c r="C28" s="74"/>
      <c r="D28" s="72" t="s">
        <v>34</v>
      </c>
      <c r="E28" s="69" t="s">
        <v>36</v>
      </c>
      <c r="F28" s="69"/>
      <c r="G28" s="69"/>
      <c r="H28" s="69"/>
      <c r="J28" s="68" t="s">
        <v>29</v>
      </c>
      <c r="K28" s="68"/>
      <c r="L28" t="s">
        <v>33</v>
      </c>
      <c r="M28" s="68" t="s">
        <v>29</v>
      </c>
      <c r="N28" s="68"/>
    </row>
    <row r="29" spans="2:15" ht="15.75" thickBot="1" x14ac:dyDescent="0.3">
      <c r="B29" s="48"/>
      <c r="C29" s="75"/>
      <c r="D29" s="73"/>
      <c r="E29" s="63" t="s">
        <v>39</v>
      </c>
      <c r="F29" s="63"/>
      <c r="G29" s="20" t="s">
        <v>38</v>
      </c>
      <c r="H29" s="16">
        <v>0</v>
      </c>
      <c r="I29" s="16" t="s">
        <v>40</v>
      </c>
    </row>
    <row r="30" spans="2:15" ht="16.5" thickTop="1" thickBot="1" x14ac:dyDescent="0.3">
      <c r="B30" s="27">
        <v>4.3</v>
      </c>
      <c r="C30" s="70" t="s">
        <v>43</v>
      </c>
      <c r="D30" s="70"/>
      <c r="E30" s="70"/>
      <c r="F30" s="70"/>
      <c r="G30" s="70"/>
      <c r="H30" s="70"/>
      <c r="I30" s="70"/>
    </row>
    <row r="31" spans="2:15" ht="34.5" customHeight="1" x14ac:dyDescent="0.25">
      <c r="B31" s="77" t="s">
        <v>41</v>
      </c>
      <c r="C31" s="76" t="s">
        <v>42</v>
      </c>
      <c r="D31" s="30" t="s">
        <v>48</v>
      </c>
      <c r="E31" s="71"/>
      <c r="F31" s="71"/>
      <c r="G31" s="28" t="s">
        <v>47</v>
      </c>
      <c r="H31" s="28">
        <f>(H32/(3*1*10^-9))</f>
        <v>2825508211.30476</v>
      </c>
      <c r="I31" s="29" t="s">
        <v>44</v>
      </c>
      <c r="J31" s="78" t="s">
        <v>60</v>
      </c>
      <c r="K31" s="78"/>
      <c r="L31" s="78"/>
      <c r="M31" s="78"/>
      <c r="N31" s="78"/>
      <c r="O31" s="78"/>
    </row>
    <row r="32" spans="2:15" ht="44.25" customHeight="1" x14ac:dyDescent="0.25">
      <c r="B32" s="47"/>
      <c r="C32" s="74"/>
      <c r="D32" s="9" t="s">
        <v>49</v>
      </c>
      <c r="E32" s="60"/>
      <c r="F32" s="60"/>
      <c r="G32" s="11" t="s">
        <v>46</v>
      </c>
      <c r="H32" s="11">
        <f>H22+0.5*H23</f>
        <v>8.4765246339142806</v>
      </c>
      <c r="I32" s="11" t="s">
        <v>14</v>
      </c>
    </row>
    <row r="33" spans="1:15" ht="44.25" customHeight="1" x14ac:dyDescent="0.25">
      <c r="B33" s="47"/>
      <c r="C33" s="74"/>
      <c r="D33" s="9" t="s">
        <v>42</v>
      </c>
      <c r="E33" s="60"/>
      <c r="F33" s="60"/>
      <c r="G33" s="11" t="s">
        <v>45</v>
      </c>
      <c r="H33" s="11">
        <f>H4/H31</f>
        <v>1.2387152109474047E-7</v>
      </c>
      <c r="I33" s="11" t="s">
        <v>24</v>
      </c>
    </row>
    <row r="34" spans="1:15" ht="49.5" customHeight="1" x14ac:dyDescent="0.25">
      <c r="B34" s="47"/>
      <c r="C34" s="74"/>
      <c r="D34" s="9" t="s">
        <v>54</v>
      </c>
      <c r="E34" s="60"/>
      <c r="F34" s="60"/>
      <c r="G34" s="11"/>
      <c r="H34" s="11">
        <f>SQRT(H33/(H37*10^-12))</f>
        <v>32.128844918382981</v>
      </c>
      <c r="I34" s="11"/>
    </row>
    <row r="35" spans="1:15" ht="46.5" customHeight="1" x14ac:dyDescent="0.25">
      <c r="B35" s="47"/>
      <c r="C35" s="74"/>
      <c r="D35" s="9" t="s">
        <v>55</v>
      </c>
      <c r="E35" s="60"/>
      <c r="F35" s="60"/>
      <c r="G35" s="11"/>
      <c r="H35" s="11">
        <f>SQRT(1/(H33*(H37*10^-12)))</f>
        <v>259372328.96179521</v>
      </c>
      <c r="I35" s="11"/>
    </row>
    <row r="36" spans="1:15" ht="42.75" customHeight="1" thickBot="1" x14ac:dyDescent="0.3">
      <c r="B36" s="80"/>
      <c r="C36" s="54"/>
      <c r="D36" s="31" t="s">
        <v>49</v>
      </c>
      <c r="E36" s="62"/>
      <c r="F36" s="79"/>
      <c r="G36" s="22"/>
      <c r="H36" s="22">
        <f>H22+(H4/H34)</f>
        <v>18.599569301772018</v>
      </c>
      <c r="I36" s="22"/>
    </row>
    <row r="37" spans="1:15" ht="49.5" customHeight="1" x14ac:dyDescent="0.25">
      <c r="B37" s="77" t="s">
        <v>50</v>
      </c>
      <c r="C37" s="76" t="s">
        <v>66</v>
      </c>
      <c r="D37" s="32" t="s">
        <v>51</v>
      </c>
      <c r="E37" s="33"/>
      <c r="G37" t="s">
        <v>52</v>
      </c>
      <c r="H37">
        <v>120</v>
      </c>
      <c r="I37" t="s">
        <v>53</v>
      </c>
      <c r="J37" s="64" t="s">
        <v>62</v>
      </c>
      <c r="K37" s="64"/>
      <c r="L37" s="64"/>
      <c r="M37" s="64"/>
      <c r="N37" s="64"/>
      <c r="O37" s="64"/>
    </row>
    <row r="38" spans="1:15" x14ac:dyDescent="0.25">
      <c r="B38" s="47"/>
      <c r="C38" s="74"/>
      <c r="G38" t="s">
        <v>57</v>
      </c>
      <c r="H38">
        <f>H22/(H4/H33)</f>
        <v>2.7272727272727274E-9</v>
      </c>
      <c r="I38" t="s">
        <v>40</v>
      </c>
    </row>
    <row r="39" spans="1:15" x14ac:dyDescent="0.25">
      <c r="B39" s="47"/>
      <c r="C39" s="74"/>
      <c r="G39" t="s">
        <v>56</v>
      </c>
      <c r="H39">
        <f>(PI()/2)*SQRT(H33*(H37*10^-12))</f>
        <v>6.056144589835064E-9</v>
      </c>
      <c r="I39" t="s">
        <v>40</v>
      </c>
    </row>
    <row r="40" spans="1:15" x14ac:dyDescent="0.25">
      <c r="B40" s="47"/>
      <c r="C40" s="74"/>
      <c r="G40" t="s">
        <v>59</v>
      </c>
      <c r="H40">
        <f>(H38+H39+1*10^-9)/H8</f>
        <v>4.8917086585538961E-3</v>
      </c>
    </row>
    <row r="41" spans="1:15" x14ac:dyDescent="0.25">
      <c r="B41" s="47"/>
      <c r="C41" s="74"/>
      <c r="G41" t="s">
        <v>61</v>
      </c>
      <c r="H41">
        <f>H2/(1-H40)</f>
        <v>271.32725387709223</v>
      </c>
      <c r="I41" t="s">
        <v>7</v>
      </c>
    </row>
    <row r="42" spans="1:15" x14ac:dyDescent="0.25">
      <c r="B42" s="47"/>
      <c r="C42" s="74"/>
      <c r="G42" t="s">
        <v>63</v>
      </c>
      <c r="H42">
        <f>( (H32*H33)/H4)+(PI()/2)*SQRT(H33*(H37*10^-12))</f>
        <v>9.0561445898350636E-9</v>
      </c>
      <c r="I42" t="s">
        <v>40</v>
      </c>
    </row>
    <row r="43" spans="1:15" ht="68.25" customHeight="1" thickBot="1" x14ac:dyDescent="0.3">
      <c r="B43" s="80"/>
      <c r="C43" s="54"/>
      <c r="D43" s="42" t="s">
        <v>65</v>
      </c>
      <c r="E43" s="22"/>
      <c r="F43" s="22"/>
      <c r="G43" s="22" t="s">
        <v>64</v>
      </c>
      <c r="H43" s="22">
        <f>H36*SQRT(H42/H8)</f>
        <v>1.2515827353126463</v>
      </c>
      <c r="I43" s="22" t="s">
        <v>14</v>
      </c>
    </row>
    <row r="44" spans="1:15" x14ac:dyDescent="0.25">
      <c r="B44" s="77" t="s">
        <v>89</v>
      </c>
      <c r="C44" s="76" t="s">
        <v>101</v>
      </c>
      <c r="D44" t="s">
        <v>91</v>
      </c>
      <c r="G44" s="92" t="s">
        <v>90</v>
      </c>
      <c r="H44">
        <f>(H4*0.1)/((2*PI()*H45*H25*5.2))</f>
        <v>0.96720315252998001</v>
      </c>
      <c r="J44" s="58" t="s">
        <v>93</v>
      </c>
      <c r="K44" s="58"/>
      <c r="L44" s="58"/>
      <c r="M44" s="58"/>
      <c r="N44" s="58"/>
    </row>
    <row r="45" spans="1:15" x14ac:dyDescent="0.25">
      <c r="B45" s="51"/>
      <c r="C45" s="53"/>
      <c r="D45" t="s">
        <v>102</v>
      </c>
      <c r="G45" s="92" t="s">
        <v>95</v>
      </c>
      <c r="H45">
        <v>10000</v>
      </c>
      <c r="I45" t="s">
        <v>104</v>
      </c>
      <c r="J45" s="46"/>
      <c r="K45" s="46"/>
      <c r="L45" s="46"/>
      <c r="M45" s="46"/>
      <c r="N45" s="46"/>
    </row>
    <row r="46" spans="1:15" x14ac:dyDescent="0.25">
      <c r="A46" t="s">
        <v>98</v>
      </c>
      <c r="B46" s="51"/>
      <c r="C46" s="53"/>
      <c r="D46" t="s">
        <v>103</v>
      </c>
      <c r="G46" s="92" t="s">
        <v>99</v>
      </c>
      <c r="H46">
        <v>125000</v>
      </c>
      <c r="I46" t="s">
        <v>104</v>
      </c>
      <c r="J46" s="46"/>
      <c r="K46" s="46"/>
      <c r="L46" s="46"/>
      <c r="M46" s="46"/>
      <c r="N46" s="46"/>
    </row>
    <row r="47" spans="1:15" x14ac:dyDescent="0.25">
      <c r="B47" s="51"/>
      <c r="C47" s="53"/>
      <c r="D47" s="19"/>
      <c r="E47" s="19"/>
      <c r="F47" s="19"/>
      <c r="G47" s="92" t="s">
        <v>92</v>
      </c>
      <c r="H47" s="19">
        <v>3300</v>
      </c>
      <c r="I47" s="19" t="s">
        <v>70</v>
      </c>
    </row>
    <row r="48" spans="1:15" x14ac:dyDescent="0.25">
      <c r="B48" s="51"/>
      <c r="C48" s="53"/>
      <c r="G48" s="92" t="s">
        <v>94</v>
      </c>
      <c r="H48">
        <f>H47/H44</f>
        <v>3411.8995490946886</v>
      </c>
      <c r="I48" s="92" t="s">
        <v>70</v>
      </c>
    </row>
    <row r="49" spans="2:9" x14ac:dyDescent="0.25">
      <c r="B49" s="51"/>
      <c r="C49" s="53"/>
      <c r="G49" s="92" t="s">
        <v>96</v>
      </c>
      <c r="H49">
        <f>1/(2*PI()*H45*H48)</f>
        <v>4.6647018999760829E-9</v>
      </c>
      <c r="I49" s="92" t="s">
        <v>88</v>
      </c>
    </row>
    <row r="50" spans="2:9" ht="15.75" thickBot="1" x14ac:dyDescent="0.3">
      <c r="B50" s="80"/>
      <c r="C50" s="54"/>
      <c r="D50" s="22"/>
      <c r="E50" s="22"/>
      <c r="F50" s="22"/>
      <c r="G50" s="93" t="s">
        <v>97</v>
      </c>
      <c r="H50" s="22">
        <f>1/(2*PI()*H48*H46)</f>
        <v>3.7317615199808668E-10</v>
      </c>
      <c r="I50" s="93" t="s">
        <v>88</v>
      </c>
    </row>
    <row r="51" spans="2:9" x14ac:dyDescent="0.25">
      <c r="B51" t="s">
        <v>100</v>
      </c>
      <c r="C51" t="s">
        <v>105</v>
      </c>
      <c r="D51" s="94" t="s">
        <v>107</v>
      </c>
      <c r="E51" s="94"/>
      <c r="G51" s="92" t="s">
        <v>106</v>
      </c>
      <c r="H51">
        <f>(H3)/(2*PI()*120*H26*H4)</f>
        <v>3.2639197313767605</v>
      </c>
      <c r="I51" s="92" t="s">
        <v>7</v>
      </c>
    </row>
  </sheetData>
  <mergeCells count="53">
    <mergeCell ref="D51:E51"/>
    <mergeCell ref="J18:O18"/>
    <mergeCell ref="B17:B20"/>
    <mergeCell ref="C17:C20"/>
    <mergeCell ref="J44:N44"/>
    <mergeCell ref="C44:C50"/>
    <mergeCell ref="B44:B50"/>
    <mergeCell ref="J37:O37"/>
    <mergeCell ref="C37:C43"/>
    <mergeCell ref="B37:B43"/>
    <mergeCell ref="J31:O31"/>
    <mergeCell ref="E34:F34"/>
    <mergeCell ref="E36:F36"/>
    <mergeCell ref="E35:F35"/>
    <mergeCell ref="C31:C36"/>
    <mergeCell ref="B31:B36"/>
    <mergeCell ref="C30:I30"/>
    <mergeCell ref="E31:F31"/>
    <mergeCell ref="E32:F32"/>
    <mergeCell ref="E33:F33"/>
    <mergeCell ref="D28:D29"/>
    <mergeCell ref="C27:C29"/>
    <mergeCell ref="B27:B29"/>
    <mergeCell ref="E29:F29"/>
    <mergeCell ref="E26:F26"/>
    <mergeCell ref="E27:H27"/>
    <mergeCell ref="M27:N27"/>
    <mergeCell ref="M28:N28"/>
    <mergeCell ref="J28:K28"/>
    <mergeCell ref="J27:K27"/>
    <mergeCell ref="E28:H28"/>
    <mergeCell ref="E25:F25"/>
    <mergeCell ref="J25:O25"/>
    <mergeCell ref="J22:O22"/>
    <mergeCell ref="J3:O3"/>
    <mergeCell ref="E22:F22"/>
    <mergeCell ref="E23:F23"/>
    <mergeCell ref="J23:O23"/>
    <mergeCell ref="E24:F24"/>
    <mergeCell ref="E7:F9"/>
    <mergeCell ref="J10:O11"/>
    <mergeCell ref="C12:I12"/>
    <mergeCell ref="C7:C9"/>
    <mergeCell ref="C14:C15"/>
    <mergeCell ref="J17:O17"/>
    <mergeCell ref="D17:D18"/>
    <mergeCell ref="B7:B9"/>
    <mergeCell ref="C21:H21"/>
    <mergeCell ref="B22:B23"/>
    <mergeCell ref="C22:C23"/>
    <mergeCell ref="B10:B11"/>
    <mergeCell ref="C10:C11"/>
    <mergeCell ref="B14:B15"/>
  </mergeCells>
  <hyperlinks>
    <hyperlink ref="J28" r:id="rId1" display="https://www.digikey.com/product-detail/en/cree-wolfspeed/C3D06065I/C3D06065I-ND/5067191"/>
    <hyperlink ref="J27" r:id="rId2" display="https://www.digikey.com/product-detail/en/cree-wolfspeed/C3M0065090D/C3M0065090D-ND/5253283"/>
    <hyperlink ref="M27" r:id="rId3" display="http://www.wolfspeed.com/media/downloads/176/C3M0065090D.pdf"/>
    <hyperlink ref="M28" r:id="rId4" display="http://www.wolfspeed.com/media/downloads/44/C3D06065I.pdf"/>
  </hyperlinks>
  <pageMargins left="0.7" right="0.7" top="0.75" bottom="0.75" header="0.3" footer="0.3"/>
  <pageSetup scale="76"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cp:lastPrinted>2017-04-17T16:39:47Z</cp:lastPrinted>
  <dcterms:created xsi:type="dcterms:W3CDTF">2017-04-16T23:18:26Z</dcterms:created>
  <dcterms:modified xsi:type="dcterms:W3CDTF">2017-08-21T11:46:35Z</dcterms:modified>
</cp:coreProperties>
</file>