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\Real Documents\Engineering Projects\Senior-Design-VFD\Power Factor Correction\Design Files\"/>
    </mc:Choice>
  </mc:AlternateContent>
  <bookViews>
    <workbookView xWindow="0" yWindow="0" windowWidth="17925" windowHeight="9735"/>
  </bookViews>
  <sheets>
    <sheet name="Power Factor Correction" sheetId="1" r:id="rId1"/>
    <sheet name="Inductor Design 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H19" i="1"/>
  <c r="H49" i="1"/>
  <c r="H48" i="1"/>
  <c r="D3" i="2"/>
  <c r="F17" i="2" l="1"/>
  <c r="F16" i="2"/>
  <c r="H67" i="1"/>
  <c r="I67" i="1" s="1"/>
  <c r="H69" i="1" l="1"/>
  <c r="H12" i="1"/>
  <c r="H17" i="1" l="1"/>
  <c r="H16" i="1"/>
  <c r="H8" i="1" l="1"/>
  <c r="H28" i="1"/>
  <c r="H56" i="1" l="1"/>
  <c r="H57" i="1" s="1"/>
  <c r="H59" i="1" s="1"/>
  <c r="H62" i="1" s="1"/>
  <c r="H64" i="1" s="1"/>
  <c r="H63" i="1"/>
  <c r="H26" i="1"/>
  <c r="H24" i="1"/>
  <c r="H9" i="1"/>
  <c r="H65" i="1" l="1"/>
  <c r="H66" i="1" s="1"/>
  <c r="H20" i="1"/>
  <c r="H25" i="1"/>
  <c r="H27" i="1" s="1"/>
  <c r="H53" i="1" l="1"/>
  <c r="D2" i="2"/>
  <c r="Q6" i="2" s="1"/>
  <c r="H22" i="1"/>
  <c r="H34" i="1"/>
  <c r="H33" i="1" s="1"/>
  <c r="H35" i="1" s="1"/>
  <c r="Q7" i="2" l="1"/>
  <c r="Q8" i="2"/>
  <c r="O6" i="2"/>
  <c r="O7" i="2" s="1"/>
  <c r="P6" i="2"/>
  <c r="P8" i="2" s="1"/>
  <c r="N6" i="2"/>
  <c r="N7" i="2" s="1"/>
  <c r="M6" i="2"/>
  <c r="M7" i="2" s="1"/>
  <c r="H55" i="1"/>
  <c r="H54" i="1"/>
  <c r="H44" i="1"/>
  <c r="H37" i="1"/>
  <c r="H41" i="1"/>
  <c r="H36" i="1"/>
  <c r="H38" i="1" s="1"/>
  <c r="H40" i="1"/>
  <c r="P7" i="2" l="1"/>
  <c r="H45" i="1"/>
  <c r="H42" i="1"/>
  <c r="H43" i="1" s="1"/>
</calcChain>
</file>

<file path=xl/sharedStrings.xml><?xml version="1.0" encoding="utf-8"?>
<sst xmlns="http://schemas.openxmlformats.org/spreadsheetml/2006/main" count="181" uniqueCount="142">
  <si>
    <t>Oscillator</t>
  </si>
  <si>
    <t xml:space="preserve">Frequency </t>
  </si>
  <si>
    <t xml:space="preserve">Capacitor CT </t>
  </si>
  <si>
    <t>Power Stage Design</t>
  </si>
  <si>
    <t>4.2.1</t>
  </si>
  <si>
    <t>Inductor Design</t>
  </si>
  <si>
    <t>Vin(min)</t>
  </si>
  <si>
    <t>Volts</t>
  </si>
  <si>
    <t>Vin(Max)</t>
  </si>
  <si>
    <t>Po(max)</t>
  </si>
  <si>
    <t>Watts</t>
  </si>
  <si>
    <t>(this is 1/2 Horsepower(372 watts) at 85% efficiency)</t>
  </si>
  <si>
    <t>Vo</t>
  </si>
  <si>
    <t>Ipk</t>
  </si>
  <si>
    <t>Amps</t>
  </si>
  <si>
    <t>(assuming 95% efficiency)</t>
  </si>
  <si>
    <t>I(Ripple)</t>
  </si>
  <si>
    <t>Assuming 20% Ripple Ratio</t>
  </si>
  <si>
    <t>Peak Current</t>
  </si>
  <si>
    <t>Inductor Current Ripple</t>
  </si>
  <si>
    <t>Conversion Ratio</t>
  </si>
  <si>
    <t>D</t>
  </si>
  <si>
    <t>Ratio</t>
  </si>
  <si>
    <t>L1</t>
  </si>
  <si>
    <t>Henries</t>
  </si>
  <si>
    <t>4.2.2</t>
  </si>
  <si>
    <t>Output Capacitor Selection</t>
  </si>
  <si>
    <t>Capacitor</t>
  </si>
  <si>
    <t>Co</t>
  </si>
  <si>
    <t>C3D06065I</t>
  </si>
  <si>
    <t>Power MOSFET &amp; Diode Selection</t>
  </si>
  <si>
    <t>MOSFET</t>
  </si>
  <si>
    <t>C3M0065090D</t>
  </si>
  <si>
    <t xml:space="preserve">Data Sheet  </t>
  </si>
  <si>
    <t>Diode</t>
  </si>
  <si>
    <t>Cree  MOSFET N-CH 900V 36A TO247-3 Silicon Carbide</t>
  </si>
  <si>
    <t>Cree  Diode Silicon Carbide Schottky 13A (DC) Through Hole TO-220-2 Isolated Tab</t>
  </si>
  <si>
    <t>4.2.3</t>
  </si>
  <si>
    <t>trr</t>
  </si>
  <si>
    <t>Diode Reverse Recovery</t>
  </si>
  <si>
    <t>Seconds</t>
  </si>
  <si>
    <t>4.3.1</t>
  </si>
  <si>
    <t>Resonant Inductor</t>
  </si>
  <si>
    <t>ZVT Circuit Design</t>
  </si>
  <si>
    <t>A/μs</t>
  </si>
  <si>
    <t>Lr</t>
  </si>
  <si>
    <t>IINp</t>
  </si>
  <si>
    <t>di/dt</t>
  </si>
  <si>
    <t>Diode recovery slew rate</t>
  </si>
  <si>
    <t>Peak resonant inductor current</t>
  </si>
  <si>
    <t>4.3.2</t>
  </si>
  <si>
    <t>Resonant Capacitor</t>
  </si>
  <si>
    <t>Cr</t>
  </si>
  <si>
    <t>pF</t>
  </si>
  <si>
    <t>Resonant Characteristic Impedance</t>
  </si>
  <si>
    <t>Resonant Frequency</t>
  </si>
  <si>
    <t>t12</t>
  </si>
  <si>
    <t>t01</t>
  </si>
  <si>
    <t>Period</t>
  </si>
  <si>
    <t>Dmin</t>
  </si>
  <si>
    <t>A practical Value of 1 Nano Seconds was used for diode recovery time. (SiC Diodes have no recovery time)</t>
  </si>
  <si>
    <t>Vo(min)</t>
  </si>
  <si>
    <t xml:space="preserve">tZVT </t>
  </si>
  <si>
    <t>IRMS</t>
  </si>
  <si>
    <t>RMS Current of ZVT Switch</t>
  </si>
  <si>
    <t>Resonant Capacitance Related Equations</t>
  </si>
  <si>
    <t>ZVT Control Circuit</t>
  </si>
  <si>
    <t>R12</t>
  </si>
  <si>
    <t>Ohms</t>
  </si>
  <si>
    <t>C6</t>
  </si>
  <si>
    <t>Gate Drives</t>
  </si>
  <si>
    <t>3.1.1</t>
  </si>
  <si>
    <t>VRMS</t>
  </si>
  <si>
    <t>Current Synthesizer</t>
  </si>
  <si>
    <t>3.1.2</t>
  </si>
  <si>
    <t>3.1.3</t>
  </si>
  <si>
    <t>IAC</t>
  </si>
  <si>
    <r>
      <rPr>
        <sz val="11"/>
        <color theme="1"/>
        <rFont val="Calibri"/>
        <family val="2"/>
      </rPr>
      <t>µ</t>
    </r>
    <r>
      <rPr>
        <sz val="9.35"/>
        <color theme="1"/>
        <rFont val="Calibri"/>
        <family val="2"/>
      </rPr>
      <t>A</t>
    </r>
  </si>
  <si>
    <t>RIMO</t>
  </si>
  <si>
    <t>RIAC</t>
  </si>
  <si>
    <t>RS</t>
  </si>
  <si>
    <t>Using a 100:1 ratio current transformer (Coil Craft Model # CST1-100L_) This resistor value makes the output of the current transformer 1V at peak current. 1.4V is the trip current limit trip current</t>
  </si>
  <si>
    <t>Power Rating of RS</t>
  </si>
  <si>
    <t>CI</t>
  </si>
  <si>
    <t>RRVS</t>
  </si>
  <si>
    <t>Farads</t>
  </si>
  <si>
    <t>4.7.2</t>
  </si>
  <si>
    <t>G</t>
  </si>
  <si>
    <t>Gain</t>
  </si>
  <si>
    <t>RI</t>
  </si>
  <si>
    <t>Use Same values and sample schematic for R1,R2,R3</t>
  </si>
  <si>
    <t>RF</t>
  </si>
  <si>
    <t>Fz</t>
  </si>
  <si>
    <t>Cz</t>
  </si>
  <si>
    <t>Cp</t>
  </si>
  <si>
    <t>F</t>
  </si>
  <si>
    <t>Fp</t>
  </si>
  <si>
    <t>4.7.3</t>
  </si>
  <si>
    <t>Current Loop Design</t>
  </si>
  <si>
    <t>Low cutoff</t>
  </si>
  <si>
    <t>High Cutoff</t>
  </si>
  <si>
    <t>Hertz</t>
  </si>
  <si>
    <t>Voltage Loop Design</t>
  </si>
  <si>
    <t>Vopk</t>
  </si>
  <si>
    <t>Output Voltage Ripple</t>
  </si>
  <si>
    <t>Vpp</t>
  </si>
  <si>
    <t>Ri</t>
  </si>
  <si>
    <t>Rd</t>
  </si>
  <si>
    <t>Cf</t>
  </si>
  <si>
    <t>Rf</t>
  </si>
  <si>
    <t>Rounded to 180pF</t>
  </si>
  <si>
    <t>ZVS Rise Time</t>
  </si>
  <si>
    <t>This is part of the low pass filter that drives the ZVS pin. D6 needs to be selected and D13 needs to be a zener with a Max voltages of 7.5V. ZVS Rise time is the time it takes the pin to rise to the 2.5 ZVS trigger point</t>
  </si>
  <si>
    <t>Current Transformer Ratio</t>
  </si>
  <si>
    <t>Ratio to 1</t>
  </si>
  <si>
    <t>ESMR451VSN121MP25S</t>
  </si>
  <si>
    <t>Vea</t>
  </si>
  <si>
    <t>GVEA</t>
  </si>
  <si>
    <t>GPS</t>
  </si>
  <si>
    <t>Tv</t>
  </si>
  <si>
    <t>GVEA(for Tv)</t>
  </si>
  <si>
    <t>OVP Enable</t>
  </si>
  <si>
    <t>Top R</t>
  </si>
  <si>
    <t>Bottom R</t>
  </si>
  <si>
    <t>The equivalent resonant capacitance is equal to the Coss (output capacitance) plus an additional capcitor in paralell  with the main power MOSFET</t>
  </si>
  <si>
    <t>Desired Inductance</t>
  </si>
  <si>
    <t>Desired Current Rating</t>
  </si>
  <si>
    <t>ETD39</t>
  </si>
  <si>
    <t>ETD49</t>
  </si>
  <si>
    <t>ETD54</t>
  </si>
  <si>
    <t>Ae (mm^2)</t>
  </si>
  <si>
    <t>ETD29 0.2mm Gap</t>
  </si>
  <si>
    <t>ETD34 N87  1mm Gap</t>
  </si>
  <si>
    <t>Al (Permiance)</t>
  </si>
  <si>
    <t>N Number of turns</t>
  </si>
  <si>
    <t>Bmax (mT)</t>
  </si>
  <si>
    <t>B  Calculated</t>
  </si>
  <si>
    <t>Current Transformer</t>
  </si>
  <si>
    <t>Saturation Current</t>
  </si>
  <si>
    <t>ETD44 1.00mm Gap</t>
  </si>
  <si>
    <t>ETD44 1.5mm Gap</t>
  </si>
  <si>
    <t>GEA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</si>
</sst>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00"/>
    <numFmt numFmtId="166" formatCode="0.00000000000000"/>
    <numFmt numFmtId="167" formatCode="0.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9"/>
      <color rgb="FF000000"/>
      <name val="Arial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/>
    <xf numFmtId="0" fontId="3" fillId="0" borderId="13" xfId="0" applyFont="1" applyBorder="1"/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0" fillId="0" borderId="10" xfId="0" applyBorder="1" applyAlignment="1">
      <alignment horizontal="center"/>
    </xf>
    <xf numFmtId="0" fontId="3" fillId="0" borderId="8" xfId="0" applyFont="1" applyFill="1" applyBorder="1"/>
    <xf numFmtId="0" fontId="0" fillId="0" borderId="10" xfId="0" applyBorder="1" applyAlignment="1">
      <alignment horizontal="left"/>
    </xf>
    <xf numFmtId="0" fontId="3" fillId="0" borderId="10" xfId="0" applyFont="1" applyFill="1" applyBorder="1"/>
    <xf numFmtId="0" fontId="0" fillId="0" borderId="0" xfId="0" applyFill="1" applyBorder="1"/>
    <xf numFmtId="0" fontId="0" fillId="0" borderId="8" xfId="0" applyFill="1" applyBorder="1"/>
    <xf numFmtId="165" fontId="0" fillId="0" borderId="8" xfId="0" applyNumberFormat="1" applyBorder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166" fontId="0" fillId="0" borderId="6" xfId="0" applyNumberFormat="1" applyBorder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/>
    </xf>
    <xf numFmtId="0" fontId="0" fillId="0" borderId="0" xfId="0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6" fillId="3" borderId="0" xfId="2"/>
    <xf numFmtId="167" fontId="6" fillId="3" borderId="0" xfId="2" applyNumberFormat="1"/>
    <xf numFmtId="167" fontId="6" fillId="3" borderId="8" xfId="2" applyNumberFormat="1" applyBorder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6</xdr:row>
      <xdr:rowOff>23812</xdr:rowOff>
    </xdr:from>
    <xdr:ext cx="1143870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866900" y="1166812"/>
              <a:ext cx="114387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11200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66900" y="1166812"/>
              <a:ext cx="114387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𝐶𝑇=1/(11200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×𝑓_𝑠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23</xdr:row>
      <xdr:rowOff>80962</xdr:rowOff>
    </xdr:from>
    <xdr:ext cx="1227131" cy="5264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43150" y="1804987"/>
              <a:ext cx="1227131" cy="526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𝑃𝐾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den>
                        </m:f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𝐼𝑁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𝑚𝑖𝑛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43150" y="1804987"/>
              <a:ext cx="1227131" cy="526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𝐼_𝑃𝐾=(2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×𝑃𝑜/𝜂)/(√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×𝑉_(𝐼𝑁(𝑚𝑖𝑛))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266700</xdr:colOff>
      <xdr:row>24</xdr:row>
      <xdr:rowOff>166687</xdr:rowOff>
    </xdr:from>
    <xdr:ext cx="10584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447925" y="2566987"/>
              <a:ext cx="10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=0.2×(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447925" y="2566987"/>
              <a:ext cx="10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𝐿=0.2×(𝐼_𝑃𝑘)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428625</xdr:colOff>
      <xdr:row>25</xdr:row>
      <xdr:rowOff>52387</xdr:rowOff>
    </xdr:from>
    <xdr:ext cx="862095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609850" y="2957512"/>
              <a:ext cx="86209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609850" y="2957512"/>
              <a:ext cx="86209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  (𝑉_𝑂−𝑉_𝐼𝑁)/𝑉_𝑂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276225</xdr:colOff>
      <xdr:row>26</xdr:row>
      <xdr:rowOff>80962</xdr:rowOff>
    </xdr:from>
    <xdr:ext cx="1087414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19475" y="3424237"/>
              <a:ext cx="108741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19475" y="3424237"/>
              <a:ext cx="108741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𝐿=(𝑉_𝐼𝑁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×𝐷×𝑇_𝑆)/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304800</xdr:colOff>
      <xdr:row>27</xdr:row>
      <xdr:rowOff>128587</xdr:rowOff>
    </xdr:from>
    <xdr:ext cx="1069011" cy="3602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448050" y="3900487"/>
              <a:ext cx="1069011" cy="360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𝑀𝐼𝑁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448050" y="3900487"/>
              <a:ext cx="1069011" cy="360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𝐶_𝑂=(2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×𝑃_𝑂×𝑡_𝐻)/(</a:t>
              </a:r>
              <a:r>
                <a:rPr lang="en-US" sz="1100" b="0" i="0">
                  <a:latin typeface="Cambria Math" panose="02040503050406030204" pitchFamily="18" charset="0"/>
                </a:rPr>
                <a:t>𝑉_𝑂^2−𝑉_𝑀𝐼𝑁^2 )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466725</xdr:colOff>
      <xdr:row>32</xdr:row>
      <xdr:rowOff>61912</xdr:rowOff>
    </xdr:from>
    <xdr:ext cx="800860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609975" y="5548312"/>
              <a:ext cx="800860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𝐼𝑁𝑝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609975" y="5548312"/>
              <a:ext cx="800860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𝑑𝑖/𝑑𝑡=  𝐼_𝐼𝑁𝑝/(3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×𝑡_𝑟𝑟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381000</xdr:colOff>
      <xdr:row>33</xdr:row>
      <xdr:rowOff>142875</xdr:rowOff>
    </xdr:from>
    <xdr:ext cx="1152526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524250" y="6067425"/>
              <a:ext cx="115252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𝐼𝑁𝑝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/>
                <a:t>I</a:t>
              </a: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524250" y="6067425"/>
              <a:ext cx="115252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𝐼_𝐼𝑁𝑝=𝐼_𝑝𝑘+1/2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</a:t>
              </a:r>
              <a:r>
                <a:rPr lang="en-US" sz="1100"/>
                <a:t>I</a:t>
              </a:r>
            </a:p>
          </xdr:txBody>
        </xdr:sp>
      </mc:Fallback>
    </mc:AlternateContent>
    <xdr:clientData/>
  </xdr:oneCellAnchor>
  <xdr:oneCellAnchor>
    <xdr:from>
      <xdr:col>4</xdr:col>
      <xdr:colOff>76200</xdr:colOff>
      <xdr:row>34</xdr:row>
      <xdr:rowOff>38101</xdr:rowOff>
    </xdr:from>
    <xdr:ext cx="1527151" cy="457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219450" y="6381751"/>
              <a:ext cx="1527151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219450" y="6381751"/>
              <a:ext cx="1527151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𝐿_𝑟=  𝑉_𝑂/((𝑑𝑖/𝑑𝑡))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542925</xdr:colOff>
      <xdr:row>35</xdr:row>
      <xdr:rowOff>42862</xdr:rowOff>
    </xdr:from>
    <xdr:ext cx="64793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686175" y="7091362"/>
              <a:ext cx="6479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686175" y="7091362"/>
              <a:ext cx="6479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𝑍_𝑛= √(𝐿_𝑟/𝐶_𝑟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419100</xdr:colOff>
      <xdr:row>36</xdr:row>
      <xdr:rowOff>52387</xdr:rowOff>
    </xdr:from>
    <xdr:ext cx="9636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562350" y="7729537"/>
              <a:ext cx="9636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×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562350" y="7729537"/>
              <a:ext cx="9636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√(1/(𝐿_𝑟  × 𝐶_𝑟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37</xdr:row>
      <xdr:rowOff>138112</xdr:rowOff>
    </xdr:from>
    <xdr:ext cx="1354666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371850" y="8405812"/>
              <a:ext cx="135466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: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371850" y="8405812"/>
              <a:ext cx="135466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𝐼_(:_𝑟= 𝐼_𝐼𝑁 )+𝑉_𝑂/𝑍_𝑛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×sin⁡(𝜔𝑡)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olfspeed.com/media/downloads/176/C3M0065090D.pdf" TargetMode="External"/><Relationship Id="rId2" Type="http://schemas.openxmlformats.org/officeDocument/2006/relationships/hyperlink" Target="https://www.digikey.com/product-detail/en/cree-wolfspeed/C3M0065090D/C3M0065090D-ND/5253283" TargetMode="External"/><Relationship Id="rId1" Type="http://schemas.openxmlformats.org/officeDocument/2006/relationships/hyperlink" Target="https://www.digikey.com/product-detail/en/cree-wolfspeed/C3D06065I/C3D06065I-ND/5067191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wolfspeed.com/media/downloads/44/C3D06065I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tabSelected="1" topLeftCell="A43" zoomScale="115" zoomScaleNormal="115" workbookViewId="0">
      <selection activeCell="K47" sqref="K47"/>
    </sheetView>
  </sheetViews>
  <sheetFormatPr defaultRowHeight="15" x14ac:dyDescent="0.25"/>
  <cols>
    <col min="3" max="4" width="14.42578125" customWidth="1"/>
    <col min="6" max="6" width="16.5703125" customWidth="1"/>
    <col min="7" max="7" width="12.28515625" bestFit="1" customWidth="1"/>
    <col min="8" max="8" width="22" bestFit="1" customWidth="1"/>
    <col min="9" max="9" width="9.140625" customWidth="1"/>
    <col min="12" max="12" width="11.140625" customWidth="1"/>
  </cols>
  <sheetData>
    <row r="1" spans="2:15" x14ac:dyDescent="0.25">
      <c r="G1" t="s">
        <v>6</v>
      </c>
      <c r="H1">
        <v>85</v>
      </c>
      <c r="I1" t="s">
        <v>7</v>
      </c>
    </row>
    <row r="2" spans="2:15" x14ac:dyDescent="0.25">
      <c r="G2" t="s">
        <v>8</v>
      </c>
      <c r="H2">
        <v>270</v>
      </c>
      <c r="I2" t="s">
        <v>7</v>
      </c>
    </row>
    <row r="3" spans="2:15" x14ac:dyDescent="0.25">
      <c r="G3" t="s">
        <v>9</v>
      </c>
      <c r="H3">
        <v>440</v>
      </c>
      <c r="I3" t="s">
        <v>10</v>
      </c>
      <c r="J3" s="84" t="s">
        <v>11</v>
      </c>
      <c r="K3" s="84"/>
      <c r="L3" s="84"/>
      <c r="M3" s="84"/>
      <c r="N3" s="84"/>
      <c r="O3" s="84"/>
    </row>
    <row r="4" spans="2:15" x14ac:dyDescent="0.25">
      <c r="G4" t="s">
        <v>12</v>
      </c>
      <c r="H4">
        <v>350</v>
      </c>
      <c r="I4" t="s">
        <v>7</v>
      </c>
    </row>
    <row r="6" spans="2:15" x14ac:dyDescent="0.25">
      <c r="B6" s="1"/>
      <c r="C6" s="1"/>
      <c r="D6" s="1"/>
      <c r="E6" s="1"/>
      <c r="F6" s="1"/>
      <c r="G6" s="1"/>
      <c r="H6" s="1"/>
      <c r="I6" s="1"/>
    </row>
    <row r="7" spans="2:15" x14ac:dyDescent="0.25">
      <c r="B7" s="72">
        <v>2.2000000000000002</v>
      </c>
      <c r="C7" s="72" t="s">
        <v>0</v>
      </c>
      <c r="D7" s="6"/>
      <c r="E7" s="88"/>
      <c r="F7" s="88"/>
      <c r="G7" t="s">
        <v>1</v>
      </c>
      <c r="H7">
        <v>500000</v>
      </c>
    </row>
    <row r="8" spans="2:15" x14ac:dyDescent="0.25">
      <c r="B8" s="72"/>
      <c r="C8" s="72"/>
      <c r="D8" s="14"/>
      <c r="E8" s="88"/>
      <c r="F8" s="88"/>
      <c r="G8" t="s">
        <v>58</v>
      </c>
      <c r="H8">
        <f>1/H7</f>
        <v>1.9999999999999999E-6</v>
      </c>
    </row>
    <row r="9" spans="2:15" ht="15.75" thickBot="1" x14ac:dyDescent="0.3">
      <c r="B9" s="73"/>
      <c r="C9" s="73"/>
      <c r="D9" s="15"/>
      <c r="E9" s="89"/>
      <c r="F9" s="89"/>
      <c r="G9" s="16" t="s">
        <v>2</v>
      </c>
      <c r="H9" s="16">
        <f>1/(11200*H7)</f>
        <v>1.7857142857142858E-10</v>
      </c>
      <c r="I9" s="16"/>
      <c r="J9" s="84" t="s">
        <v>110</v>
      </c>
      <c r="K9" s="84"/>
      <c r="L9" s="84"/>
      <c r="M9" s="84"/>
      <c r="N9" s="84"/>
      <c r="O9" s="84"/>
    </row>
    <row r="10" spans="2:15" ht="16.5" thickTop="1" thickBot="1" x14ac:dyDescent="0.3">
      <c r="B10" s="47"/>
      <c r="C10" s="77" t="s">
        <v>66</v>
      </c>
      <c r="D10" s="47" t="s">
        <v>67</v>
      </c>
      <c r="E10" s="48"/>
      <c r="F10" s="48"/>
      <c r="G10" s="19"/>
      <c r="H10" s="19">
        <v>1000</v>
      </c>
      <c r="I10" s="19" t="s">
        <v>68</v>
      </c>
      <c r="J10" s="91" t="s">
        <v>112</v>
      </c>
      <c r="K10" s="91"/>
      <c r="L10" s="91"/>
      <c r="M10" s="91"/>
      <c r="N10" s="91"/>
      <c r="O10" s="91"/>
    </row>
    <row r="11" spans="2:15" ht="33.75" customHeight="1" thickTop="1" x14ac:dyDescent="0.25">
      <c r="B11" s="77">
        <v>2.2999999999999998</v>
      </c>
      <c r="C11" s="81"/>
      <c r="D11" s="14" t="s">
        <v>69</v>
      </c>
      <c r="E11" s="13"/>
      <c r="F11" s="13"/>
      <c r="G11" s="19"/>
      <c r="H11" s="19">
        <v>220</v>
      </c>
      <c r="I11" s="19" t="s">
        <v>53</v>
      </c>
      <c r="J11" s="91"/>
      <c r="K11" s="91"/>
      <c r="L11" s="91"/>
      <c r="M11" s="91"/>
      <c r="N11" s="91"/>
      <c r="O11" s="91"/>
    </row>
    <row r="12" spans="2:15" ht="15.75" thickBot="1" x14ac:dyDescent="0.3">
      <c r="B12" s="79"/>
      <c r="C12" s="79"/>
      <c r="D12" s="21" t="s">
        <v>111</v>
      </c>
      <c r="E12" s="35"/>
      <c r="F12" s="35"/>
      <c r="G12" s="22"/>
      <c r="H12" s="61">
        <f>-1*(H11*10^-12)*H10*LN(1-(2.5/7.5))</f>
        <v>8.9202323783796128E-8</v>
      </c>
      <c r="I12" s="22" t="s">
        <v>40</v>
      </c>
      <c r="J12" s="91"/>
      <c r="K12" s="91"/>
      <c r="L12" s="91"/>
      <c r="M12" s="91"/>
      <c r="N12" s="91"/>
      <c r="O12" s="91"/>
    </row>
    <row r="13" spans="2:15" ht="15.75" thickBot="1" x14ac:dyDescent="0.3">
      <c r="B13" s="37">
        <v>3</v>
      </c>
      <c r="C13" s="90" t="s">
        <v>70</v>
      </c>
      <c r="D13" s="90"/>
      <c r="E13" s="90"/>
      <c r="F13" s="90"/>
      <c r="G13" s="90"/>
      <c r="H13" s="90"/>
      <c r="I13" s="90"/>
      <c r="J13" s="17"/>
      <c r="K13" s="17"/>
      <c r="L13" s="17"/>
      <c r="M13" s="17"/>
      <c r="N13" s="17"/>
      <c r="O13" s="17"/>
    </row>
    <row r="14" spans="2:15" ht="16.5" thickTop="1" thickBot="1" x14ac:dyDescent="0.3">
      <c r="B14" s="44" t="s">
        <v>71</v>
      </c>
      <c r="C14" s="44" t="s">
        <v>72</v>
      </c>
      <c r="D14" s="27"/>
      <c r="E14" s="50"/>
      <c r="F14" s="50"/>
      <c r="G14" s="51"/>
      <c r="H14" s="52"/>
      <c r="I14" s="51"/>
      <c r="J14" s="17"/>
      <c r="K14" s="17"/>
      <c r="L14" s="17"/>
      <c r="M14" s="17"/>
      <c r="N14" s="17"/>
      <c r="O14" s="17"/>
    </row>
    <row r="15" spans="2:15" x14ac:dyDescent="0.25">
      <c r="B15" s="80" t="s">
        <v>74</v>
      </c>
      <c r="C15" s="80" t="s">
        <v>76</v>
      </c>
      <c r="D15" s="39"/>
      <c r="E15" s="40"/>
      <c r="F15" s="40"/>
      <c r="G15" s="19"/>
      <c r="H15" s="34">
        <v>500</v>
      </c>
      <c r="I15" s="53" t="s">
        <v>77</v>
      </c>
      <c r="J15" s="38"/>
      <c r="K15" s="38"/>
      <c r="L15" s="38"/>
      <c r="M15" s="38"/>
      <c r="N15" s="38"/>
      <c r="O15" s="38"/>
    </row>
    <row r="16" spans="2:15" ht="15.75" thickBot="1" x14ac:dyDescent="0.3">
      <c r="B16" s="79"/>
      <c r="C16" s="79"/>
      <c r="D16" s="43" t="s">
        <v>79</v>
      </c>
      <c r="E16" s="41"/>
      <c r="F16" s="41"/>
      <c r="G16" s="22"/>
      <c r="H16" s="36">
        <f>(SQRT(2)*H2)/(H15*10^-6)</f>
        <v>763675.32368147129</v>
      </c>
      <c r="I16" s="56" t="s">
        <v>68</v>
      </c>
      <c r="J16" s="38"/>
      <c r="K16" s="38"/>
      <c r="L16" s="38"/>
      <c r="M16" s="38"/>
      <c r="N16" s="38"/>
      <c r="O16" s="38"/>
    </row>
    <row r="17" spans="2:15" ht="15.75" thickBot="1" x14ac:dyDescent="0.3">
      <c r="B17" s="26" t="s">
        <v>75</v>
      </c>
      <c r="C17" s="26" t="s">
        <v>78</v>
      </c>
      <c r="D17" s="45"/>
      <c r="E17" s="55"/>
      <c r="F17" s="55"/>
      <c r="G17" s="25"/>
      <c r="H17" s="57">
        <f>(1.5^2)/((156*10^-6)*(6-1.5))</f>
        <v>3205.1282051282055</v>
      </c>
      <c r="I17" s="58" t="s">
        <v>68</v>
      </c>
      <c r="J17" s="38"/>
      <c r="K17" s="38"/>
      <c r="L17" s="38"/>
      <c r="M17" s="38"/>
      <c r="N17" s="38"/>
      <c r="O17" s="38"/>
    </row>
    <row r="18" spans="2:15" x14ac:dyDescent="0.25">
      <c r="B18" s="80">
        <v>3.2</v>
      </c>
      <c r="C18" s="80" t="s">
        <v>73</v>
      </c>
      <c r="D18" s="83" t="s">
        <v>113</v>
      </c>
      <c r="E18" s="83"/>
      <c r="F18" s="48"/>
      <c r="G18" s="19"/>
      <c r="H18" s="34">
        <v>100</v>
      </c>
      <c r="I18" s="54" t="s">
        <v>114</v>
      </c>
      <c r="J18" s="49"/>
      <c r="K18" s="49"/>
      <c r="L18" s="49"/>
      <c r="M18" s="49"/>
      <c r="N18" s="49"/>
      <c r="O18" s="49"/>
    </row>
    <row r="19" spans="2:15" ht="62.25" customHeight="1" x14ac:dyDescent="0.25">
      <c r="B19" s="81"/>
      <c r="C19" s="81"/>
      <c r="D19" s="72" t="s">
        <v>80</v>
      </c>
      <c r="E19" s="13"/>
      <c r="F19" s="13"/>
      <c r="G19" s="19" t="s">
        <v>80</v>
      </c>
      <c r="H19" s="34">
        <f>1/((H24)/H18)</f>
        <v>12.977016495639477</v>
      </c>
      <c r="I19" s="54" t="s">
        <v>68</v>
      </c>
      <c r="J19" s="91" t="s">
        <v>81</v>
      </c>
      <c r="K19" s="91"/>
      <c r="L19" s="91"/>
      <c r="M19" s="91"/>
      <c r="N19" s="91"/>
      <c r="O19" s="91"/>
    </row>
    <row r="20" spans="2:15" x14ac:dyDescent="0.25">
      <c r="B20" s="81"/>
      <c r="C20" s="81"/>
      <c r="D20" s="72"/>
      <c r="E20" s="13"/>
      <c r="F20" s="13"/>
      <c r="G20" s="19"/>
      <c r="H20" s="34">
        <f>H24/H18</f>
        <v>7.7059314853766187E-2</v>
      </c>
      <c r="I20" s="54" t="s">
        <v>10</v>
      </c>
      <c r="J20" s="91" t="s">
        <v>82</v>
      </c>
      <c r="K20" s="91"/>
      <c r="L20" s="91"/>
      <c r="M20" s="91"/>
      <c r="N20" s="91"/>
      <c r="O20" s="91"/>
    </row>
    <row r="21" spans="2:15" x14ac:dyDescent="0.25">
      <c r="B21" s="81"/>
      <c r="C21" s="81"/>
      <c r="D21" s="39" t="s">
        <v>84</v>
      </c>
      <c r="E21" s="40"/>
      <c r="F21" s="40"/>
      <c r="G21" s="19" t="s">
        <v>84</v>
      </c>
      <c r="H21" s="34">
        <v>220000</v>
      </c>
      <c r="I21" s="54" t="s">
        <v>68</v>
      </c>
      <c r="J21" s="38"/>
      <c r="K21" s="38"/>
      <c r="L21" s="38"/>
      <c r="M21" s="38"/>
      <c r="N21" s="38"/>
      <c r="O21" s="38"/>
    </row>
    <row r="22" spans="2:15" x14ac:dyDescent="0.25">
      <c r="B22" s="82"/>
      <c r="C22" s="82"/>
      <c r="D22" s="14" t="s">
        <v>83</v>
      </c>
      <c r="E22" s="13"/>
      <c r="F22" s="13"/>
      <c r="G22" s="19" t="s">
        <v>83</v>
      </c>
      <c r="H22" s="63">
        <f>(3*H27*H18)/(H21*H4*H19)</f>
        <v>3.325238512566868E-11</v>
      </c>
      <c r="I22" s="54" t="s">
        <v>85</v>
      </c>
    </row>
    <row r="23" spans="2:15" ht="15.75" thickBot="1" x14ac:dyDescent="0.3">
      <c r="B23" s="3">
        <v>4.2</v>
      </c>
      <c r="C23" s="74" t="s">
        <v>3</v>
      </c>
      <c r="D23" s="74"/>
      <c r="E23" s="74"/>
      <c r="F23" s="74"/>
      <c r="G23" s="74"/>
      <c r="H23" s="74"/>
      <c r="I23" s="2"/>
    </row>
    <row r="24" spans="2:15" ht="53.25" customHeight="1" thickTop="1" x14ac:dyDescent="0.25">
      <c r="B24" s="75" t="s">
        <v>4</v>
      </c>
      <c r="C24" s="77" t="s">
        <v>5</v>
      </c>
      <c r="D24" s="8" t="s">
        <v>18</v>
      </c>
      <c r="E24" s="85"/>
      <c r="F24" s="85"/>
      <c r="G24" s="4" t="s">
        <v>13</v>
      </c>
      <c r="H24" s="4">
        <f>(SQRT(2)*(H3/0.95))/H1</f>
        <v>7.7059314853766185</v>
      </c>
      <c r="I24" s="12" t="s">
        <v>14</v>
      </c>
      <c r="J24" s="71" t="s">
        <v>15</v>
      </c>
      <c r="K24" s="71"/>
      <c r="L24" s="71"/>
      <c r="M24" s="71"/>
      <c r="N24" s="71"/>
      <c r="O24" s="71"/>
    </row>
    <row r="25" spans="2:15" ht="39.75" customHeight="1" x14ac:dyDescent="0.25">
      <c r="B25" s="76"/>
      <c r="C25" s="78"/>
      <c r="D25" s="9" t="s">
        <v>19</v>
      </c>
      <c r="E25" s="86"/>
      <c r="F25" s="86"/>
      <c r="G25" s="5" t="s">
        <v>16</v>
      </c>
      <c r="H25" s="5">
        <f>0.2*H24</f>
        <v>1.5411862970753238</v>
      </c>
      <c r="I25" s="7" t="s">
        <v>14</v>
      </c>
      <c r="J25" s="87" t="s">
        <v>17</v>
      </c>
      <c r="K25" s="87"/>
      <c r="L25" s="87"/>
      <c r="M25" s="87"/>
      <c r="N25" s="87"/>
      <c r="O25" s="87"/>
    </row>
    <row r="26" spans="2:15" ht="34.5" customHeight="1" x14ac:dyDescent="0.25">
      <c r="D26" s="9" t="s">
        <v>20</v>
      </c>
      <c r="E26" s="86"/>
      <c r="F26" s="86"/>
      <c r="G26" s="10" t="s">
        <v>21</v>
      </c>
      <c r="H26" s="10">
        <f>(H4-SQRT(2)*H1)/H4</f>
        <v>0.65654813485224828</v>
      </c>
      <c r="I26" s="10" t="s">
        <v>22</v>
      </c>
      <c r="J26" s="11"/>
      <c r="K26" s="11"/>
      <c r="L26" s="11"/>
      <c r="M26" s="11"/>
      <c r="N26" s="11"/>
      <c r="O26" s="11"/>
    </row>
    <row r="27" spans="2:15" ht="33.75" customHeight="1" thickBot="1" x14ac:dyDescent="0.3">
      <c r="B27" s="22"/>
      <c r="C27" s="22"/>
      <c r="D27" s="22"/>
      <c r="E27" s="69"/>
      <c r="F27" s="69"/>
      <c r="G27" s="21" t="s">
        <v>23</v>
      </c>
      <c r="H27" s="21">
        <f>(SQRT(2)*H1*(0.71*(1/H7)))/H25</f>
        <v>1.1075596590909088E-4</v>
      </c>
      <c r="I27" s="21" t="s">
        <v>24</v>
      </c>
      <c r="J27" s="70"/>
      <c r="K27" s="70"/>
      <c r="L27" s="70"/>
      <c r="M27" s="70"/>
      <c r="N27" s="70"/>
      <c r="O27" s="70"/>
    </row>
    <row r="28" spans="2:15" ht="45.75" customHeight="1" thickBot="1" x14ac:dyDescent="0.3">
      <c r="B28" s="23" t="s">
        <v>25</v>
      </c>
      <c r="C28" s="26" t="s">
        <v>26</v>
      </c>
      <c r="D28" s="23" t="s">
        <v>27</v>
      </c>
      <c r="E28" s="92"/>
      <c r="F28" s="92"/>
      <c r="G28" s="23" t="s">
        <v>28</v>
      </c>
      <c r="H28" s="24">
        <f>(2*H3*(1/60))/(H4^2-(H4*0.875)^2)</f>
        <v>5.1083900226757363E-4</v>
      </c>
      <c r="I28" s="25"/>
      <c r="J28" s="96" t="s">
        <v>115</v>
      </c>
      <c r="K28" s="96"/>
      <c r="L28" s="96"/>
      <c r="M28" s="96"/>
      <c r="N28" s="96"/>
    </row>
    <row r="29" spans="2:15" ht="24" customHeight="1" x14ac:dyDescent="0.25">
      <c r="B29" s="72" t="s">
        <v>37</v>
      </c>
      <c r="C29" s="81" t="s">
        <v>30</v>
      </c>
      <c r="D29" s="18" t="s">
        <v>31</v>
      </c>
      <c r="E29" s="93" t="s">
        <v>35</v>
      </c>
      <c r="F29" s="93"/>
      <c r="G29" s="93"/>
      <c r="H29" s="93"/>
      <c r="I29" s="1"/>
      <c r="J29" s="94" t="s">
        <v>32</v>
      </c>
      <c r="K29" s="94"/>
      <c r="L29" t="s">
        <v>33</v>
      </c>
      <c r="M29" s="94" t="s">
        <v>32</v>
      </c>
      <c r="N29" s="94"/>
    </row>
    <row r="30" spans="2:15" ht="33" customHeight="1" x14ac:dyDescent="0.25">
      <c r="B30" s="72"/>
      <c r="C30" s="81"/>
      <c r="D30" s="99" t="s">
        <v>34</v>
      </c>
      <c r="E30" s="95" t="s">
        <v>36</v>
      </c>
      <c r="F30" s="95"/>
      <c r="G30" s="95"/>
      <c r="H30" s="95"/>
      <c r="J30" s="94" t="s">
        <v>29</v>
      </c>
      <c r="K30" s="94"/>
      <c r="L30" t="s">
        <v>33</v>
      </c>
      <c r="M30" s="94" t="s">
        <v>29</v>
      </c>
      <c r="N30" s="94"/>
    </row>
    <row r="31" spans="2:15" ht="15.75" thickBot="1" x14ac:dyDescent="0.3">
      <c r="B31" s="73"/>
      <c r="C31" s="101"/>
      <c r="D31" s="100"/>
      <c r="E31" s="89" t="s">
        <v>39</v>
      </c>
      <c r="F31" s="89"/>
      <c r="G31" s="20" t="s">
        <v>38</v>
      </c>
      <c r="H31" s="16">
        <v>0</v>
      </c>
      <c r="I31" s="16" t="s">
        <v>40</v>
      </c>
    </row>
    <row r="32" spans="2:15" ht="16.5" thickTop="1" thickBot="1" x14ac:dyDescent="0.3">
      <c r="B32" s="27">
        <v>4.3</v>
      </c>
      <c r="C32" s="97" t="s">
        <v>43</v>
      </c>
      <c r="D32" s="97"/>
      <c r="E32" s="97"/>
      <c r="F32" s="97"/>
      <c r="G32" s="97"/>
      <c r="H32" s="97"/>
      <c r="I32" s="97"/>
    </row>
    <row r="33" spans="2:15" ht="34.5" customHeight="1" x14ac:dyDescent="0.25">
      <c r="B33" s="83" t="s">
        <v>41</v>
      </c>
      <c r="C33" s="80" t="s">
        <v>42</v>
      </c>
      <c r="D33" s="30" t="s">
        <v>48</v>
      </c>
      <c r="E33" s="98"/>
      <c r="F33" s="98"/>
      <c r="G33" s="28" t="s">
        <v>47</v>
      </c>
      <c r="H33" s="28">
        <f>(H34/(3*1*10^-9))</f>
        <v>2825508211.30476</v>
      </c>
      <c r="I33" s="29" t="s">
        <v>44</v>
      </c>
      <c r="J33" s="104" t="s">
        <v>60</v>
      </c>
      <c r="K33" s="104"/>
      <c r="L33" s="104"/>
      <c r="M33" s="104"/>
      <c r="N33" s="104"/>
      <c r="O33" s="104"/>
    </row>
    <row r="34" spans="2:15" ht="44.25" customHeight="1" x14ac:dyDescent="0.25">
      <c r="B34" s="72"/>
      <c r="C34" s="81"/>
      <c r="D34" s="9" t="s">
        <v>49</v>
      </c>
      <c r="E34" s="86"/>
      <c r="F34" s="86"/>
      <c r="G34" s="11" t="s">
        <v>46</v>
      </c>
      <c r="H34" s="11">
        <f>H24+0.5*H25</f>
        <v>8.4765246339142806</v>
      </c>
      <c r="I34" s="11" t="s">
        <v>14</v>
      </c>
    </row>
    <row r="35" spans="2:15" ht="44.25" customHeight="1" x14ac:dyDescent="0.25">
      <c r="B35" s="72"/>
      <c r="C35" s="81"/>
      <c r="D35" s="9" t="s">
        <v>42</v>
      </c>
      <c r="E35" s="86"/>
      <c r="F35" s="86"/>
      <c r="G35" s="11" t="s">
        <v>45</v>
      </c>
      <c r="H35" s="64">
        <f>H4/H33</f>
        <v>1.2387152109474047E-7</v>
      </c>
      <c r="I35" s="11" t="s">
        <v>24</v>
      </c>
    </row>
    <row r="36" spans="2:15" ht="49.5" customHeight="1" x14ac:dyDescent="0.25">
      <c r="B36" s="72"/>
      <c r="C36" s="81"/>
      <c r="D36" s="9" t="s">
        <v>54</v>
      </c>
      <c r="E36" s="86"/>
      <c r="F36" s="86"/>
      <c r="G36" s="11"/>
      <c r="H36" s="11">
        <f>SQRT(H35/(H39*10^-12))</f>
        <v>32.128844918382981</v>
      </c>
      <c r="I36" s="11"/>
    </row>
    <row r="37" spans="2:15" ht="46.5" customHeight="1" x14ac:dyDescent="0.25">
      <c r="B37" s="72"/>
      <c r="C37" s="81"/>
      <c r="D37" s="9" t="s">
        <v>55</v>
      </c>
      <c r="E37" s="86"/>
      <c r="F37" s="86"/>
      <c r="G37" s="11"/>
      <c r="H37" s="11">
        <f>SQRT(1/(H35*(H39*10^-12)))</f>
        <v>259372328.96179521</v>
      </c>
      <c r="I37" s="11"/>
    </row>
    <row r="38" spans="2:15" ht="42.75" customHeight="1" thickBot="1" x14ac:dyDescent="0.3">
      <c r="B38" s="103"/>
      <c r="C38" s="79"/>
      <c r="D38" s="31" t="s">
        <v>49</v>
      </c>
      <c r="E38" s="88"/>
      <c r="F38" s="105"/>
      <c r="G38" s="22"/>
      <c r="H38" s="22">
        <f>H24+(H4/H36)</f>
        <v>18.599569301772018</v>
      </c>
      <c r="I38" s="22"/>
    </row>
    <row r="39" spans="2:15" ht="49.5" customHeight="1" x14ac:dyDescent="0.25">
      <c r="B39" s="83" t="s">
        <v>50</v>
      </c>
      <c r="C39" s="80" t="s">
        <v>65</v>
      </c>
      <c r="D39" s="32" t="s">
        <v>51</v>
      </c>
      <c r="E39" s="33"/>
      <c r="G39" t="s">
        <v>52</v>
      </c>
      <c r="H39">
        <v>120</v>
      </c>
      <c r="I39" t="s">
        <v>53</v>
      </c>
      <c r="J39" s="91" t="s">
        <v>124</v>
      </c>
      <c r="K39" s="91"/>
      <c r="L39" s="91"/>
      <c r="M39" s="91"/>
      <c r="N39" s="91"/>
      <c r="O39" s="91"/>
    </row>
    <row r="40" spans="2:15" x14ac:dyDescent="0.25">
      <c r="B40" s="72"/>
      <c r="C40" s="81"/>
      <c r="G40" t="s">
        <v>57</v>
      </c>
      <c r="H40">
        <f>H24/(H4/H35)</f>
        <v>2.7272727272727274E-9</v>
      </c>
      <c r="I40" t="s">
        <v>40</v>
      </c>
    </row>
    <row r="41" spans="2:15" x14ac:dyDescent="0.25">
      <c r="B41" s="72"/>
      <c r="C41" s="81"/>
      <c r="G41" t="s">
        <v>56</v>
      </c>
      <c r="H41">
        <f>(PI()/2)*SQRT(H35*(H39*10^-12))</f>
        <v>6.056144589835064E-9</v>
      </c>
      <c r="I41" t="s">
        <v>40</v>
      </c>
    </row>
    <row r="42" spans="2:15" x14ac:dyDescent="0.25">
      <c r="B42" s="72"/>
      <c r="C42" s="81"/>
      <c r="G42" t="s">
        <v>59</v>
      </c>
      <c r="H42">
        <f>(H40+H41+1*10^-9)/H8</f>
        <v>4.8917086585538961E-3</v>
      </c>
    </row>
    <row r="43" spans="2:15" x14ac:dyDescent="0.25">
      <c r="B43" s="72"/>
      <c r="C43" s="81"/>
      <c r="G43" t="s">
        <v>61</v>
      </c>
      <c r="H43">
        <f>H2/(1-H42)</f>
        <v>271.32725387709223</v>
      </c>
      <c r="I43" t="s">
        <v>7</v>
      </c>
    </row>
    <row r="44" spans="2:15" x14ac:dyDescent="0.25">
      <c r="B44" s="72"/>
      <c r="C44" s="81"/>
      <c r="G44" t="s">
        <v>62</v>
      </c>
      <c r="H44">
        <f>( (H34*H35)/H4)+(PI()/2)*SQRT(H35*(H39*10^-12))</f>
        <v>9.0561445898350636E-9</v>
      </c>
      <c r="I44" t="s">
        <v>40</v>
      </c>
    </row>
    <row r="45" spans="2:15" ht="68.25" customHeight="1" thickBot="1" x14ac:dyDescent="0.3">
      <c r="B45" s="103"/>
      <c r="C45" s="79"/>
      <c r="D45" s="42" t="s">
        <v>64</v>
      </c>
      <c r="E45" s="22"/>
      <c r="F45" s="22"/>
      <c r="G45" s="22" t="s">
        <v>63</v>
      </c>
      <c r="H45" s="22">
        <f>H38*SQRT(H44/H8)</f>
        <v>1.2515827353126463</v>
      </c>
      <c r="I45" s="22" t="s">
        <v>14</v>
      </c>
    </row>
    <row r="46" spans="2:15" ht="68.25" customHeight="1" x14ac:dyDescent="0.25">
      <c r="B46" s="68">
        <v>4.5999999999999996</v>
      </c>
      <c r="C46" s="67" t="s">
        <v>137</v>
      </c>
      <c r="D46" s="67"/>
      <c r="E46" s="19"/>
      <c r="F46" s="19"/>
      <c r="G46" s="19"/>
      <c r="H46" s="19"/>
      <c r="I46" s="19"/>
    </row>
    <row r="47" spans="2:15" ht="68.25" customHeight="1" thickBot="1" x14ac:dyDescent="0.3">
      <c r="B47" s="68"/>
      <c r="C47" s="67"/>
      <c r="D47" s="67"/>
      <c r="E47" s="19"/>
      <c r="F47" s="19"/>
      <c r="G47" s="19"/>
      <c r="H47" s="19"/>
      <c r="I47" s="19"/>
    </row>
    <row r="48" spans="2:15" x14ac:dyDescent="0.25">
      <c r="B48" s="83" t="s">
        <v>86</v>
      </c>
      <c r="C48" s="80" t="s">
        <v>98</v>
      </c>
      <c r="D48" t="s">
        <v>88</v>
      </c>
      <c r="G48" s="59" t="s">
        <v>87</v>
      </c>
      <c r="H48">
        <f>(H4*((1/H18)*H19)/((2*PI()*H50*H27*5.2)))</f>
        <v>1.2551411265016057</v>
      </c>
      <c r="J48" s="84" t="s">
        <v>90</v>
      </c>
      <c r="K48" s="84"/>
      <c r="L48" s="84"/>
      <c r="M48" s="84"/>
      <c r="N48" s="84"/>
    </row>
    <row r="49" spans="1:14" x14ac:dyDescent="0.25">
      <c r="B49" s="72"/>
      <c r="C49" s="81"/>
      <c r="G49" s="59" t="s">
        <v>141</v>
      </c>
      <c r="H49">
        <f>1/H48</f>
        <v>0.79672315637306201</v>
      </c>
      <c r="J49" s="66"/>
      <c r="K49" s="66"/>
      <c r="L49" s="66"/>
      <c r="M49" s="66"/>
      <c r="N49" s="66"/>
    </row>
    <row r="50" spans="1:14" x14ac:dyDescent="0.25">
      <c r="B50" s="76"/>
      <c r="C50" s="78"/>
      <c r="D50" t="s">
        <v>99</v>
      </c>
      <c r="G50" s="59" t="s">
        <v>92</v>
      </c>
      <c r="H50">
        <v>10000</v>
      </c>
      <c r="I50" t="s">
        <v>101</v>
      </c>
      <c r="J50" s="46"/>
      <c r="K50" s="46"/>
      <c r="L50" s="46"/>
      <c r="M50" s="46"/>
      <c r="N50" s="46"/>
    </row>
    <row r="51" spans="1:14" x14ac:dyDescent="0.25">
      <c r="A51" t="s">
        <v>95</v>
      </c>
      <c r="B51" s="76"/>
      <c r="C51" s="78"/>
      <c r="D51" t="s">
        <v>100</v>
      </c>
      <c r="G51" s="59" t="s">
        <v>96</v>
      </c>
      <c r="H51">
        <v>250000</v>
      </c>
      <c r="I51" t="s">
        <v>101</v>
      </c>
      <c r="J51" s="46"/>
      <c r="K51" s="46"/>
      <c r="L51" s="46"/>
      <c r="M51" s="46"/>
      <c r="N51" s="46"/>
    </row>
    <row r="52" spans="1:14" x14ac:dyDescent="0.25">
      <c r="B52" s="76"/>
      <c r="C52" s="78"/>
      <c r="D52" s="19"/>
      <c r="E52" s="19"/>
      <c r="F52" s="19"/>
      <c r="G52" s="59" t="s">
        <v>89</v>
      </c>
      <c r="H52" s="19">
        <v>3300</v>
      </c>
      <c r="I52" s="19" t="s">
        <v>68</v>
      </c>
    </row>
    <row r="53" spans="1:14" x14ac:dyDescent="0.25">
      <c r="B53" s="76"/>
      <c r="C53" s="78"/>
      <c r="G53" s="59" t="s">
        <v>91</v>
      </c>
      <c r="H53" s="106">
        <f>H52/H48</f>
        <v>2629.1864160311047</v>
      </c>
      <c r="I53" s="59" t="s">
        <v>68</v>
      </c>
    </row>
    <row r="54" spans="1:14" x14ac:dyDescent="0.25">
      <c r="B54" s="76"/>
      <c r="C54" s="78"/>
      <c r="G54" s="59" t="s">
        <v>93</v>
      </c>
      <c r="H54" s="107">
        <f>1/(2*PI()*H50*H53)</f>
        <v>6.0533913503230433E-9</v>
      </c>
      <c r="I54" s="59" t="s">
        <v>85</v>
      </c>
    </row>
    <row r="55" spans="1:14" ht="15.75" thickBot="1" x14ac:dyDescent="0.3">
      <c r="B55" s="103"/>
      <c r="C55" s="79"/>
      <c r="D55" s="22"/>
      <c r="E55" s="22"/>
      <c r="F55" s="22"/>
      <c r="G55" s="60" t="s">
        <v>94</v>
      </c>
      <c r="H55" s="108">
        <f>1/(2*PI()*H53*H51)</f>
        <v>2.4213565401292174E-10</v>
      </c>
      <c r="I55" s="60" t="s">
        <v>85</v>
      </c>
    </row>
    <row r="56" spans="1:14" x14ac:dyDescent="0.25">
      <c r="B56" s="83" t="s">
        <v>97</v>
      </c>
      <c r="C56" s="80" t="s">
        <v>102</v>
      </c>
      <c r="D56" s="102" t="s">
        <v>104</v>
      </c>
      <c r="E56" s="102"/>
      <c r="G56" s="59" t="s">
        <v>103</v>
      </c>
      <c r="H56">
        <f>(H3)/(2*PI()*120*H28*H4)</f>
        <v>3.2639197313767605</v>
      </c>
      <c r="I56" s="59" t="s">
        <v>7</v>
      </c>
    </row>
    <row r="57" spans="1:14" x14ac:dyDescent="0.25">
      <c r="B57" s="72"/>
      <c r="C57" s="81"/>
      <c r="G57" s="59" t="s">
        <v>105</v>
      </c>
      <c r="H57">
        <f>H56*2</f>
        <v>6.527839462753521</v>
      </c>
      <c r="I57" s="59" t="s">
        <v>7</v>
      </c>
    </row>
    <row r="58" spans="1:14" x14ac:dyDescent="0.25">
      <c r="B58" s="72"/>
      <c r="C58" s="81"/>
      <c r="G58" s="59" t="s">
        <v>116</v>
      </c>
      <c r="H58">
        <f>0.075</f>
        <v>7.4999999999999997E-2</v>
      </c>
      <c r="I58" s="59" t="s">
        <v>7</v>
      </c>
    </row>
    <row r="59" spans="1:14" x14ac:dyDescent="0.25">
      <c r="B59" s="72"/>
      <c r="C59" s="81"/>
      <c r="G59" s="59" t="s">
        <v>117</v>
      </c>
      <c r="H59">
        <f>H58/H57</f>
        <v>1.1489253133128385E-2</v>
      </c>
      <c r="I59" s="59" t="s">
        <v>88</v>
      </c>
    </row>
    <row r="60" spans="1:14" x14ac:dyDescent="0.25">
      <c r="B60" s="72"/>
      <c r="C60" s="81"/>
      <c r="G60" s="59" t="s">
        <v>106</v>
      </c>
      <c r="H60">
        <v>1360000</v>
      </c>
      <c r="I60" s="59" t="s">
        <v>68</v>
      </c>
    </row>
    <row r="61" spans="1:14" x14ac:dyDescent="0.25">
      <c r="B61" s="72"/>
      <c r="C61" s="81"/>
      <c r="G61" s="59" t="s">
        <v>107</v>
      </c>
      <c r="H61">
        <v>11239</v>
      </c>
      <c r="I61" s="59" t="s">
        <v>68</v>
      </c>
    </row>
    <row r="62" spans="1:14" x14ac:dyDescent="0.25">
      <c r="B62" s="72"/>
      <c r="C62" s="81"/>
      <c r="G62" s="59" t="s">
        <v>108</v>
      </c>
      <c r="H62" s="62">
        <f>1/(2*PI()*120*H59*H60)</f>
        <v>8.4880548873167096E-8</v>
      </c>
      <c r="I62" s="59" t="s">
        <v>85</v>
      </c>
    </row>
    <row r="63" spans="1:14" x14ac:dyDescent="0.25">
      <c r="B63" s="72"/>
      <c r="C63" s="81"/>
      <c r="G63" s="59" t="s">
        <v>118</v>
      </c>
      <c r="H63">
        <f xml:space="preserve"> H3/(2*PI()*H4*5*H28)</f>
        <v>78.334073553042259</v>
      </c>
      <c r="I63" s="59"/>
    </row>
    <row r="64" spans="1:14" x14ac:dyDescent="0.25">
      <c r="B64" s="72"/>
      <c r="C64" s="81"/>
      <c r="G64" s="59" t="s">
        <v>120</v>
      </c>
      <c r="H64">
        <f>1/(2*PI()*H60*H62)</f>
        <v>1.3787103759754062</v>
      </c>
      <c r="I64" s="59"/>
    </row>
    <row r="65" spans="2:9" x14ac:dyDescent="0.25">
      <c r="B65" s="72"/>
      <c r="C65" s="81"/>
      <c r="G65" s="59" t="s">
        <v>119</v>
      </c>
      <c r="H65">
        <f>SQRT(H63*H64)</f>
        <v>10.392304845413264</v>
      </c>
      <c r="I65" s="59"/>
    </row>
    <row r="66" spans="2:9" ht="15.75" thickBot="1" x14ac:dyDescent="0.3">
      <c r="B66" s="103"/>
      <c r="C66" s="79"/>
      <c r="D66" s="22"/>
      <c r="E66" s="22"/>
      <c r="F66" s="22"/>
      <c r="G66" s="60" t="s">
        <v>109</v>
      </c>
      <c r="H66" s="22">
        <f>1/(2*PI()*H65*H62)</f>
        <v>180426.39618622433</v>
      </c>
      <c r="I66" s="22"/>
    </row>
    <row r="67" spans="2:9" x14ac:dyDescent="0.25">
      <c r="B67">
        <v>4.8</v>
      </c>
      <c r="C67" t="s">
        <v>121</v>
      </c>
      <c r="H67">
        <f>7.5/H4</f>
        <v>2.1428571428571429E-2</v>
      </c>
      <c r="I67">
        <f>1/H67</f>
        <v>46.666666666666664</v>
      </c>
    </row>
    <row r="68" spans="2:9" x14ac:dyDescent="0.25">
      <c r="G68" t="s">
        <v>122</v>
      </c>
      <c r="H68">
        <v>2000000</v>
      </c>
    </row>
    <row r="69" spans="2:9" x14ac:dyDescent="0.25">
      <c r="G69" t="s">
        <v>123</v>
      </c>
      <c r="H69">
        <f>(H67)*H68*(1+(H67))</f>
        <v>43775.510204081627</v>
      </c>
    </row>
  </sheetData>
  <mergeCells count="58">
    <mergeCell ref="D56:E56"/>
    <mergeCell ref="J20:O20"/>
    <mergeCell ref="J48:N48"/>
    <mergeCell ref="C48:C55"/>
    <mergeCell ref="B48:B55"/>
    <mergeCell ref="J39:O39"/>
    <mergeCell ref="C39:C45"/>
    <mergeCell ref="B39:B45"/>
    <mergeCell ref="J33:O33"/>
    <mergeCell ref="E36:F36"/>
    <mergeCell ref="E38:F38"/>
    <mergeCell ref="E37:F37"/>
    <mergeCell ref="C33:C38"/>
    <mergeCell ref="B33:B38"/>
    <mergeCell ref="C56:C66"/>
    <mergeCell ref="B56:B66"/>
    <mergeCell ref="C32:I32"/>
    <mergeCell ref="E33:F33"/>
    <mergeCell ref="E34:F34"/>
    <mergeCell ref="E35:F35"/>
    <mergeCell ref="D30:D31"/>
    <mergeCell ref="C29:C31"/>
    <mergeCell ref="B29:B31"/>
    <mergeCell ref="E31:F31"/>
    <mergeCell ref="E28:F28"/>
    <mergeCell ref="E29:H29"/>
    <mergeCell ref="M29:N29"/>
    <mergeCell ref="M30:N30"/>
    <mergeCell ref="J30:K30"/>
    <mergeCell ref="J29:K29"/>
    <mergeCell ref="E30:H30"/>
    <mergeCell ref="J28:N28"/>
    <mergeCell ref="J3:O3"/>
    <mergeCell ref="E24:F24"/>
    <mergeCell ref="E25:F25"/>
    <mergeCell ref="J25:O25"/>
    <mergeCell ref="E26:F26"/>
    <mergeCell ref="E7:F9"/>
    <mergeCell ref="C13:I13"/>
    <mergeCell ref="C7:C9"/>
    <mergeCell ref="C15:C16"/>
    <mergeCell ref="J19:O19"/>
    <mergeCell ref="D19:D20"/>
    <mergeCell ref="J9:O9"/>
    <mergeCell ref="J10:O12"/>
    <mergeCell ref="E27:F27"/>
    <mergeCell ref="J27:O27"/>
    <mergeCell ref="J24:O24"/>
    <mergeCell ref="B7:B9"/>
    <mergeCell ref="C23:H23"/>
    <mergeCell ref="B24:B25"/>
    <mergeCell ref="C24:C25"/>
    <mergeCell ref="B11:B12"/>
    <mergeCell ref="B15:B16"/>
    <mergeCell ref="C10:C12"/>
    <mergeCell ref="C18:C22"/>
    <mergeCell ref="B18:B22"/>
    <mergeCell ref="D18:E18"/>
  </mergeCells>
  <hyperlinks>
    <hyperlink ref="J30" r:id="rId1" display="https://www.digikey.com/product-detail/en/cree-wolfspeed/C3D06065I/C3D06065I-ND/5067191"/>
    <hyperlink ref="J29" r:id="rId2" display="https://www.digikey.com/product-detail/en/cree-wolfspeed/C3M0065090D/C3M0065090D-ND/5253283"/>
    <hyperlink ref="M29" r:id="rId3" display="http://www.wolfspeed.com/media/downloads/176/C3M0065090D.pdf"/>
    <hyperlink ref="M30" r:id="rId4" display="http://www.wolfspeed.com/media/downloads/44/C3D06065I.pdf"/>
  </hyperlinks>
  <pageMargins left="0.7" right="0.7" top="0.75" bottom="0.75" header="0.3" footer="0.3"/>
  <pageSetup scale="76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7"/>
  <sheetViews>
    <sheetView workbookViewId="0">
      <selection activeCell="Q8" sqref="Q8"/>
    </sheetView>
  </sheetViews>
  <sheetFormatPr defaultRowHeight="15" x14ac:dyDescent="0.25"/>
  <cols>
    <col min="2" max="2" width="9.140625" customWidth="1"/>
    <col min="8" max="8" width="11.85546875" customWidth="1"/>
    <col min="13" max="13" width="16.7109375" bestFit="1" customWidth="1"/>
    <col min="14" max="14" width="20.140625" customWidth="1"/>
    <col min="16" max="16" width="17.85546875" bestFit="1" customWidth="1"/>
    <col min="17" max="17" width="16.7109375" bestFit="1" customWidth="1"/>
  </cols>
  <sheetData>
    <row r="2" spans="1:19" x14ac:dyDescent="0.25">
      <c r="A2" s="84" t="s">
        <v>125</v>
      </c>
      <c r="B2" s="84"/>
      <c r="C2" s="84"/>
      <c r="D2">
        <f>'Power Factor Correction'!H27</f>
        <v>1.1075596590909088E-4</v>
      </c>
      <c r="E2" t="s">
        <v>24</v>
      </c>
      <c r="M2" t="s">
        <v>131</v>
      </c>
      <c r="N2" s="65" t="s">
        <v>132</v>
      </c>
      <c r="O2" t="s">
        <v>127</v>
      </c>
      <c r="P2" t="s">
        <v>139</v>
      </c>
      <c r="Q2" t="s">
        <v>140</v>
      </c>
      <c r="R2" t="s">
        <v>128</v>
      </c>
      <c r="S2" t="s">
        <v>129</v>
      </c>
    </row>
    <row r="3" spans="1:19" x14ac:dyDescent="0.25">
      <c r="A3" s="84" t="s">
        <v>126</v>
      </c>
      <c r="B3" s="84"/>
      <c r="C3" s="84"/>
      <c r="D3">
        <f>'Power Factor Correction'!H24+('Power Factor Correction'!H24*0.2)</f>
        <v>9.2471177824519426</v>
      </c>
      <c r="E3" t="s">
        <v>14</v>
      </c>
      <c r="H3" t="s">
        <v>130</v>
      </c>
      <c r="M3">
        <v>76</v>
      </c>
      <c r="N3" s="65">
        <v>97</v>
      </c>
      <c r="O3">
        <v>125</v>
      </c>
      <c r="P3">
        <v>173</v>
      </c>
      <c r="Q3">
        <v>173</v>
      </c>
    </row>
    <row r="4" spans="1:19" x14ac:dyDescent="0.25">
      <c r="H4" t="s">
        <v>135</v>
      </c>
      <c r="M4">
        <v>360</v>
      </c>
      <c r="N4" s="65">
        <v>360</v>
      </c>
      <c r="O4">
        <v>340</v>
      </c>
      <c r="P4">
        <v>340</v>
      </c>
      <c r="Q4">
        <v>340</v>
      </c>
    </row>
    <row r="5" spans="1:19" x14ac:dyDescent="0.25">
      <c r="H5" t="s">
        <v>133</v>
      </c>
      <c r="M5">
        <v>124</v>
      </c>
      <c r="N5" s="65">
        <v>153</v>
      </c>
      <c r="O5">
        <v>196</v>
      </c>
      <c r="P5">
        <v>262</v>
      </c>
      <c r="Q5">
        <v>194</v>
      </c>
    </row>
    <row r="6" spans="1:19" x14ac:dyDescent="0.25">
      <c r="H6" t="s">
        <v>134</v>
      </c>
      <c r="M6">
        <f>SQRT(D2/(M5*10^-9))</f>
        <v>29.886339244885953</v>
      </c>
      <c r="N6" s="65">
        <f>SQRT($D$2/(N5*10^-9))</f>
        <v>26.905300630548652</v>
      </c>
      <c r="O6" s="65">
        <f t="shared" ref="O6:Q6" si="0">SQRT($D$2/(O5*10^-9))</f>
        <v>23.771442083303473</v>
      </c>
      <c r="P6" s="65">
        <f t="shared" si="0"/>
        <v>20.560464350532239</v>
      </c>
      <c r="Q6" s="65">
        <f t="shared" si="0"/>
        <v>23.893661100143479</v>
      </c>
    </row>
    <row r="7" spans="1:19" x14ac:dyDescent="0.25">
      <c r="H7" t="s">
        <v>136</v>
      </c>
      <c r="M7">
        <f>($D$2*$D$3)/(ROUNDUP(M6,1)*M3*10^-6)</f>
        <v>0.45070122419934666</v>
      </c>
      <c r="N7" s="65">
        <f>($D$2*$D$3)/(ROUNDUP(N6,1)*N3*10^-6)</f>
        <v>0.39105515917166683</v>
      </c>
      <c r="O7" s="65">
        <f t="shared" ref="O7:Q7" si="1">($D$2*$D$3)/(ROUNDUP(O6,1)*O3*10^-6)</f>
        <v>0.3442599871833934</v>
      </c>
      <c r="P7" s="65">
        <f t="shared" si="1"/>
        <v>0.28738241816897558</v>
      </c>
      <c r="Q7" s="65">
        <f t="shared" si="1"/>
        <v>0.24770200059752706</v>
      </c>
    </row>
    <row r="8" spans="1:19" x14ac:dyDescent="0.25">
      <c r="H8" t="s">
        <v>138</v>
      </c>
      <c r="P8">
        <f>(P4*10^-3*ROUNDUP(P6,1)*P3*10^-6)/($D$2)</f>
        <v>10.940196223782326</v>
      </c>
      <c r="Q8">
        <f>(Q4*10^-3*ROUNDUP(Q6,1)*Q3*10^-6)/(D2)</f>
        <v>12.692751929533864</v>
      </c>
    </row>
    <row r="16" spans="1:19" x14ac:dyDescent="0.25">
      <c r="F16">
        <f>11.1*2*PI()*27</f>
        <v>1883.0706365617218</v>
      </c>
    </row>
    <row r="17" spans="6:6" x14ac:dyDescent="0.25">
      <c r="F17">
        <f>F16/1000</f>
        <v>1.8830706365617218</v>
      </c>
    </row>
  </sheetData>
  <mergeCells count="2">
    <mergeCell ref="A2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Factor Correction</vt:lpstr>
      <vt:lpstr>Inductor Design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</dc:creator>
  <cp:lastModifiedBy>Tv</cp:lastModifiedBy>
  <cp:lastPrinted>2017-04-17T16:39:47Z</cp:lastPrinted>
  <dcterms:created xsi:type="dcterms:W3CDTF">2017-04-16T23:18:26Z</dcterms:created>
  <dcterms:modified xsi:type="dcterms:W3CDTF">2017-11-09T18:35:09Z</dcterms:modified>
</cp:coreProperties>
</file>