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v\Real Documents\Engineering Projects\Senior-Design-VFD\Power-Factor-Correction\Design Files\"/>
    </mc:Choice>
  </mc:AlternateContent>
  <bookViews>
    <workbookView xWindow="0" yWindow="0" windowWidth="17925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0" i="1" l="1"/>
  <c r="H19" i="1"/>
  <c r="H22" i="1"/>
  <c r="H12" i="1"/>
  <c r="H57" i="1"/>
  <c r="H17" i="1" l="1"/>
  <c r="H16" i="1"/>
  <c r="H8" i="1" l="1"/>
  <c r="H28" i="1"/>
  <c r="H53" i="1" s="1"/>
  <c r="H54" i="1" s="1"/>
  <c r="H26" i="1" l="1"/>
  <c r="H24" i="1"/>
  <c r="H9" i="1"/>
  <c r="H25" i="1" l="1"/>
  <c r="H27" i="1" s="1"/>
  <c r="H46" i="1" l="1"/>
  <c r="H50" i="1" s="1"/>
  <c r="H34" i="1"/>
  <c r="H33" i="1" s="1"/>
  <c r="H35" i="1" s="1"/>
  <c r="H52" i="1" l="1"/>
  <c r="H51" i="1"/>
  <c r="H44" i="1"/>
  <c r="H37" i="1"/>
  <c r="H41" i="1"/>
  <c r="H36" i="1"/>
  <c r="H38" i="1" s="1"/>
  <c r="H40" i="1"/>
  <c r="H45" i="1" l="1"/>
  <c r="H42" i="1"/>
  <c r="H43" i="1" s="1"/>
</calcChain>
</file>

<file path=xl/sharedStrings.xml><?xml version="1.0" encoding="utf-8"?>
<sst xmlns="http://schemas.openxmlformats.org/spreadsheetml/2006/main" count="153" uniqueCount="118">
  <si>
    <t>Oscillator</t>
  </si>
  <si>
    <t xml:space="preserve">Frequency </t>
  </si>
  <si>
    <t xml:space="preserve">Capacitor CT </t>
  </si>
  <si>
    <t>Power Stage Design</t>
  </si>
  <si>
    <t>4.2.1</t>
  </si>
  <si>
    <t>Inductor Design</t>
  </si>
  <si>
    <t>Vin(min)</t>
  </si>
  <si>
    <t>Volts</t>
  </si>
  <si>
    <t>Vin(Max)</t>
  </si>
  <si>
    <t>Po(max)</t>
  </si>
  <si>
    <t>Watts</t>
  </si>
  <si>
    <t>(this is 1/2 Horsepower(372 watts) at 85% efficiency)</t>
  </si>
  <si>
    <t>Vo</t>
  </si>
  <si>
    <t>Ipk</t>
  </si>
  <si>
    <t>Amps</t>
  </si>
  <si>
    <t>(assuming 95% efficiency)</t>
  </si>
  <si>
    <t>I(Ripple)</t>
  </si>
  <si>
    <t>Assuming 20% Ripple Ratio</t>
  </si>
  <si>
    <t>Peak Current</t>
  </si>
  <si>
    <t>Inductor Current Ripple</t>
  </si>
  <si>
    <t>Conversion Ratio</t>
  </si>
  <si>
    <t>D</t>
  </si>
  <si>
    <t>Ratio</t>
  </si>
  <si>
    <t>L1</t>
  </si>
  <si>
    <t>Henries</t>
  </si>
  <si>
    <t>4.2.2</t>
  </si>
  <si>
    <t>Output Capacitor Selection</t>
  </si>
  <si>
    <t>Capacitor</t>
  </si>
  <si>
    <t>Co</t>
  </si>
  <si>
    <t>C3D06065I</t>
  </si>
  <si>
    <t>Power MOSFET &amp; Diode Selection</t>
  </si>
  <si>
    <t>MOSFET</t>
  </si>
  <si>
    <t>C3M0065090D</t>
  </si>
  <si>
    <t xml:space="preserve">Data Sheet  </t>
  </si>
  <si>
    <t>Diode</t>
  </si>
  <si>
    <t>Cree  MOSFET N-CH 900V 36A TO247-3 Silicon Carbide</t>
  </si>
  <si>
    <t>Cree  Diode Silicon Carbide Schottky 13A (DC) Through Hole TO-220-2 Isolated Tab</t>
  </si>
  <si>
    <t>4.2.3</t>
  </si>
  <si>
    <t>trr</t>
  </si>
  <si>
    <t>Diode Reverse Recovery</t>
  </si>
  <si>
    <t>Seconds</t>
  </si>
  <si>
    <t>4.3.1</t>
  </si>
  <si>
    <t>Resonant Inductor</t>
  </si>
  <si>
    <t>ZVT Circuit Design</t>
  </si>
  <si>
    <t>A/μs</t>
  </si>
  <si>
    <t>Lr</t>
  </si>
  <si>
    <t>IINp</t>
  </si>
  <si>
    <t>di/dt</t>
  </si>
  <si>
    <t>Diode recovery slew rate</t>
  </si>
  <si>
    <t>Peak resonant inductor current</t>
  </si>
  <si>
    <t>4.3.2</t>
  </si>
  <si>
    <t>Resonant Capacitor</t>
  </si>
  <si>
    <t>Cr</t>
  </si>
  <si>
    <t>pF</t>
  </si>
  <si>
    <t>Resonant Characteristic Impedance</t>
  </si>
  <si>
    <t>Resonant Frequency</t>
  </si>
  <si>
    <t>t12</t>
  </si>
  <si>
    <t>t01</t>
  </si>
  <si>
    <t>Period</t>
  </si>
  <si>
    <t>Dmin</t>
  </si>
  <si>
    <t>A practical Value of 1 Nano Seconds was used for diode recovery time. (SiC Diodes have no recovery time)</t>
  </si>
  <si>
    <t>Vo(min)</t>
  </si>
  <si>
    <t>The equivalent resonant capacitance is equal to the Coss (output capacitance) plus an additional capcitor in parallelle  with the main power MOSFET</t>
  </si>
  <si>
    <t xml:space="preserve">tZVT </t>
  </si>
  <si>
    <t>IRMS</t>
  </si>
  <si>
    <t>RMS Current of ZVT Switch</t>
  </si>
  <si>
    <t>Resonant Capacitance Related Equations</t>
  </si>
  <si>
    <t>ZVT Control Circuit</t>
  </si>
  <si>
    <t>R12</t>
  </si>
  <si>
    <t>Ohms</t>
  </si>
  <si>
    <t>C6</t>
  </si>
  <si>
    <t>Gate Drives</t>
  </si>
  <si>
    <t>3.1.1</t>
  </si>
  <si>
    <t>VRMS</t>
  </si>
  <si>
    <t>Current Synthesizer</t>
  </si>
  <si>
    <t>3.1.2</t>
  </si>
  <si>
    <t>3.1.3</t>
  </si>
  <si>
    <t>IAC</t>
  </si>
  <si>
    <r>
      <rPr>
        <sz val="11"/>
        <color theme="1"/>
        <rFont val="Calibri"/>
        <family val="2"/>
      </rPr>
      <t>µ</t>
    </r>
    <r>
      <rPr>
        <sz val="9.35"/>
        <color theme="1"/>
        <rFont val="Calibri"/>
        <family val="2"/>
      </rPr>
      <t>A</t>
    </r>
  </si>
  <si>
    <t>RIMO</t>
  </si>
  <si>
    <t>RIAC</t>
  </si>
  <si>
    <t>RS</t>
  </si>
  <si>
    <t>Using a 100:1 ratio current transformer (Coil Craft Model # CST1-100L_) This resistor value makes the output of the current transformer 1V at peak current. 1.4V is the trip current limit trip current</t>
  </si>
  <si>
    <t>Power Rating of RS</t>
  </si>
  <si>
    <t>CI</t>
  </si>
  <si>
    <t>RRVS</t>
  </si>
  <si>
    <t>Farads</t>
  </si>
  <si>
    <t>4.7.2</t>
  </si>
  <si>
    <t>G</t>
  </si>
  <si>
    <t>Gain</t>
  </si>
  <si>
    <t>RI</t>
  </si>
  <si>
    <t>Use Same values and sample schematic for R1,R2,R3</t>
  </si>
  <si>
    <t>RF</t>
  </si>
  <si>
    <t>Fz</t>
  </si>
  <si>
    <t>Cz</t>
  </si>
  <si>
    <t>Cp</t>
  </si>
  <si>
    <t>F</t>
  </si>
  <si>
    <t>Fp</t>
  </si>
  <si>
    <t>4.7.3</t>
  </si>
  <si>
    <t>Current Loop Design</t>
  </si>
  <si>
    <t>Low cutoff</t>
  </si>
  <si>
    <t>High Cutoff</t>
  </si>
  <si>
    <t>Hertz</t>
  </si>
  <si>
    <t>Voltage Loop Design</t>
  </si>
  <si>
    <t>Vopk</t>
  </si>
  <si>
    <t>Output Voltage Ripple</t>
  </si>
  <si>
    <t>Vpp</t>
  </si>
  <si>
    <t>Ri</t>
  </si>
  <si>
    <t>Rd</t>
  </si>
  <si>
    <t>Cf</t>
  </si>
  <si>
    <t>Rf</t>
  </si>
  <si>
    <t>1/(2*PI()*</t>
  </si>
  <si>
    <t>Rounded to 180pF</t>
  </si>
  <si>
    <t>ZVS Rise Time</t>
  </si>
  <si>
    <t>This is part of the low pass filter that drives the ZVS pin. D6 needs to be selected and D13 needs to be a zener with a Max voltages of 7.5V. ZVS Rise time is the time it takes the pin to rise to the 2.5 ZVS trigger point</t>
  </si>
  <si>
    <t>Current Transformer Ratio</t>
  </si>
  <si>
    <t>Ratio to 1</t>
  </si>
  <si>
    <t>ESMR451VSN121MP25S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</si>
</sst>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000"/>
    <numFmt numFmtId="175" formatCode="0.00000000"/>
    <numFmt numFmtId="183" formatCode="0.000000000000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9.35"/>
      <color theme="1"/>
      <name val="Calibri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0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6" xfId="0" applyBorder="1"/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/>
    <xf numFmtId="0" fontId="0" fillId="0" borderId="0" xfId="0" applyAlignment="1">
      <alignment horizont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0" xfId="0" applyBorder="1"/>
    <xf numFmtId="0" fontId="0" fillId="0" borderId="7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/>
    <xf numFmtId="0" fontId="0" fillId="0" borderId="10" xfId="0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0" fontId="0" fillId="0" borderId="10" xfId="0" applyBorder="1"/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3" xfId="0" applyBorder="1"/>
    <xf numFmtId="0" fontId="3" fillId="0" borderId="13" xfId="0" applyFont="1" applyBorder="1"/>
    <xf numFmtId="0" fontId="0" fillId="0" borderId="1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2" xfId="0" applyBorder="1"/>
    <xf numFmtId="0" fontId="0" fillId="0" borderId="0" xfId="0" applyBorder="1" applyAlignment="1">
      <alignment horizontal="left"/>
    </xf>
    <xf numFmtId="0" fontId="0" fillId="0" borderId="8" xfId="0" applyBorder="1" applyAlignment="1">
      <alignment horizontal="center"/>
    </xf>
    <xf numFmtId="0" fontId="0" fillId="0" borderId="8" xfId="0" applyBorder="1" applyAlignment="1">
      <alignment horizontal="left"/>
    </xf>
    <xf numFmtId="0" fontId="0" fillId="0" borderId="14" xfId="0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11" xfId="0" applyBorder="1" applyAlignment="1">
      <alignment horizontal="center"/>
    </xf>
    <xf numFmtId="0" fontId="0" fillId="0" borderId="11" xfId="0" applyBorder="1"/>
    <xf numFmtId="0" fontId="0" fillId="0" borderId="11" xfId="0" applyBorder="1" applyAlignment="1">
      <alignment horizontal="left"/>
    </xf>
    <xf numFmtId="0" fontId="3" fillId="0" borderId="0" xfId="0" applyFont="1" applyBorder="1"/>
    <xf numFmtId="0" fontId="3" fillId="0" borderId="0" xfId="0" applyFont="1" applyFill="1" applyBorder="1"/>
    <xf numFmtId="0" fontId="0" fillId="0" borderId="10" xfId="0" applyBorder="1" applyAlignment="1">
      <alignment horizontal="center"/>
    </xf>
    <xf numFmtId="0" fontId="3" fillId="0" borderId="8" xfId="0" applyFont="1" applyFill="1" applyBorder="1"/>
    <xf numFmtId="0" fontId="0" fillId="0" borderId="10" xfId="0" applyBorder="1" applyAlignment="1">
      <alignment horizontal="left"/>
    </xf>
    <xf numFmtId="0" fontId="3" fillId="0" borderId="10" xfId="0" applyFont="1" applyFill="1" applyBorder="1"/>
    <xf numFmtId="0" fontId="0" fillId="0" borderId="0" xfId="0" applyFill="1" applyBorder="1"/>
    <xf numFmtId="0" fontId="0" fillId="0" borderId="8" xfId="0" applyFill="1" applyBorder="1"/>
    <xf numFmtId="0" fontId="0" fillId="0" borderId="12" xfId="0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/>
    </xf>
    <xf numFmtId="0" fontId="0" fillId="0" borderId="0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1" applyAlignment="1">
      <alignment horizontal="center"/>
    </xf>
    <xf numFmtId="0" fontId="0" fillId="0" borderId="0" xfId="0" applyBorder="1" applyAlignment="1">
      <alignment horizontal="center" wrapText="1"/>
    </xf>
    <xf numFmtId="0" fontId="0" fillId="0" borderId="9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1" fillId="0" borderId="3" xfId="0" applyFont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175" fontId="0" fillId="0" borderId="8" xfId="0" applyNumberFormat="1" applyBorder="1" applyAlignment="1">
      <alignment horizontal="left"/>
    </xf>
    <xf numFmtId="183" fontId="0" fillId="0" borderId="0" xfId="0" applyNumberFormat="1" applyBorder="1"/>
    <xf numFmtId="0" fontId="5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38100</xdr:colOff>
      <xdr:row>6</xdr:row>
      <xdr:rowOff>23812</xdr:rowOff>
    </xdr:from>
    <xdr:ext cx="1143870" cy="34765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/>
            <xdr:cNvSpPr txBox="1"/>
          </xdr:nvSpPr>
          <xdr:spPr>
            <a:xfrm>
              <a:off x="1866900" y="1166812"/>
              <a:ext cx="1143870" cy="34765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𝐶𝑇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</m:t>
                        </m:r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11200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×</m:t>
                        </m:r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𝑓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𝑠</m:t>
                            </m:r>
                          </m:sub>
                        </m:sSub>
                      </m:den>
                    </m:f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1866900" y="1166812"/>
              <a:ext cx="1143870" cy="34765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𝐶𝑇=1/(11200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×𝑓_𝑠 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4</xdr:col>
      <xdr:colOff>161925</xdr:colOff>
      <xdr:row>23</xdr:row>
      <xdr:rowOff>80962</xdr:rowOff>
    </xdr:from>
    <xdr:ext cx="1227131" cy="52649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/>
            <xdr:cNvSpPr txBox="1"/>
          </xdr:nvSpPr>
          <xdr:spPr>
            <a:xfrm>
              <a:off x="2343150" y="1804987"/>
              <a:ext cx="1227131" cy="52649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𝑃𝐾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×</m:t>
                        </m:r>
                        <m:f>
                          <m:fPr>
                            <m:ctrlP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𝑃𝑜</m:t>
                            </m:r>
                          </m:num>
                          <m:den>
                            <m: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𝜂</m:t>
                            </m:r>
                          </m:den>
                        </m:f>
                      </m:num>
                      <m:den>
                        <m:rad>
                          <m:radPr>
                            <m:degHide m:val="on"/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e>
                        </m:rad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×</m:t>
                        </m:r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𝑉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𝐼𝑁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(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𝑚𝑖𝑛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)</m:t>
                            </m:r>
                          </m:sub>
                        </m:sSub>
                      </m:den>
                    </m:f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3" name="TextBox 2"/>
            <xdr:cNvSpPr txBox="1"/>
          </xdr:nvSpPr>
          <xdr:spPr>
            <a:xfrm>
              <a:off x="2343150" y="1804987"/>
              <a:ext cx="1227131" cy="52649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𝐼_𝑃𝐾=(2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×𝑃𝑜/𝜂)/(√</a:t>
              </a:r>
              <a:r>
                <a:rPr lang="en-US" sz="1100" b="0" i="0">
                  <a:latin typeface="Cambria Math" panose="02040503050406030204" pitchFamily="18" charset="0"/>
                </a:rPr>
                <a:t>2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×𝑉_(𝐼𝑁(𝑚𝑖𝑛)) 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4</xdr:col>
      <xdr:colOff>266700</xdr:colOff>
      <xdr:row>24</xdr:row>
      <xdr:rowOff>166687</xdr:rowOff>
    </xdr:from>
    <xdr:ext cx="1058431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/>
            <xdr:cNvSpPr txBox="1"/>
          </xdr:nvSpPr>
          <xdr:spPr>
            <a:xfrm>
              <a:off x="2447925" y="2566987"/>
              <a:ext cx="105843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el-GR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Δ</m:t>
                    </m:r>
                    <m:sSub>
                      <m:sSubPr>
                        <m:ctrlPr>
                          <a:rPr lang="el-GR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𝐼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𝐿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=0.2×(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𝐼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𝑃𝑘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4" name="TextBox 3"/>
            <xdr:cNvSpPr txBox="1"/>
          </xdr:nvSpPr>
          <xdr:spPr>
            <a:xfrm>
              <a:off x="2447925" y="2566987"/>
              <a:ext cx="105843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l-GR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Δ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𝐼</a:t>
              </a:r>
              <a:r>
                <a:rPr lang="el-G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𝐿=0.2×(𝐼_𝑃𝑘)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4</xdr:col>
      <xdr:colOff>428625</xdr:colOff>
      <xdr:row>25</xdr:row>
      <xdr:rowOff>52387</xdr:rowOff>
    </xdr:from>
    <xdr:ext cx="862095" cy="34458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/>
            <xdr:cNvSpPr txBox="1"/>
          </xdr:nvSpPr>
          <xdr:spPr>
            <a:xfrm>
              <a:off x="2609850" y="2957512"/>
              <a:ext cx="862095" cy="3445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𝐷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𝑉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𝑂</m:t>
                            </m:r>
                          </m:sub>
                        </m:s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−</m:t>
                        </m:r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𝑉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𝐼𝑁</m:t>
                            </m:r>
                          </m:sub>
                        </m:sSub>
                      </m:num>
                      <m:den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𝑉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𝑂</m:t>
                            </m:r>
                          </m:sub>
                        </m:sSub>
                      </m:den>
                    </m:f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5" name="TextBox 4"/>
            <xdr:cNvSpPr txBox="1"/>
          </xdr:nvSpPr>
          <xdr:spPr>
            <a:xfrm>
              <a:off x="2609850" y="2957512"/>
              <a:ext cx="862095" cy="3445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𝐷=  (𝑉_𝑂−𝑉_𝐼𝑁)/𝑉_𝑂 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4</xdr:col>
      <xdr:colOff>276225</xdr:colOff>
      <xdr:row>26</xdr:row>
      <xdr:rowOff>80962</xdr:rowOff>
    </xdr:from>
    <xdr:ext cx="1087414" cy="31579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/>
            <xdr:cNvSpPr txBox="1"/>
          </xdr:nvSpPr>
          <xdr:spPr>
            <a:xfrm>
              <a:off x="3419475" y="3424237"/>
              <a:ext cx="1087414" cy="3157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𝐿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𝑉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𝐼𝑁</m:t>
                            </m:r>
                          </m:sub>
                        </m:sSub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×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𝐷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×</m:t>
                        </m:r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𝑇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𝑆</m:t>
                            </m:r>
                          </m:sub>
                        </m:sSub>
                      </m:num>
                      <m:den>
                        <m:r>
                          <m:rPr>
                            <m:sty m:val="p"/>
                          </m:rPr>
                          <a:rPr lang="el-GR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Δ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𝐼</m:t>
                        </m:r>
                      </m:den>
                    </m:f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6" name="TextBox 5"/>
            <xdr:cNvSpPr txBox="1"/>
          </xdr:nvSpPr>
          <xdr:spPr>
            <a:xfrm>
              <a:off x="3419475" y="3424237"/>
              <a:ext cx="1087414" cy="3157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𝐿=(𝑉_𝐼𝑁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×𝐷×𝑇_𝑆)/</a:t>
              </a:r>
              <a:r>
                <a:rPr lang="el-G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Δ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𝐼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4</xdr:col>
      <xdr:colOff>304800</xdr:colOff>
      <xdr:row>27</xdr:row>
      <xdr:rowOff>128587</xdr:rowOff>
    </xdr:from>
    <xdr:ext cx="1069011" cy="36029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/>
            <xdr:cNvSpPr txBox="1"/>
          </xdr:nvSpPr>
          <xdr:spPr>
            <a:xfrm>
              <a:off x="3448050" y="3900487"/>
              <a:ext cx="1069011" cy="36029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𝐶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𝑂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×</m:t>
                        </m:r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𝑃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𝑂</m:t>
                            </m:r>
                          </m:sub>
                        </m:sSub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×</m:t>
                        </m:r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𝑡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𝐻</m:t>
                            </m:r>
                          </m:sub>
                        </m:sSub>
                      </m:num>
                      <m:den>
                        <m:sSubSup>
                          <m:sSubSup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Sup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𝑉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𝑂</m:t>
                            </m:r>
                          </m:sub>
                          <m:sup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b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−</m:t>
                        </m:r>
                        <m:sSubSup>
                          <m:sSubSup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Sup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𝑉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𝑀𝐼𝑁</m:t>
                            </m:r>
                          </m:sub>
                          <m:sup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bSup>
                      </m:den>
                    </m:f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7" name="TextBox 6"/>
            <xdr:cNvSpPr txBox="1"/>
          </xdr:nvSpPr>
          <xdr:spPr>
            <a:xfrm>
              <a:off x="3448050" y="3900487"/>
              <a:ext cx="1069011" cy="36029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𝐶_𝑂=(2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×𝑃_𝑂×𝑡_𝐻)/(</a:t>
              </a:r>
              <a:r>
                <a:rPr lang="en-US" sz="1100" b="0" i="0">
                  <a:latin typeface="Cambria Math" panose="02040503050406030204" pitchFamily="18" charset="0"/>
                </a:rPr>
                <a:t>𝑉_𝑂^2−𝑉_𝑀𝐼𝑁^2 )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4</xdr:col>
      <xdr:colOff>466725</xdr:colOff>
      <xdr:row>32</xdr:row>
      <xdr:rowOff>61912</xdr:rowOff>
    </xdr:from>
    <xdr:ext cx="800860" cy="34907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/>
            <xdr:cNvSpPr txBox="1"/>
          </xdr:nvSpPr>
          <xdr:spPr>
            <a:xfrm>
              <a:off x="3609975" y="5548312"/>
              <a:ext cx="800860" cy="34907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𝑑𝑖</m:t>
                        </m:r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𝑑𝑡</m:t>
                        </m:r>
                      </m:den>
                    </m:f>
                    <m:r>
                      <a:rPr lang="en-US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𝐼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𝐼𝑁𝑝</m:t>
                            </m:r>
                          </m:sub>
                        </m:sSub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3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×</m:t>
                        </m:r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𝑡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𝑟𝑟</m:t>
                            </m:r>
                          </m:sub>
                        </m:sSub>
                      </m:den>
                    </m:f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8" name="TextBox 7"/>
            <xdr:cNvSpPr txBox="1"/>
          </xdr:nvSpPr>
          <xdr:spPr>
            <a:xfrm>
              <a:off x="3609975" y="5548312"/>
              <a:ext cx="800860" cy="34907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𝑑𝑖/𝑑𝑡=  𝐼_𝐼𝑁𝑝/(3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×𝑡_𝑟𝑟 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4</xdr:col>
      <xdr:colOff>381000</xdr:colOff>
      <xdr:row>33</xdr:row>
      <xdr:rowOff>142875</xdr:rowOff>
    </xdr:from>
    <xdr:ext cx="1152526" cy="2952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/>
            <xdr:cNvSpPr txBox="1"/>
          </xdr:nvSpPr>
          <xdr:spPr>
            <a:xfrm>
              <a:off x="3524250" y="6067425"/>
              <a:ext cx="1152526" cy="2952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en-US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𝐼</m:t>
                      </m:r>
                    </m:e>
                    <m:sub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𝐼𝑁𝑝</m:t>
                      </m:r>
                    </m:sub>
                  </m:sSub>
                  <m:r>
                    <a:rPr lang="en-US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en-US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𝐼</m:t>
                      </m:r>
                    </m:e>
                    <m:sub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𝑝𝑘</m:t>
                      </m:r>
                    </m:sub>
                  </m:sSub>
                  <m:r>
                    <a:rPr lang="en-US" sz="1100" b="0" i="1">
                      <a:latin typeface="Cambria Math" panose="02040503050406030204" pitchFamily="18" charset="0"/>
                    </a:rPr>
                    <m:t>+</m:t>
                  </m:r>
                  <m:f>
                    <m:fPr>
                      <m:ctrlPr>
                        <a:rPr lang="en-US" sz="1100" b="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en-US" sz="1100" b="0" i="1">
                          <a:latin typeface="Cambria Math" panose="02040503050406030204" pitchFamily="18" charset="0"/>
                        </a:rPr>
                        <m:t>1</m:t>
                      </m:r>
                    </m:num>
                    <m:den>
                      <m:r>
                        <a:rPr lang="en-US" sz="1100" b="0" i="1">
                          <a:latin typeface="Cambria Math" panose="02040503050406030204" pitchFamily="18" charset="0"/>
                        </a:rPr>
                        <m:t>2</m:t>
                      </m:r>
                    </m:den>
                  </m:f>
                  <m:r>
                    <a:rPr lang="en-US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∆</m:t>
                  </m:r>
                </m:oMath>
              </a14:m>
              <a:r>
                <a:rPr lang="en-US" sz="1100"/>
                <a:t>I</a:t>
              </a:r>
            </a:p>
          </xdr:txBody>
        </xdr:sp>
      </mc:Choice>
      <mc:Fallback xmlns="">
        <xdr:sp macro="" textlink="">
          <xdr:nvSpPr>
            <xdr:cNvPr id="9" name="TextBox 8"/>
            <xdr:cNvSpPr txBox="1"/>
          </xdr:nvSpPr>
          <xdr:spPr>
            <a:xfrm>
              <a:off x="3524250" y="6067425"/>
              <a:ext cx="1152526" cy="2952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𝐼_𝐼𝑁𝑝=𝐼_𝑝𝑘+1/2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 ∆</a:t>
              </a:r>
              <a:r>
                <a:rPr lang="en-US" sz="1100"/>
                <a:t>I</a:t>
              </a:r>
            </a:p>
          </xdr:txBody>
        </xdr:sp>
      </mc:Fallback>
    </mc:AlternateContent>
    <xdr:clientData/>
  </xdr:oneCellAnchor>
  <xdr:oneCellAnchor>
    <xdr:from>
      <xdr:col>4</xdr:col>
      <xdr:colOff>76200</xdr:colOff>
      <xdr:row>34</xdr:row>
      <xdr:rowOff>38101</xdr:rowOff>
    </xdr:from>
    <xdr:ext cx="1527151" cy="45788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/>
            <xdr:cNvSpPr txBox="1"/>
          </xdr:nvSpPr>
          <xdr:spPr>
            <a:xfrm>
              <a:off x="3219450" y="6381751"/>
              <a:ext cx="1527151" cy="457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𝐿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𝑟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𝑉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𝑂</m:t>
                            </m:r>
                          </m:sub>
                        </m:sSub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(</m:t>
                        </m:r>
                        <m:f>
                          <m:f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𝑑𝑖</m:t>
                            </m:r>
                          </m:num>
                          <m:den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𝑑𝑡</m:t>
                            </m:r>
                          </m:den>
                        </m:f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)</m:t>
                        </m:r>
                      </m:den>
                    </m:f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0" name="TextBox 9"/>
            <xdr:cNvSpPr txBox="1"/>
          </xdr:nvSpPr>
          <xdr:spPr>
            <a:xfrm>
              <a:off x="3219450" y="6381751"/>
              <a:ext cx="1527151" cy="457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𝐿_𝑟=  𝑉_𝑂/((𝑑𝑖/𝑑𝑡))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4</xdr:col>
      <xdr:colOff>542925</xdr:colOff>
      <xdr:row>35</xdr:row>
      <xdr:rowOff>42862</xdr:rowOff>
    </xdr:from>
    <xdr:ext cx="647933" cy="50013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/>
            <xdr:cNvSpPr txBox="1"/>
          </xdr:nvSpPr>
          <xdr:spPr>
            <a:xfrm>
              <a:off x="3686175" y="7091362"/>
              <a:ext cx="647933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𝑍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= </m:t>
                    </m:r>
                    <m:rad>
                      <m:radPr>
                        <m:degHide m:val="on"/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b>
                              <m:sSubPr>
                                <m:ctrlP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𝐿</m:t>
                                </m:r>
                              </m:e>
                              <m:sub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𝑟</m:t>
                                </m:r>
                              </m:sub>
                            </m:sSub>
                          </m:num>
                          <m:den>
                            <m:sSub>
                              <m:sSubPr>
                                <m:ctrlP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𝐶</m:t>
                                </m:r>
                              </m:e>
                              <m:sub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𝑟</m:t>
                                </m:r>
                              </m:sub>
                            </m:sSub>
                          </m:den>
                        </m:f>
                      </m:e>
                    </m:rad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1" name="TextBox 10"/>
            <xdr:cNvSpPr txBox="1"/>
          </xdr:nvSpPr>
          <xdr:spPr>
            <a:xfrm>
              <a:off x="3686175" y="7091362"/>
              <a:ext cx="647933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𝑍_𝑛= √(𝐿_𝑟/𝐶_𝑟 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4</xdr:col>
      <xdr:colOff>419100</xdr:colOff>
      <xdr:row>36</xdr:row>
      <xdr:rowOff>52387</xdr:rowOff>
    </xdr:from>
    <xdr:ext cx="963661" cy="50013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Box 11"/>
            <xdr:cNvSpPr txBox="1"/>
          </xdr:nvSpPr>
          <xdr:spPr>
            <a:xfrm>
              <a:off x="3562350" y="7729537"/>
              <a:ext cx="963661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𝜔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 </m:t>
                    </m:r>
                    <m:rad>
                      <m:radPr>
                        <m:degHide m:val="on"/>
                        <m:ctrlP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sSub>
                              <m:sSubPr>
                                <m:ctrlPr>
                                  <a:rPr lang="en-US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𝐿</m:t>
                                </m:r>
                              </m:e>
                              <m:sub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𝑟</m:t>
                                </m:r>
                              </m:sub>
                            </m:sSub>
                            <m: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 × </m:t>
                            </m:r>
                            <m:sSub>
                              <m:sSubPr>
                                <m:ctrlPr>
                                  <a:rPr lang="en-US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𝐶</m:t>
                                </m:r>
                              </m:e>
                              <m:sub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𝑟</m:t>
                                </m:r>
                              </m:sub>
                            </m:sSub>
                          </m:den>
                        </m:f>
                      </m:e>
                    </m:rad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2" name="TextBox 11"/>
            <xdr:cNvSpPr txBox="1"/>
          </xdr:nvSpPr>
          <xdr:spPr>
            <a:xfrm>
              <a:off x="3562350" y="7729537"/>
              <a:ext cx="963661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𝜔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= √(1/(𝐿_𝑟  × 𝐶_𝑟 ))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4</xdr:col>
      <xdr:colOff>228600</xdr:colOff>
      <xdr:row>37</xdr:row>
      <xdr:rowOff>138112</xdr:rowOff>
    </xdr:from>
    <xdr:ext cx="1354666" cy="34547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Box 12"/>
            <xdr:cNvSpPr txBox="1"/>
          </xdr:nvSpPr>
          <xdr:spPr>
            <a:xfrm>
              <a:off x="3371850" y="8405812"/>
              <a:ext cx="1354666" cy="3454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b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: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𝑟</m:t>
                            </m:r>
                          </m:sub>
                        </m:s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= </m:t>
                        </m:r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𝐼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𝐼𝑁</m:t>
                            </m:r>
                          </m:sub>
                        </m:sSub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+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𝑉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𝑂</m:t>
                            </m:r>
                          </m:sub>
                        </m:sSub>
                      </m:num>
                      <m:den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𝑍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sub>
                        </m:sSub>
                      </m:den>
                    </m:f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×</m:t>
                    </m:r>
                    <m:r>
                      <m:rPr>
                        <m:sty m:val="p"/>
                      </m:rPr>
                      <a:rPr lang="en-US" sz="1100" b="0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sin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⁡(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𝜔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𝑡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3" name="TextBox 12"/>
            <xdr:cNvSpPr txBox="1"/>
          </xdr:nvSpPr>
          <xdr:spPr>
            <a:xfrm>
              <a:off x="3371850" y="8405812"/>
              <a:ext cx="1354666" cy="3454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𝐼_(:_𝑟= 𝐼_𝐼𝑁 )+𝑉_𝑂/𝑍_𝑛 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×sin⁡(𝜔𝑡)</a:t>
              </a:r>
              <a:endParaRPr 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wolfspeed.com/media/downloads/176/C3M0065090D.pdf" TargetMode="External"/><Relationship Id="rId2" Type="http://schemas.openxmlformats.org/officeDocument/2006/relationships/hyperlink" Target="https://www.digikey.com/product-detail/en/cree-wolfspeed/C3M0065090D/C3M0065090D-ND/5253283" TargetMode="External"/><Relationship Id="rId1" Type="http://schemas.openxmlformats.org/officeDocument/2006/relationships/hyperlink" Target="https://www.digikey.com/product-detail/en/cree-wolfspeed/C3D06065I/C3D06065I-ND/5067191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wolfspeed.com/media/downloads/44/C3D06065I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58"/>
  <sheetViews>
    <sheetView tabSelected="1" topLeftCell="B1" zoomScaleNormal="100" workbookViewId="0">
      <selection activeCell="D2" sqref="D2"/>
    </sheetView>
  </sheetViews>
  <sheetFormatPr defaultRowHeight="15" x14ac:dyDescent="0.25"/>
  <cols>
    <col min="3" max="4" width="14.42578125" customWidth="1"/>
    <col min="6" max="6" width="16.5703125" customWidth="1"/>
    <col min="7" max="7" width="12.28515625" bestFit="1" customWidth="1"/>
    <col min="8" max="8" width="18.85546875" bestFit="1" customWidth="1"/>
    <col min="9" max="9" width="9.140625" customWidth="1"/>
    <col min="12" max="12" width="11.140625" customWidth="1"/>
  </cols>
  <sheetData>
    <row r="1" spans="2:15" x14ac:dyDescent="0.25">
      <c r="G1" t="s">
        <v>6</v>
      </c>
      <c r="H1">
        <v>85</v>
      </c>
      <c r="I1" t="s">
        <v>7</v>
      </c>
    </row>
    <row r="2" spans="2:15" x14ac:dyDescent="0.25">
      <c r="G2" t="s">
        <v>8</v>
      </c>
      <c r="H2">
        <v>270</v>
      </c>
      <c r="I2" t="s">
        <v>7</v>
      </c>
    </row>
    <row r="3" spans="2:15" x14ac:dyDescent="0.25">
      <c r="G3" t="s">
        <v>9</v>
      </c>
      <c r="H3">
        <v>440</v>
      </c>
      <c r="I3" t="s">
        <v>10</v>
      </c>
      <c r="J3" s="65" t="s">
        <v>11</v>
      </c>
      <c r="K3" s="65"/>
      <c r="L3" s="65"/>
      <c r="M3" s="65"/>
      <c r="N3" s="65"/>
      <c r="O3" s="65"/>
    </row>
    <row r="4" spans="2:15" x14ac:dyDescent="0.25">
      <c r="G4" t="s">
        <v>12</v>
      </c>
      <c r="H4">
        <v>350</v>
      </c>
      <c r="I4" t="s">
        <v>7</v>
      </c>
    </row>
    <row r="6" spans="2:15" x14ac:dyDescent="0.25">
      <c r="B6" s="1"/>
      <c r="C6" s="1"/>
      <c r="D6" s="1"/>
      <c r="E6" s="1"/>
      <c r="F6" s="1"/>
      <c r="G6" s="1"/>
      <c r="H6" s="1"/>
      <c r="I6" s="1"/>
    </row>
    <row r="7" spans="2:15" x14ac:dyDescent="0.25">
      <c r="B7" s="72">
        <v>2.2000000000000002</v>
      </c>
      <c r="C7" s="72" t="s">
        <v>0</v>
      </c>
      <c r="D7" s="6"/>
      <c r="E7" s="75"/>
      <c r="F7" s="75"/>
      <c r="G7" t="s">
        <v>1</v>
      </c>
      <c r="H7">
        <v>500000</v>
      </c>
    </row>
    <row r="8" spans="2:15" x14ac:dyDescent="0.25">
      <c r="B8" s="72"/>
      <c r="C8" s="72"/>
      <c r="D8" s="14"/>
      <c r="E8" s="75"/>
      <c r="F8" s="75"/>
      <c r="G8" t="s">
        <v>58</v>
      </c>
      <c r="H8">
        <f>1/H7</f>
        <v>1.9999999999999999E-6</v>
      </c>
    </row>
    <row r="9" spans="2:15" ht="15.75" thickBot="1" x14ac:dyDescent="0.3">
      <c r="B9" s="82"/>
      <c r="C9" s="82"/>
      <c r="D9" s="15"/>
      <c r="E9" s="83"/>
      <c r="F9" s="83"/>
      <c r="G9" s="16" t="s">
        <v>2</v>
      </c>
      <c r="H9" s="16">
        <f>1/(11200*H7)</f>
        <v>1.7857142857142858E-10</v>
      </c>
      <c r="I9" s="16"/>
      <c r="J9" s="65" t="s">
        <v>112</v>
      </c>
      <c r="K9" s="65"/>
      <c r="L9" s="65"/>
      <c r="M9" s="65"/>
      <c r="N9" s="65"/>
      <c r="O9" s="65"/>
    </row>
    <row r="10" spans="2:15" ht="16.5" thickTop="1" thickBot="1" x14ac:dyDescent="0.3">
      <c r="B10" s="47"/>
      <c r="C10" s="96" t="s">
        <v>67</v>
      </c>
      <c r="D10" s="47" t="s">
        <v>68</v>
      </c>
      <c r="E10" s="48"/>
      <c r="F10" s="48"/>
      <c r="G10" s="19"/>
      <c r="H10" s="19">
        <v>1000</v>
      </c>
      <c r="I10" s="19" t="s">
        <v>69</v>
      </c>
      <c r="J10" s="62" t="s">
        <v>114</v>
      </c>
      <c r="K10" s="62"/>
      <c r="L10" s="62"/>
      <c r="M10" s="62"/>
      <c r="N10" s="62"/>
      <c r="O10" s="62"/>
    </row>
    <row r="11" spans="2:15" ht="33.75" customHeight="1" thickTop="1" x14ac:dyDescent="0.25">
      <c r="B11" s="96">
        <v>2.2999999999999998</v>
      </c>
      <c r="C11" s="63"/>
      <c r="D11" s="14" t="s">
        <v>70</v>
      </c>
      <c r="E11" s="13"/>
      <c r="F11" s="13"/>
      <c r="G11" s="19"/>
      <c r="H11" s="19">
        <v>220</v>
      </c>
      <c r="I11" s="19" t="s">
        <v>53</v>
      </c>
      <c r="J11" s="62"/>
      <c r="K11" s="62"/>
      <c r="L11" s="62"/>
      <c r="M11" s="62"/>
      <c r="N11" s="62"/>
      <c r="O11" s="62"/>
    </row>
    <row r="12" spans="2:15" ht="15.75" thickBot="1" x14ac:dyDescent="0.3">
      <c r="B12" s="68"/>
      <c r="C12" s="68"/>
      <c r="D12" s="21" t="s">
        <v>113</v>
      </c>
      <c r="E12" s="35"/>
      <c r="F12" s="35"/>
      <c r="G12" s="22"/>
      <c r="H12" s="97">
        <f>-1*(H11*10^-12)*H10*LN(1-(2.5/7.5))</f>
        <v>8.9202323783796128E-8</v>
      </c>
      <c r="I12" s="22" t="s">
        <v>40</v>
      </c>
      <c r="J12" s="62"/>
      <c r="K12" s="62"/>
      <c r="L12" s="62"/>
      <c r="M12" s="62"/>
      <c r="N12" s="62"/>
      <c r="O12" s="62"/>
    </row>
    <row r="13" spans="2:15" ht="15.75" thickBot="1" x14ac:dyDescent="0.3">
      <c r="B13" s="37">
        <v>3</v>
      </c>
      <c r="C13" s="93" t="s">
        <v>71</v>
      </c>
      <c r="D13" s="93"/>
      <c r="E13" s="93"/>
      <c r="F13" s="93"/>
      <c r="G13" s="93"/>
      <c r="H13" s="93"/>
      <c r="I13" s="93"/>
      <c r="J13" s="17"/>
      <c r="K13" s="17"/>
      <c r="L13" s="17"/>
      <c r="M13" s="17"/>
      <c r="N13" s="17"/>
      <c r="O13" s="17"/>
    </row>
    <row r="14" spans="2:15" ht="16.5" thickTop="1" thickBot="1" x14ac:dyDescent="0.3">
      <c r="B14" s="44" t="s">
        <v>72</v>
      </c>
      <c r="C14" s="44" t="s">
        <v>73</v>
      </c>
      <c r="D14" s="27"/>
      <c r="E14" s="50"/>
      <c r="F14" s="50"/>
      <c r="G14" s="51"/>
      <c r="H14" s="52"/>
      <c r="I14" s="51"/>
      <c r="J14" s="17"/>
      <c r="K14" s="17"/>
      <c r="L14" s="17"/>
      <c r="M14" s="17"/>
      <c r="N14" s="17"/>
      <c r="O14" s="17"/>
    </row>
    <row r="15" spans="2:15" x14ac:dyDescent="0.25">
      <c r="B15" s="66" t="s">
        <v>75</v>
      </c>
      <c r="C15" s="66" t="s">
        <v>77</v>
      </c>
      <c r="D15" s="39"/>
      <c r="E15" s="40"/>
      <c r="F15" s="40"/>
      <c r="G15" s="19"/>
      <c r="H15" s="34">
        <v>500</v>
      </c>
      <c r="I15" s="53" t="s">
        <v>78</v>
      </c>
      <c r="J15" s="38"/>
      <c r="K15" s="38"/>
      <c r="L15" s="38"/>
      <c r="M15" s="38"/>
      <c r="N15" s="38"/>
      <c r="O15" s="38"/>
    </row>
    <row r="16" spans="2:15" ht="15.75" thickBot="1" x14ac:dyDescent="0.3">
      <c r="B16" s="68"/>
      <c r="C16" s="68"/>
      <c r="D16" s="43" t="s">
        <v>80</v>
      </c>
      <c r="E16" s="41"/>
      <c r="F16" s="41"/>
      <c r="G16" s="22"/>
      <c r="H16" s="36">
        <f>(SQRT(2)*H2)/(H15*10^-6)</f>
        <v>763675.32368147129</v>
      </c>
      <c r="I16" s="56" t="s">
        <v>69</v>
      </c>
      <c r="J16" s="38"/>
      <c r="K16" s="38"/>
      <c r="L16" s="38"/>
      <c r="M16" s="38"/>
      <c r="N16" s="38"/>
      <c r="O16" s="38"/>
    </row>
    <row r="17" spans="2:15" ht="15.75" thickBot="1" x14ac:dyDescent="0.3">
      <c r="B17" s="26" t="s">
        <v>76</v>
      </c>
      <c r="C17" s="26" t="s">
        <v>79</v>
      </c>
      <c r="D17" s="45"/>
      <c r="E17" s="55"/>
      <c r="F17" s="55"/>
      <c r="G17" s="25"/>
      <c r="H17" s="57">
        <f>(1.5^2)/((156*10^-6)*(6-1.5))</f>
        <v>3205.1282051282055</v>
      </c>
      <c r="I17" s="58" t="s">
        <v>69</v>
      </c>
      <c r="J17" s="38"/>
      <c r="K17" s="38"/>
      <c r="L17" s="38"/>
      <c r="M17" s="38"/>
      <c r="N17" s="38"/>
      <c r="O17" s="38"/>
    </row>
    <row r="18" spans="2:15" x14ac:dyDescent="0.25">
      <c r="B18" s="66">
        <v>3.2</v>
      </c>
      <c r="C18" s="66" t="s">
        <v>74</v>
      </c>
      <c r="D18" s="69" t="s">
        <v>115</v>
      </c>
      <c r="E18" s="69"/>
      <c r="F18" s="48"/>
      <c r="G18" s="19"/>
      <c r="H18" s="34">
        <v>100</v>
      </c>
      <c r="I18" s="54" t="s">
        <v>116</v>
      </c>
      <c r="J18" s="49"/>
      <c r="K18" s="49"/>
      <c r="L18" s="49"/>
      <c r="M18" s="49"/>
      <c r="N18" s="49"/>
      <c r="O18" s="49"/>
    </row>
    <row r="19" spans="2:15" ht="62.25" customHeight="1" x14ac:dyDescent="0.25">
      <c r="B19" s="63"/>
      <c r="C19" s="63"/>
      <c r="D19" s="72" t="s">
        <v>81</v>
      </c>
      <c r="E19" s="13"/>
      <c r="F19" s="13"/>
      <c r="G19" s="19" t="s">
        <v>81</v>
      </c>
      <c r="H19" s="34">
        <f>1/(H24/H18)</f>
        <v>12.977016495639477</v>
      </c>
      <c r="I19" s="54" t="s">
        <v>69</v>
      </c>
      <c r="J19" s="62" t="s">
        <v>82</v>
      </c>
      <c r="K19" s="62"/>
      <c r="L19" s="62"/>
      <c r="M19" s="62"/>
      <c r="N19" s="62"/>
      <c r="O19" s="62"/>
    </row>
    <row r="20" spans="2:15" x14ac:dyDescent="0.25">
      <c r="B20" s="63"/>
      <c r="C20" s="63"/>
      <c r="D20" s="72"/>
      <c r="E20" s="13"/>
      <c r="F20" s="13"/>
      <c r="G20" s="19"/>
      <c r="H20" s="34">
        <f>H24/H18</f>
        <v>7.7059314853766187E-2</v>
      </c>
      <c r="I20" s="54" t="s">
        <v>10</v>
      </c>
      <c r="J20" s="62" t="s">
        <v>83</v>
      </c>
      <c r="K20" s="62"/>
      <c r="L20" s="62"/>
      <c r="M20" s="62"/>
      <c r="N20" s="62"/>
      <c r="O20" s="62"/>
    </row>
    <row r="21" spans="2:15" x14ac:dyDescent="0.25">
      <c r="B21" s="63"/>
      <c r="C21" s="63"/>
      <c r="D21" s="39" t="s">
        <v>85</v>
      </c>
      <c r="E21" s="40"/>
      <c r="F21" s="40"/>
      <c r="G21" s="19" t="s">
        <v>85</v>
      </c>
      <c r="H21" s="34">
        <v>220000</v>
      </c>
      <c r="I21" s="54" t="s">
        <v>69</v>
      </c>
      <c r="J21" s="38"/>
      <c r="K21" s="38"/>
      <c r="L21" s="38"/>
      <c r="M21" s="38"/>
      <c r="N21" s="38"/>
      <c r="O21" s="38"/>
    </row>
    <row r="22" spans="2:15" x14ac:dyDescent="0.25">
      <c r="B22" s="64"/>
      <c r="C22" s="64"/>
      <c r="D22" s="14" t="s">
        <v>84</v>
      </c>
      <c r="E22" s="13"/>
      <c r="F22" s="13"/>
      <c r="G22" s="19" t="s">
        <v>84</v>
      </c>
      <c r="H22" s="98">
        <f>(3*H27*H18)/(H21*H4*H19)</f>
        <v>3.325238512566868E-11</v>
      </c>
      <c r="I22" s="54" t="s">
        <v>86</v>
      </c>
    </row>
    <row r="23" spans="2:15" ht="15.75" thickBot="1" x14ac:dyDescent="0.3">
      <c r="B23" s="3">
        <v>4.2</v>
      </c>
      <c r="C23" s="94" t="s">
        <v>3</v>
      </c>
      <c r="D23" s="94"/>
      <c r="E23" s="94"/>
      <c r="F23" s="94"/>
      <c r="G23" s="94"/>
      <c r="H23" s="94"/>
      <c r="I23" s="2"/>
    </row>
    <row r="24" spans="2:15" ht="53.25" customHeight="1" thickTop="1" x14ac:dyDescent="0.25">
      <c r="B24" s="95" t="s">
        <v>4</v>
      </c>
      <c r="C24" s="96" t="s">
        <v>5</v>
      </c>
      <c r="D24" s="8" t="s">
        <v>18</v>
      </c>
      <c r="E24" s="91"/>
      <c r="F24" s="91"/>
      <c r="G24" s="4" t="s">
        <v>13</v>
      </c>
      <c r="H24" s="4">
        <f>(SQRT(2)*(H3/0.95))/H1</f>
        <v>7.7059314853766185</v>
      </c>
      <c r="I24" s="12" t="s">
        <v>14</v>
      </c>
      <c r="J24" s="90" t="s">
        <v>15</v>
      </c>
      <c r="K24" s="90"/>
      <c r="L24" s="90"/>
      <c r="M24" s="90"/>
      <c r="N24" s="90"/>
      <c r="O24" s="90"/>
    </row>
    <row r="25" spans="2:15" ht="39.75" customHeight="1" x14ac:dyDescent="0.25">
      <c r="B25" s="70"/>
      <c r="C25" s="67"/>
      <c r="D25" s="9" t="s">
        <v>19</v>
      </c>
      <c r="E25" s="74"/>
      <c r="F25" s="74"/>
      <c r="G25" s="5" t="s">
        <v>16</v>
      </c>
      <c r="H25" s="5">
        <f>0.2*H24</f>
        <v>1.5411862970753238</v>
      </c>
      <c r="I25" s="7" t="s">
        <v>14</v>
      </c>
      <c r="J25" s="92" t="s">
        <v>17</v>
      </c>
      <c r="K25" s="92"/>
      <c r="L25" s="92"/>
      <c r="M25" s="92"/>
      <c r="N25" s="92"/>
      <c r="O25" s="92"/>
    </row>
    <row r="26" spans="2:15" ht="34.5" customHeight="1" x14ac:dyDescent="0.25">
      <c r="D26" s="9" t="s">
        <v>20</v>
      </c>
      <c r="E26" s="74"/>
      <c r="F26" s="74"/>
      <c r="G26" s="10" t="s">
        <v>21</v>
      </c>
      <c r="H26" s="10">
        <f>(H4-SQRT(2)*H1)/H4</f>
        <v>0.65654813485224828</v>
      </c>
      <c r="I26" s="10" t="s">
        <v>22</v>
      </c>
      <c r="J26" s="11"/>
      <c r="K26" s="11"/>
      <c r="L26" s="11"/>
      <c r="M26" s="11"/>
      <c r="N26" s="11"/>
      <c r="O26" s="11"/>
    </row>
    <row r="27" spans="2:15" ht="33.75" customHeight="1" thickBot="1" x14ac:dyDescent="0.3">
      <c r="B27" s="22"/>
      <c r="C27" s="22"/>
      <c r="D27" s="22"/>
      <c r="E27" s="88"/>
      <c r="F27" s="88"/>
      <c r="G27" s="21" t="s">
        <v>23</v>
      </c>
      <c r="H27" s="21">
        <f>(SQRT(2)*H1*(0.71*(1/H7)))/H25</f>
        <v>1.1075596590909088E-4</v>
      </c>
      <c r="I27" s="21" t="s">
        <v>24</v>
      </c>
      <c r="J27" s="89"/>
      <c r="K27" s="89"/>
      <c r="L27" s="89"/>
      <c r="M27" s="89"/>
      <c r="N27" s="89"/>
      <c r="O27" s="89"/>
    </row>
    <row r="28" spans="2:15" ht="45.75" customHeight="1" thickBot="1" x14ac:dyDescent="0.3">
      <c r="B28" s="23" t="s">
        <v>25</v>
      </c>
      <c r="C28" s="26" t="s">
        <v>26</v>
      </c>
      <c r="D28" s="23" t="s">
        <v>27</v>
      </c>
      <c r="E28" s="84"/>
      <c r="F28" s="84"/>
      <c r="G28" s="23" t="s">
        <v>28</v>
      </c>
      <c r="H28" s="24">
        <f>(2*H3*(1/60))/(H4^2-(H4*0.875)^2)</f>
        <v>5.1083900226757363E-4</v>
      </c>
      <c r="I28" s="25"/>
      <c r="J28" s="99" t="s">
        <v>117</v>
      </c>
      <c r="K28" s="99"/>
      <c r="L28" s="99"/>
      <c r="M28" s="99"/>
      <c r="N28" s="99"/>
    </row>
    <row r="29" spans="2:15" ht="24" customHeight="1" x14ac:dyDescent="0.25">
      <c r="B29" s="72" t="s">
        <v>37</v>
      </c>
      <c r="C29" s="63" t="s">
        <v>30</v>
      </c>
      <c r="D29" s="18" t="s">
        <v>31</v>
      </c>
      <c r="E29" s="85" t="s">
        <v>35</v>
      </c>
      <c r="F29" s="85"/>
      <c r="G29" s="85"/>
      <c r="H29" s="85"/>
      <c r="I29" s="1"/>
      <c r="J29" s="86" t="s">
        <v>32</v>
      </c>
      <c r="K29" s="86"/>
      <c r="L29" t="s">
        <v>33</v>
      </c>
      <c r="M29" s="86" t="s">
        <v>32</v>
      </c>
      <c r="N29" s="86"/>
    </row>
    <row r="30" spans="2:15" ht="33" customHeight="1" x14ac:dyDescent="0.25">
      <c r="B30" s="72"/>
      <c r="C30" s="63"/>
      <c r="D30" s="79" t="s">
        <v>34</v>
      </c>
      <c r="E30" s="87" t="s">
        <v>36</v>
      </c>
      <c r="F30" s="87"/>
      <c r="G30" s="87"/>
      <c r="H30" s="87"/>
      <c r="J30" s="86" t="s">
        <v>29</v>
      </c>
      <c r="K30" s="86"/>
      <c r="L30" t="s">
        <v>33</v>
      </c>
      <c r="M30" s="86" t="s">
        <v>29</v>
      </c>
      <c r="N30" s="86"/>
    </row>
    <row r="31" spans="2:15" ht="15.75" thickBot="1" x14ac:dyDescent="0.3">
      <c r="B31" s="82"/>
      <c r="C31" s="81"/>
      <c r="D31" s="80"/>
      <c r="E31" s="83" t="s">
        <v>39</v>
      </c>
      <c r="F31" s="83"/>
      <c r="G31" s="20" t="s">
        <v>38</v>
      </c>
      <c r="H31" s="16">
        <v>0</v>
      </c>
      <c r="I31" s="16" t="s">
        <v>40</v>
      </c>
    </row>
    <row r="32" spans="2:15" ht="16.5" thickTop="1" thickBot="1" x14ac:dyDescent="0.3">
      <c r="B32" s="27">
        <v>4.3</v>
      </c>
      <c r="C32" s="77" t="s">
        <v>43</v>
      </c>
      <c r="D32" s="77"/>
      <c r="E32" s="77"/>
      <c r="F32" s="77"/>
      <c r="G32" s="77"/>
      <c r="H32" s="77"/>
      <c r="I32" s="77"/>
    </row>
    <row r="33" spans="1:15" ht="34.5" customHeight="1" x14ac:dyDescent="0.25">
      <c r="B33" s="69" t="s">
        <v>41</v>
      </c>
      <c r="C33" s="66" t="s">
        <v>42</v>
      </c>
      <c r="D33" s="30" t="s">
        <v>48</v>
      </c>
      <c r="E33" s="78"/>
      <c r="F33" s="78"/>
      <c r="G33" s="28" t="s">
        <v>47</v>
      </c>
      <c r="H33" s="28">
        <f>(H34/(3*1*10^-9))</f>
        <v>2825508211.30476</v>
      </c>
      <c r="I33" s="29" t="s">
        <v>44</v>
      </c>
      <c r="J33" s="73" t="s">
        <v>60</v>
      </c>
      <c r="K33" s="73"/>
      <c r="L33" s="73"/>
      <c r="M33" s="73"/>
      <c r="N33" s="73"/>
      <c r="O33" s="73"/>
    </row>
    <row r="34" spans="1:15" ht="44.25" customHeight="1" x14ac:dyDescent="0.25">
      <c r="B34" s="72"/>
      <c r="C34" s="63"/>
      <c r="D34" s="9" t="s">
        <v>49</v>
      </c>
      <c r="E34" s="74"/>
      <c r="F34" s="74"/>
      <c r="G34" s="11" t="s">
        <v>46</v>
      </c>
      <c r="H34" s="11">
        <f>H24+0.5*H25</f>
        <v>8.4765246339142806</v>
      </c>
      <c r="I34" s="11" t="s">
        <v>14</v>
      </c>
    </row>
    <row r="35" spans="1:15" ht="44.25" customHeight="1" x14ac:dyDescent="0.25">
      <c r="B35" s="72"/>
      <c r="C35" s="63"/>
      <c r="D35" s="9" t="s">
        <v>42</v>
      </c>
      <c r="E35" s="74"/>
      <c r="F35" s="74"/>
      <c r="G35" s="11" t="s">
        <v>45</v>
      </c>
      <c r="H35" s="11">
        <f>H4/H33</f>
        <v>1.2387152109474047E-7</v>
      </c>
      <c r="I35" s="11" t="s">
        <v>24</v>
      </c>
    </row>
    <row r="36" spans="1:15" ht="49.5" customHeight="1" x14ac:dyDescent="0.25">
      <c r="B36" s="72"/>
      <c r="C36" s="63"/>
      <c r="D36" s="9" t="s">
        <v>54</v>
      </c>
      <c r="E36" s="74"/>
      <c r="F36" s="74"/>
      <c r="G36" s="11"/>
      <c r="H36" s="11">
        <f>SQRT(H35/(H39*10^-12))</f>
        <v>32.128844918382981</v>
      </c>
      <c r="I36" s="11"/>
    </row>
    <row r="37" spans="1:15" ht="46.5" customHeight="1" x14ac:dyDescent="0.25">
      <c r="B37" s="72"/>
      <c r="C37" s="63"/>
      <c r="D37" s="9" t="s">
        <v>55</v>
      </c>
      <c r="E37" s="74"/>
      <c r="F37" s="74"/>
      <c r="G37" s="11"/>
      <c r="H37" s="11">
        <f>SQRT(1/(H35*(H39*10^-12)))</f>
        <v>259372328.96179521</v>
      </c>
      <c r="I37" s="11"/>
    </row>
    <row r="38" spans="1:15" ht="42.75" customHeight="1" thickBot="1" x14ac:dyDescent="0.3">
      <c r="B38" s="71"/>
      <c r="C38" s="68"/>
      <c r="D38" s="31" t="s">
        <v>49</v>
      </c>
      <c r="E38" s="75"/>
      <c r="F38" s="76"/>
      <c r="G38" s="22"/>
      <c r="H38" s="22">
        <f>H24+(H4/H36)</f>
        <v>18.599569301772018</v>
      </c>
      <c r="I38" s="22"/>
    </row>
    <row r="39" spans="1:15" ht="49.5" customHeight="1" x14ac:dyDescent="0.25">
      <c r="B39" s="69" t="s">
        <v>50</v>
      </c>
      <c r="C39" s="66" t="s">
        <v>66</v>
      </c>
      <c r="D39" s="32" t="s">
        <v>51</v>
      </c>
      <c r="E39" s="33"/>
      <c r="G39" t="s">
        <v>52</v>
      </c>
      <c r="H39">
        <v>120</v>
      </c>
      <c r="I39" t="s">
        <v>53</v>
      </c>
      <c r="J39" s="62" t="s">
        <v>62</v>
      </c>
      <c r="K39" s="62"/>
      <c r="L39" s="62"/>
      <c r="M39" s="62"/>
      <c r="N39" s="62"/>
      <c r="O39" s="62"/>
    </row>
    <row r="40" spans="1:15" x14ac:dyDescent="0.25">
      <c r="B40" s="72"/>
      <c r="C40" s="63"/>
      <c r="G40" t="s">
        <v>57</v>
      </c>
      <c r="H40">
        <f>H24/(H4/H35)</f>
        <v>2.7272727272727274E-9</v>
      </c>
      <c r="I40" t="s">
        <v>40</v>
      </c>
    </row>
    <row r="41" spans="1:15" x14ac:dyDescent="0.25">
      <c r="B41" s="72"/>
      <c r="C41" s="63"/>
      <c r="G41" t="s">
        <v>56</v>
      </c>
      <c r="H41">
        <f>(PI()/2)*SQRT(H35*(H39*10^-12))</f>
        <v>6.056144589835064E-9</v>
      </c>
      <c r="I41" t="s">
        <v>40</v>
      </c>
    </row>
    <row r="42" spans="1:15" x14ac:dyDescent="0.25">
      <c r="B42" s="72"/>
      <c r="C42" s="63"/>
      <c r="G42" t="s">
        <v>59</v>
      </c>
      <c r="H42">
        <f>(H40+H41+1*10^-9)/H8</f>
        <v>4.8917086585538961E-3</v>
      </c>
    </row>
    <row r="43" spans="1:15" x14ac:dyDescent="0.25">
      <c r="B43" s="72"/>
      <c r="C43" s="63"/>
      <c r="G43" t="s">
        <v>61</v>
      </c>
      <c r="H43">
        <f>H2/(1-H42)</f>
        <v>271.32725387709223</v>
      </c>
      <c r="I43" t="s">
        <v>7</v>
      </c>
    </row>
    <row r="44" spans="1:15" x14ac:dyDescent="0.25">
      <c r="B44" s="72"/>
      <c r="C44" s="63"/>
      <c r="G44" t="s">
        <v>63</v>
      </c>
      <c r="H44">
        <f>( (H34*H35)/H4)+(PI()/2)*SQRT(H35*(H39*10^-12))</f>
        <v>9.0561445898350636E-9</v>
      </c>
      <c r="I44" t="s">
        <v>40</v>
      </c>
    </row>
    <row r="45" spans="1:15" ht="68.25" customHeight="1" thickBot="1" x14ac:dyDescent="0.3">
      <c r="B45" s="71"/>
      <c r="C45" s="68"/>
      <c r="D45" s="42" t="s">
        <v>65</v>
      </c>
      <c r="E45" s="22"/>
      <c r="F45" s="22"/>
      <c r="G45" s="22" t="s">
        <v>64</v>
      </c>
      <c r="H45" s="22">
        <f>H38*SQRT(H44/H8)</f>
        <v>1.2515827353126463</v>
      </c>
      <c r="I45" s="22" t="s">
        <v>14</v>
      </c>
    </row>
    <row r="46" spans="1:15" x14ac:dyDescent="0.25">
      <c r="B46" s="69" t="s">
        <v>87</v>
      </c>
      <c r="C46" s="66" t="s">
        <v>99</v>
      </c>
      <c r="D46" t="s">
        <v>89</v>
      </c>
      <c r="G46" s="59" t="s">
        <v>88</v>
      </c>
      <c r="H46">
        <f>(H4*0.1)/((2*PI()*H47*H27*5.2))</f>
        <v>0.96720315252998001</v>
      </c>
      <c r="J46" s="65" t="s">
        <v>91</v>
      </c>
      <c r="K46" s="65"/>
      <c r="L46" s="65"/>
      <c r="M46" s="65"/>
      <c r="N46" s="65"/>
    </row>
    <row r="47" spans="1:15" x14ac:dyDescent="0.25">
      <c r="B47" s="70"/>
      <c r="C47" s="67"/>
      <c r="D47" t="s">
        <v>100</v>
      </c>
      <c r="G47" s="59" t="s">
        <v>93</v>
      </c>
      <c r="H47">
        <v>10000</v>
      </c>
      <c r="I47" t="s">
        <v>102</v>
      </c>
      <c r="J47" s="46"/>
      <c r="K47" s="46"/>
      <c r="L47" s="46"/>
      <c r="M47" s="46"/>
      <c r="N47" s="46"/>
    </row>
    <row r="48" spans="1:15" x14ac:dyDescent="0.25">
      <c r="A48" t="s">
        <v>96</v>
      </c>
      <c r="B48" s="70"/>
      <c r="C48" s="67"/>
      <c r="D48" t="s">
        <v>101</v>
      </c>
      <c r="G48" s="59" t="s">
        <v>97</v>
      </c>
      <c r="H48">
        <v>125000</v>
      </c>
      <c r="I48" t="s">
        <v>102</v>
      </c>
      <c r="J48" s="46"/>
      <c r="K48" s="46"/>
      <c r="L48" s="46"/>
      <c r="M48" s="46"/>
      <c r="N48" s="46"/>
    </row>
    <row r="49" spans="2:9" x14ac:dyDescent="0.25">
      <c r="B49" s="70"/>
      <c r="C49" s="67"/>
      <c r="D49" s="19"/>
      <c r="E49" s="19"/>
      <c r="F49" s="19"/>
      <c r="G49" s="59" t="s">
        <v>90</v>
      </c>
      <c r="H49" s="19">
        <v>3300</v>
      </c>
      <c r="I49" s="19" t="s">
        <v>69</v>
      </c>
    </row>
    <row r="50" spans="2:9" x14ac:dyDescent="0.25">
      <c r="B50" s="70"/>
      <c r="C50" s="67"/>
      <c r="G50" s="59" t="s">
        <v>92</v>
      </c>
      <c r="H50">
        <f>H49/H46</f>
        <v>3411.8995490946886</v>
      </c>
      <c r="I50" s="59" t="s">
        <v>69</v>
      </c>
    </row>
    <row r="51" spans="2:9" x14ac:dyDescent="0.25">
      <c r="B51" s="70"/>
      <c r="C51" s="67"/>
      <c r="G51" s="59" t="s">
        <v>94</v>
      </c>
      <c r="H51">
        <f>1/(2*PI()*H47*H50)</f>
        <v>4.6647018999760829E-9</v>
      </c>
      <c r="I51" s="59" t="s">
        <v>86</v>
      </c>
    </row>
    <row r="52" spans="2:9" ht="15.75" thickBot="1" x14ac:dyDescent="0.3">
      <c r="B52" s="71"/>
      <c r="C52" s="68"/>
      <c r="D52" s="22"/>
      <c r="E52" s="22"/>
      <c r="F52" s="22"/>
      <c r="G52" s="60" t="s">
        <v>95</v>
      </c>
      <c r="H52" s="22">
        <f>1/(2*PI()*H50*H48)</f>
        <v>3.7317615199808668E-10</v>
      </c>
      <c r="I52" s="60" t="s">
        <v>86</v>
      </c>
    </row>
    <row r="53" spans="2:9" x14ac:dyDescent="0.25">
      <c r="B53" t="s">
        <v>98</v>
      </c>
      <c r="C53" t="s">
        <v>103</v>
      </c>
      <c r="D53" s="61" t="s">
        <v>105</v>
      </c>
      <c r="E53" s="61"/>
      <c r="G53" s="59" t="s">
        <v>104</v>
      </c>
      <c r="H53">
        <f>(H3)/(2*PI()*120*H28*H4)</f>
        <v>3.2639197313767605</v>
      </c>
      <c r="I53" s="59" t="s">
        <v>7</v>
      </c>
    </row>
    <row r="54" spans="2:9" x14ac:dyDescent="0.25">
      <c r="G54" s="59" t="s">
        <v>106</v>
      </c>
      <c r="H54">
        <f>H53*2</f>
        <v>6.527839462753521</v>
      </c>
      <c r="I54" s="59" t="s">
        <v>7</v>
      </c>
    </row>
    <row r="55" spans="2:9" x14ac:dyDescent="0.25">
      <c r="G55" s="59" t="s">
        <v>107</v>
      </c>
      <c r="H55">
        <v>1360000</v>
      </c>
      <c r="I55" s="59" t="s">
        <v>69</v>
      </c>
    </row>
    <row r="56" spans="2:9" x14ac:dyDescent="0.25">
      <c r="G56" s="59" t="s">
        <v>108</v>
      </c>
      <c r="H56">
        <v>11239</v>
      </c>
      <c r="I56" s="59" t="s">
        <v>69</v>
      </c>
    </row>
    <row r="57" spans="2:9" x14ac:dyDescent="0.25">
      <c r="G57" s="59" t="s">
        <v>109</v>
      </c>
      <c r="H57">
        <f>1/(2*PI()*120*0.009*H55)</f>
        <v>1.0835712356474359E-7</v>
      </c>
      <c r="I57" s="59" t="s">
        <v>86</v>
      </c>
    </row>
    <row r="58" spans="2:9" x14ac:dyDescent="0.25">
      <c r="G58" s="59" t="s">
        <v>110</v>
      </c>
      <c r="H58" t="s">
        <v>111</v>
      </c>
    </row>
  </sheetData>
  <mergeCells count="56">
    <mergeCell ref="J10:O12"/>
    <mergeCell ref="C18:C22"/>
    <mergeCell ref="B18:B22"/>
    <mergeCell ref="D18:E18"/>
    <mergeCell ref="J28:N28"/>
    <mergeCell ref="B7:B9"/>
    <mergeCell ref="C23:H23"/>
    <mergeCell ref="B24:B25"/>
    <mergeCell ref="C24:C25"/>
    <mergeCell ref="B11:B12"/>
    <mergeCell ref="B15:B16"/>
    <mergeCell ref="C10:C12"/>
    <mergeCell ref="E27:F27"/>
    <mergeCell ref="J27:O27"/>
    <mergeCell ref="J24:O24"/>
    <mergeCell ref="J3:O3"/>
    <mergeCell ref="E24:F24"/>
    <mergeCell ref="E25:F25"/>
    <mergeCell ref="J25:O25"/>
    <mergeCell ref="E26:F26"/>
    <mergeCell ref="E7:F9"/>
    <mergeCell ref="C13:I13"/>
    <mergeCell ref="C7:C9"/>
    <mergeCell ref="C15:C16"/>
    <mergeCell ref="J19:O19"/>
    <mergeCell ref="D19:D20"/>
    <mergeCell ref="J9:O9"/>
    <mergeCell ref="B29:B31"/>
    <mergeCell ref="E31:F31"/>
    <mergeCell ref="E28:F28"/>
    <mergeCell ref="E29:H29"/>
    <mergeCell ref="M29:N29"/>
    <mergeCell ref="M30:N30"/>
    <mergeCell ref="J30:K30"/>
    <mergeCell ref="J29:K29"/>
    <mergeCell ref="E30:H30"/>
    <mergeCell ref="C32:I32"/>
    <mergeCell ref="E33:F33"/>
    <mergeCell ref="E34:F34"/>
    <mergeCell ref="E35:F35"/>
    <mergeCell ref="D30:D31"/>
    <mergeCell ref="C29:C31"/>
    <mergeCell ref="D53:E53"/>
    <mergeCell ref="J20:O20"/>
    <mergeCell ref="J46:N46"/>
    <mergeCell ref="C46:C52"/>
    <mergeCell ref="B46:B52"/>
    <mergeCell ref="J39:O39"/>
    <mergeCell ref="C39:C45"/>
    <mergeCell ref="B39:B45"/>
    <mergeCell ref="J33:O33"/>
    <mergeCell ref="E36:F36"/>
    <mergeCell ref="E38:F38"/>
    <mergeCell ref="E37:F37"/>
    <mergeCell ref="C33:C38"/>
    <mergeCell ref="B33:B38"/>
  </mergeCells>
  <hyperlinks>
    <hyperlink ref="J30" r:id="rId1" display="https://www.digikey.com/product-detail/en/cree-wolfspeed/C3D06065I/C3D06065I-ND/5067191"/>
    <hyperlink ref="J29" r:id="rId2" display="https://www.digikey.com/product-detail/en/cree-wolfspeed/C3M0065090D/C3M0065090D-ND/5253283"/>
    <hyperlink ref="M29" r:id="rId3" display="http://www.wolfspeed.com/media/downloads/176/C3M0065090D.pdf"/>
    <hyperlink ref="M30" r:id="rId4" display="http://www.wolfspeed.com/media/downloads/44/C3D06065I.pdf"/>
  </hyperlinks>
  <pageMargins left="0.7" right="0.7" top="0.75" bottom="0.75" header="0.3" footer="0.3"/>
  <pageSetup scale="76" orientation="landscape" r:id="rId5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Tv</dc:creator>
  <cp:lastModifiedBy>Tv</cp:lastModifiedBy>
  <cp:lastPrinted>2017-04-17T16:39:47Z</cp:lastPrinted>
  <dcterms:created xsi:type="dcterms:W3CDTF">2017-04-16T23:18:26Z</dcterms:created>
  <dcterms:modified xsi:type="dcterms:W3CDTF">2017-08-23T03:45:59Z</dcterms:modified>
</cp:coreProperties>
</file>